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drawings/drawing9.xml" ContentType="application/vnd.openxmlformats-officedocument.drawing+xml"/>
  <Override PartName="/xl/comments7.xml" ContentType="application/vnd.openxmlformats-officedocument.spreadsheetml.comments+xml"/>
  <Override PartName="/xl/drawings/drawing10.xml" ContentType="application/vnd.openxmlformats-officedocument.drawing+xml"/>
  <Override PartName="/xl/comments8.xml" ContentType="application/vnd.openxmlformats-officedocument.spreadsheetml.comments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showInkAnnotation="0" codeName="TämäTyökirja"/>
  <mc:AlternateContent xmlns:mc="http://schemas.openxmlformats.org/markup-compatibility/2006">
    <mc:Choice Requires="x15">
      <x15ac:absPath xmlns:x15ac="http://schemas.microsoft.com/office/spreadsheetml/2010/11/ac" url="D:\Dropbox\Yritystulkki\Päivitykset 2024\YT22 240302 Maaliskuu\"/>
    </mc:Choice>
  </mc:AlternateContent>
  <xr:revisionPtr revIDLastSave="0" documentId="13_ncr:1_{24FDAD8A-D2AC-488F-809A-F11A3C321124}" xr6:coauthVersionLast="47" xr6:coauthVersionMax="47" xr10:uidLastSave="{00000000-0000-0000-0000-000000000000}"/>
  <workbookProtection workbookAlgorithmName="SHA-512" workbookHashValue="bT40Xn3Oi3k7jpdwjiLZ7EiqJDoCLq3RswrCrzGVUhYg4bXY3VccpiuJL7AEGM10oZIZZQ8ujGjSkTpVnpO2gA==" workbookSaltValue="jeYhE9LQN7G4RBbjyg5ynA==" workbookSpinCount="100000" lockStructure="1"/>
  <bookViews>
    <workbookView xWindow="-103" yWindow="-103" windowWidth="33120" windowHeight="18120" tabRatio="823" xr2:uid="{00000000-000D-0000-FFFF-FFFF00000000}"/>
  </bookViews>
  <sheets>
    <sheet name="OHJE" sheetId="31" r:id="rId1"/>
    <sheet name="1. T1 INVESTOINTISUUN." sheetId="26" r:id="rId2"/>
    <sheet name="2. &amp; 7. T2 TULOSSUUN. " sheetId="20" r:id="rId3"/>
    <sheet name="Kaavio" sheetId="34" state="hidden" r:id="rId4"/>
    <sheet name="3. T3 TASE " sheetId="32" r:id="rId5"/>
    <sheet name="4. T7 LAINAT " sheetId="28" r:id="rId6"/>
    <sheet name="5. E1 KUSTANNUKSET " sheetId="1" r:id="rId7"/>
    <sheet name="6. E2 LIIKEVAIHTO " sheetId="2" r:id="rId8"/>
    <sheet name="8. T4 RAHOITUSSUUN. " sheetId="27" r:id="rId9"/>
    <sheet name="AT T5 Kassa" sheetId="33" state="hidden" r:id="rId10"/>
    <sheet name="9. T5 KASSABUDJETTI  " sheetId="30" r:id="rId11"/>
    <sheet name="Tulostussivu" sheetId="35" r:id="rId12"/>
    <sheet name="Päiväkirja" sheetId="36" state="hidden" r:id="rId13"/>
    <sheet name="AT1 Avustus, alv-laskenta " sheetId="22" state="hidden" r:id="rId14"/>
    <sheet name="AT2 Lainat,sotum., alv-osto" sheetId="29" state="hidden" r:id="rId15"/>
  </sheets>
  <definedNames>
    <definedName name="_3_2010">'5. E1 KUSTANNUKSET '!$D$8</definedName>
    <definedName name="_3_2012">'5. E1 KUSTANNUKSET '!$H$8</definedName>
    <definedName name="Rahapalkat__TyEL_työntekijät">'5. E1 KUSTANNUKSET '!#REF!</definedName>
    <definedName name="Teksti37" localSheetId="6">'5. E1 KUSTANNUKSET '!$F$6</definedName>
    <definedName name="Teksti38" localSheetId="6">'5. E1 KUSTANNUKSET '!$F$8</definedName>
    <definedName name="Teksti39" localSheetId="6">'5. E1 KUSTANNUKSET '!$H$8</definedName>
    <definedName name="Teksti39">#REF!</definedName>
    <definedName name="_xlnm.Print_Area" localSheetId="1">'1. T1 INVESTOINTISUUN.'!$B$3:$T$67</definedName>
    <definedName name="_xlnm.Print_Area" localSheetId="2">'2. &amp; 7. T2 TULOSSUUN. '!$B$2:$AF$36</definedName>
    <definedName name="_xlnm.Print_Area" localSheetId="4">'3. T3 TASE '!$B$2:$U$101</definedName>
    <definedName name="_xlnm.Print_Area" localSheetId="5">'4. T7 LAINAT '!$B$2:$Q$53</definedName>
    <definedName name="_xlnm.Print_Area" localSheetId="6">'5. E1 KUSTANNUKSET '!$B$2:$AB$127</definedName>
    <definedName name="_xlnm.Print_Area" localSheetId="7">'6. E2 LIIKEVAIHTO '!$B$2:$U$87</definedName>
    <definedName name="_xlnm.Print_Area" localSheetId="8">'8. T4 RAHOITUSSUUN. '!$B$2:$U$64</definedName>
    <definedName name="_xlnm.Print_Area" localSheetId="10">'9. T5 KASSABUDJETTI  '!$B$5:$S$100</definedName>
    <definedName name="_xlnm.Print_Area" localSheetId="0">OHJE!$A$1:$G$23</definedName>
    <definedName name="_xlnm.Print_Area" localSheetId="11">Tulostussivu!$B$2:$AY$81</definedName>
    <definedName name="_xlnm.Print_Titles" localSheetId="4">'3. T3 TASE '!$2:$9</definedName>
    <definedName name="_xlnm.Print_Titles" localSheetId="6">'5. E1 KUSTANNUKSET '!$2:$10</definedName>
    <definedName name="Yritystulkki" localSheetId="6">'5. E1 KUSTANNUKSET '!$2:$9</definedName>
    <definedName name="YT" localSheetId="1">'1. T1 INVESTOINTISUUN.'!$B$3:$T$68</definedName>
    <definedName name="YT" localSheetId="2">'2. &amp; 7. T2 TULOSSUUN. '!$B$1:$AF$37</definedName>
    <definedName name="YT" localSheetId="4">'3. T3 TASE '!$B$2:$U$102</definedName>
    <definedName name="YT" localSheetId="5">'4. T7 LAINAT '!$B$2:$Q$53</definedName>
    <definedName name="YT" localSheetId="6">'5. E1 KUSTANNUKSET '!$B$2:$AB$127</definedName>
    <definedName name="YT" localSheetId="7">'6. E2 LIIKEVAIHTO '!$B$2:$U$87</definedName>
    <definedName name="YT" localSheetId="8">'8. T4 RAHOITUSSUUN. '!$B$2:$U$65</definedName>
    <definedName name="YT" localSheetId="10">'9. T5 KASSABUDJETTI  '!$B$5:$AN$100</definedName>
    <definedName name="YT" localSheetId="11">Tulostussivu!$B$2:$AY$81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0" i="2" l="1"/>
  <c r="E18" i="2" l="1"/>
  <c r="R2" i="33" l="1"/>
  <c r="S2" i="33"/>
  <c r="Q2" i="33"/>
  <c r="F2" i="33"/>
  <c r="E2" i="33"/>
  <c r="D2" i="33"/>
  <c r="C2" i="33"/>
  <c r="E24" i="2" l="1"/>
  <c r="D42" i="26"/>
  <c r="H35" i="32" l="1"/>
  <c r="E26" i="2"/>
  <c r="E25" i="2"/>
  <c r="F25" i="2" s="1"/>
  <c r="E33" i="2"/>
  <c r="E32" i="2"/>
  <c r="E27" i="2"/>
  <c r="E34" i="2"/>
  <c r="F31" i="35" l="1"/>
  <c r="G31" i="35"/>
  <c r="D30" i="35"/>
  <c r="E30" i="35"/>
  <c r="E31" i="35" s="1"/>
  <c r="F30" i="35"/>
  <c r="G30" i="35"/>
  <c r="H30" i="35" l="1"/>
  <c r="H35" i="20"/>
  <c r="G24" i="30"/>
  <c r="I12" i="20"/>
  <c r="E42" i="26" l="1"/>
  <c r="F42" i="26"/>
  <c r="G42" i="26"/>
  <c r="H40" i="26" l="1"/>
  <c r="Q46" i="28" l="1"/>
  <c r="N46" i="28"/>
  <c r="K46" i="28"/>
  <c r="P82" i="1"/>
  <c r="H47" i="28"/>
  <c r="H46" i="28"/>
  <c r="C48" i="28"/>
  <c r="H48" i="28" s="1"/>
  <c r="C47" i="28"/>
  <c r="C46" i="28"/>
  <c r="AO53" i="35"/>
  <c r="H20" i="1"/>
  <c r="I8" i="20" l="1"/>
  <c r="H52" i="35" l="1"/>
  <c r="D15" i="35" l="1"/>
  <c r="H13" i="28"/>
  <c r="H14" i="28"/>
  <c r="H15" i="28"/>
  <c r="H16" i="28"/>
  <c r="H17" i="28"/>
  <c r="H12" i="28"/>
  <c r="H11" i="28"/>
  <c r="H16" i="1"/>
  <c r="H23" i="1"/>
  <c r="E16" i="26" l="1"/>
  <c r="P106" i="1"/>
  <c r="P103" i="1"/>
  <c r="P101" i="1"/>
  <c r="P93" i="1"/>
  <c r="P85" i="1"/>
  <c r="P75" i="1"/>
  <c r="P70" i="1"/>
  <c r="P53" i="1"/>
  <c r="P54" i="1"/>
  <c r="P49" i="1"/>
  <c r="B10" i="35"/>
  <c r="Q99" i="30"/>
  <c r="AR80" i="35"/>
  <c r="AR81" i="35"/>
  <c r="AA80" i="35"/>
  <c r="AA81" i="35"/>
  <c r="R80" i="35"/>
  <c r="R81" i="35"/>
  <c r="AW81" i="35"/>
  <c r="AK81" i="35"/>
  <c r="W81" i="35"/>
  <c r="J81" i="35"/>
  <c r="B80" i="35"/>
  <c r="B81" i="35"/>
  <c r="E66" i="26"/>
  <c r="O58" i="30"/>
  <c r="I63" i="27"/>
  <c r="F86" i="2"/>
  <c r="I126" i="1"/>
  <c r="N52" i="28"/>
  <c r="I100" i="32"/>
  <c r="M35" i="20"/>
  <c r="I44" i="35" l="1"/>
  <c r="K26" i="2" l="1"/>
  <c r="L26" i="2" s="1"/>
  <c r="M26" i="2" s="1"/>
  <c r="K33" i="2"/>
  <c r="L33" i="2" s="1"/>
  <c r="M33" i="2" s="1"/>
  <c r="U51" i="30" l="1"/>
  <c r="B5" i="20" l="1"/>
  <c r="G33" i="20" l="1"/>
  <c r="J20" i="1"/>
  <c r="L20" i="1" s="1"/>
  <c r="L21" i="1"/>
  <c r="M78" i="32" l="1"/>
  <c r="I33" i="20"/>
  <c r="K33" i="20" s="1"/>
  <c r="M33" i="20" s="1"/>
  <c r="O33" i="20" s="1"/>
  <c r="K19" i="2"/>
  <c r="L19" i="2" s="1"/>
  <c r="M19" i="2" s="1"/>
  <c r="H26" i="1"/>
  <c r="J26" i="1" s="1"/>
  <c r="L26" i="1" s="1"/>
  <c r="AQ25" i="30" l="1"/>
  <c r="AO25" i="30"/>
  <c r="AJ26" i="30"/>
  <c r="AJ25" i="30"/>
  <c r="AH25" i="30"/>
  <c r="AC25" i="30"/>
  <c r="AA25" i="30"/>
  <c r="AS24" i="30"/>
  <c r="AV24" i="30" s="1"/>
  <c r="AR24" i="30"/>
  <c r="AK24" i="30"/>
  <c r="H22" i="1"/>
  <c r="AH26" i="30" s="1"/>
  <c r="F17" i="1"/>
  <c r="AG25" i="30" l="1"/>
  <c r="Q87" i="27"/>
  <c r="P87" i="27"/>
  <c r="AI25" i="30" l="1"/>
  <c r="H29" i="1"/>
  <c r="AQ26" i="30" s="1"/>
  <c r="J23" i="1"/>
  <c r="L23" i="1" s="1"/>
  <c r="AK25" i="30" l="1"/>
  <c r="AL25" i="30"/>
  <c r="AM25" i="30" s="1"/>
  <c r="J16" i="1"/>
  <c r="L16" i="1" s="1"/>
  <c r="AC26" i="30"/>
  <c r="J29" i="1"/>
  <c r="L29" i="1" s="1"/>
  <c r="F47" i="1" l="1"/>
  <c r="F48" i="1"/>
  <c r="E46" i="2" l="1"/>
  <c r="H90" i="32"/>
  <c r="H78" i="32"/>
  <c r="H74" i="32"/>
  <c r="H65" i="32"/>
  <c r="I72" i="32"/>
  <c r="H72" i="32"/>
  <c r="H69" i="32"/>
  <c r="K47" i="28" s="1"/>
  <c r="K48" i="28" l="1"/>
  <c r="H32" i="27"/>
  <c r="AR19" i="35" l="1"/>
  <c r="G62" i="32" l="1"/>
  <c r="H63" i="32" l="1"/>
  <c r="I63" i="32" s="1"/>
  <c r="J63" i="32" s="1"/>
  <c r="K63" i="32" s="1"/>
  <c r="G53" i="27" l="1"/>
  <c r="F53" i="27"/>
  <c r="U20" i="35" l="1"/>
  <c r="V20" i="35"/>
  <c r="W20" i="35"/>
  <c r="X20" i="35"/>
  <c r="Y20" i="35"/>
  <c r="T20" i="35"/>
  <c r="C40" i="32" l="1"/>
  <c r="G49" i="27"/>
  <c r="G50" i="27" s="1"/>
  <c r="H50" i="27" s="1"/>
  <c r="H40" i="32" s="1"/>
  <c r="F49" i="27"/>
  <c r="F50" i="27" s="1"/>
  <c r="E81" i="2" l="1"/>
  <c r="F24" i="28" l="1"/>
  <c r="D112" i="1" l="1"/>
  <c r="AC34" i="35" l="1"/>
  <c r="AY5" i="35" l="1"/>
  <c r="AX5" i="35"/>
  <c r="AW5" i="35"/>
  <c r="AV5" i="35"/>
  <c r="Y51" i="35"/>
  <c r="X51" i="35"/>
  <c r="W51" i="35"/>
  <c r="V51" i="35"/>
  <c r="AO5" i="35"/>
  <c r="AM5" i="35"/>
  <c r="AK5" i="35"/>
  <c r="AI5" i="35"/>
  <c r="R77" i="35"/>
  <c r="U26" i="35"/>
  <c r="Y26" i="35"/>
  <c r="X26" i="35"/>
  <c r="W26" i="35"/>
  <c r="V26" i="35"/>
  <c r="T26" i="35"/>
  <c r="AA29" i="35" l="1"/>
  <c r="I6" i="35" l="1"/>
  <c r="F84" i="1" l="1"/>
  <c r="F64" i="1"/>
  <c r="F53" i="1"/>
  <c r="F71" i="1"/>
  <c r="F76" i="1"/>
  <c r="F116" i="1"/>
  <c r="F113" i="1"/>
  <c r="F108" i="1"/>
  <c r="F105" i="1"/>
  <c r="F101" i="1"/>
  <c r="F98" i="1"/>
  <c r="F89" i="1"/>
  <c r="F80" i="1"/>
  <c r="K18" i="2" l="1"/>
  <c r="K25" i="2"/>
  <c r="K39" i="2"/>
  <c r="L39" i="2" s="1"/>
  <c r="M39" i="2" s="1"/>
  <c r="K32" i="2"/>
  <c r="L32" i="2" l="1"/>
  <c r="M32" i="2" s="1"/>
  <c r="F32" i="2"/>
  <c r="L25" i="2"/>
  <c r="M25" i="2" s="1"/>
  <c r="G25" i="2"/>
  <c r="H25" i="2" s="1"/>
  <c r="L18" i="2"/>
  <c r="M18" i="2" s="1"/>
  <c r="F18" i="2"/>
  <c r="G18" i="2" s="1"/>
  <c r="H18" i="2" s="1"/>
  <c r="L42" i="35"/>
  <c r="G32" i="2" l="1"/>
  <c r="H32" i="2" s="1"/>
  <c r="G11" i="32"/>
  <c r="F5" i="28"/>
  <c r="B5" i="28"/>
  <c r="AY82" i="35" l="1"/>
  <c r="AE5" i="35" l="1"/>
  <c r="AU5" i="35"/>
  <c r="AT5" i="35" s="1"/>
  <c r="AR8" i="35"/>
  <c r="F19" i="28" l="1"/>
  <c r="AE38" i="35" s="1"/>
  <c r="C19" i="28"/>
  <c r="AB38" i="35" s="1"/>
  <c r="M48" i="35" l="1"/>
  <c r="M46" i="35"/>
  <c r="M44" i="35"/>
  <c r="M42" i="35"/>
  <c r="M41" i="35"/>
  <c r="L48" i="35"/>
  <c r="L46" i="35"/>
  <c r="L44" i="35"/>
  <c r="K46" i="35"/>
  <c r="K44" i="35"/>
  <c r="K42" i="35"/>
  <c r="AD68" i="35" l="1"/>
  <c r="AB68" i="35"/>
  <c r="AC63" i="35"/>
  <c r="AD63" i="35"/>
  <c r="AB63" i="35"/>
  <c r="AC35" i="35"/>
  <c r="AA28" i="35"/>
  <c r="K46" i="2" l="1"/>
  <c r="L46" i="2" s="1"/>
  <c r="M46" i="2" s="1"/>
  <c r="AM70" i="35" l="1"/>
  <c r="AJ70" i="35"/>
  <c r="AG70" i="35"/>
  <c r="AG69" i="35"/>
  <c r="AG68" i="35"/>
  <c r="AP70" i="35"/>
  <c r="AD66" i="35"/>
  <c r="AD65" i="35"/>
  <c r="AD64" i="35"/>
  <c r="AB66" i="35"/>
  <c r="AB65" i="35"/>
  <c r="AB64" i="35"/>
  <c r="AL52" i="35"/>
  <c r="AL53" i="35"/>
  <c r="AL54" i="35"/>
  <c r="AD38" i="35"/>
  <c r="AO56" i="35"/>
  <c r="AD58" i="35"/>
  <c r="AC58" i="35"/>
  <c r="AD57" i="35"/>
  <c r="AC57" i="35"/>
  <c r="AD56" i="35"/>
  <c r="AC56" i="35"/>
  <c r="AD54" i="35"/>
  <c r="AC54" i="35"/>
  <c r="AD53" i="35"/>
  <c r="AC53" i="35"/>
  <c r="AD52" i="35"/>
  <c r="AC52" i="35"/>
  <c r="AB58" i="35"/>
  <c r="AB57" i="35"/>
  <c r="AB56" i="35"/>
  <c r="AB54" i="35"/>
  <c r="AB53" i="35"/>
  <c r="AB52" i="35"/>
  <c r="AO58" i="35"/>
  <c r="AO57" i="35"/>
  <c r="AI50" i="35"/>
  <c r="AI49" i="35"/>
  <c r="AI48" i="35"/>
  <c r="AD50" i="35"/>
  <c r="AD49" i="35"/>
  <c r="AD48" i="35"/>
  <c r="AC50" i="35"/>
  <c r="AC49" i="35"/>
  <c r="AC48" i="35"/>
  <c r="AB50" i="35"/>
  <c r="AB49" i="35"/>
  <c r="AB46" i="35"/>
  <c r="AB45" i="35"/>
  <c r="AC45" i="35"/>
  <c r="AD45" i="35"/>
  <c r="AF45" i="35"/>
  <c r="AC46" i="35"/>
  <c r="AD46" i="35"/>
  <c r="AF46" i="35"/>
  <c r="AD30" i="35"/>
  <c r="AD31" i="35"/>
  <c r="AD32" i="35"/>
  <c r="AD33" i="35"/>
  <c r="AD34" i="35"/>
  <c r="AD35" i="35"/>
  <c r="AD29" i="35"/>
  <c r="AB31" i="35"/>
  <c r="AB32" i="35"/>
  <c r="AB33" i="35"/>
  <c r="AB34" i="35"/>
  <c r="AB35" i="35"/>
  <c r="AB30" i="35"/>
  <c r="AB29" i="35"/>
  <c r="AD40" i="35"/>
  <c r="AD44" i="35"/>
  <c r="AB48" i="35"/>
  <c r="AF44" i="35"/>
  <c r="AE30" i="35"/>
  <c r="AE31" i="35"/>
  <c r="AE32" i="35"/>
  <c r="AE33" i="35"/>
  <c r="AE34" i="35"/>
  <c r="AE35" i="35"/>
  <c r="AE29" i="35"/>
  <c r="J24" i="28"/>
  <c r="AI44" i="35" s="1"/>
  <c r="AE36" i="35" l="1"/>
  <c r="AF59" i="35"/>
  <c r="AB67" i="35"/>
  <c r="AB44" i="35"/>
  <c r="AB59" i="35" s="1"/>
  <c r="AA57" i="35"/>
  <c r="AA58" i="35"/>
  <c r="AC44" i="35"/>
  <c r="AA56" i="35"/>
  <c r="AA53" i="35"/>
  <c r="AA54" i="35"/>
  <c r="AA52" i="35"/>
  <c r="AA49" i="35"/>
  <c r="AA50" i="35"/>
  <c r="AA48" i="35"/>
  <c r="AA55" i="35"/>
  <c r="AA51" i="35"/>
  <c r="AA47" i="35"/>
  <c r="AA45" i="35"/>
  <c r="AA46" i="35"/>
  <c r="AA44" i="35"/>
  <c r="AA43" i="35"/>
  <c r="AA42" i="35"/>
  <c r="AG42" i="35"/>
  <c r="AE42" i="35"/>
  <c r="AN40" i="35"/>
  <c r="AP28" i="35"/>
  <c r="AM28" i="35"/>
  <c r="AJ28" i="35"/>
  <c r="AG28" i="35"/>
  <c r="AE28" i="35"/>
  <c r="AH28" i="35" s="1"/>
  <c r="AK28" i="35" s="1"/>
  <c r="AN28" i="35" s="1"/>
  <c r="AN26" i="35"/>
  <c r="AK26" i="35"/>
  <c r="AH26" i="35"/>
  <c r="AE26" i="35"/>
  <c r="AC38" i="35"/>
  <c r="AC29" i="35"/>
  <c r="AC30" i="35"/>
  <c r="AC31" i="35"/>
  <c r="AC32" i="35"/>
  <c r="AC33" i="35"/>
  <c r="AA30" i="35"/>
  <c r="AA31" i="35"/>
  <c r="AA32" i="35"/>
  <c r="AA33" i="35"/>
  <c r="AA34" i="35"/>
  <c r="AA35" i="35"/>
  <c r="AD25" i="35"/>
  <c r="AC64" i="35"/>
  <c r="AC65" i="35"/>
  <c r="AC66" i="35"/>
  <c r="AA72" i="35"/>
  <c r="AA70" i="35"/>
  <c r="AA69" i="35"/>
  <c r="AA36" i="35"/>
  <c r="AA38" i="35"/>
  <c r="AA40" i="35"/>
  <c r="AA59" i="35"/>
  <c r="AA61" i="35"/>
  <c r="AA63" i="35"/>
  <c r="AA64" i="35"/>
  <c r="AA65" i="35"/>
  <c r="AA66" i="35"/>
  <c r="AA67" i="35"/>
  <c r="AA68" i="35"/>
  <c r="F70" i="1"/>
  <c r="I9" i="35" l="1"/>
  <c r="AT112" i="35"/>
  <c r="F35" i="1" l="1"/>
  <c r="H35" i="1" l="1"/>
  <c r="B8" i="35"/>
  <c r="I8" i="35"/>
  <c r="G6" i="35"/>
  <c r="J7" i="30"/>
  <c r="B7" i="30"/>
  <c r="T8" i="27"/>
  <c r="B8" i="27"/>
  <c r="J8" i="27"/>
  <c r="E5" i="2"/>
  <c r="K5" i="1"/>
  <c r="O5" i="28"/>
  <c r="J5" i="28"/>
  <c r="B5" i="32"/>
  <c r="H8" i="32"/>
  <c r="B8" i="32"/>
  <c r="O5" i="20"/>
  <c r="H5" i="2" s="1" a="1"/>
  <c r="H5" i="2" s="1"/>
  <c r="G5" i="20"/>
  <c r="D16" i="22" l="1"/>
  <c r="E16" i="22"/>
  <c r="F16" i="22"/>
  <c r="C16" i="22"/>
  <c r="P120" i="1" l="1"/>
  <c r="F59" i="1" l="1"/>
  <c r="D10" i="2" l="1"/>
  <c r="F123" i="1" l="1"/>
  <c r="F122" i="1"/>
  <c r="P122" i="1"/>
  <c r="Q122" i="1" s="1"/>
  <c r="R122" i="1" s="1"/>
  <c r="P123" i="1"/>
  <c r="Q123" i="1" s="1"/>
  <c r="R123" i="1" s="1"/>
  <c r="H122" i="1" l="1"/>
  <c r="J122" i="1" s="1"/>
  <c r="L122" i="1" s="1"/>
  <c r="H123" i="1"/>
  <c r="J123" i="1" l="1"/>
  <c r="D11" i="2"/>
  <c r="L123" i="1" l="1"/>
  <c r="G33" i="30" l="1"/>
  <c r="H33" i="30" s="1"/>
  <c r="I33" i="30" s="1"/>
  <c r="J33" i="30" s="1"/>
  <c r="K33" i="30" s="1"/>
  <c r="L33" i="30" s="1"/>
  <c r="M33" i="30" s="1"/>
  <c r="N33" i="30" s="1"/>
  <c r="O33" i="30" s="1"/>
  <c r="P33" i="30" s="1"/>
  <c r="Q33" i="30" s="1"/>
  <c r="R33" i="30" s="1"/>
  <c r="B31" i="22" l="1"/>
  <c r="D31" i="22" l="1"/>
  <c r="E31" i="22"/>
  <c r="F31" i="22"/>
  <c r="C31" i="22"/>
  <c r="F119" i="1" l="1"/>
  <c r="U41" i="30" s="1"/>
  <c r="F120" i="1"/>
  <c r="H119" i="1" l="1"/>
  <c r="O119" i="1"/>
  <c r="I31" i="35"/>
  <c r="I29" i="35"/>
  <c r="I28" i="35"/>
  <c r="I26" i="35"/>
  <c r="I24" i="35"/>
  <c r="I23" i="35"/>
  <c r="I21" i="35"/>
  <c r="J119" i="1" l="1"/>
  <c r="L119" i="1" s="1"/>
  <c r="V39" i="35" l="1"/>
  <c r="K28" i="20" l="1"/>
  <c r="M28" i="20" s="1"/>
  <c r="H57" i="32"/>
  <c r="I57" i="32" s="1"/>
  <c r="J57" i="32" s="1"/>
  <c r="Q120" i="1" l="1"/>
  <c r="R120" i="1" s="1"/>
  <c r="H120" i="1" l="1"/>
  <c r="J120" i="1" l="1"/>
  <c r="L120" i="1" l="1"/>
  <c r="Q41" i="30" l="1"/>
  <c r="K41" i="30"/>
  <c r="M41" i="30"/>
  <c r="G41" i="30"/>
  <c r="O41" i="30"/>
  <c r="P41" i="30"/>
  <c r="R41" i="30"/>
  <c r="H41" i="30"/>
  <c r="N41" i="30"/>
  <c r="J41" i="30"/>
  <c r="L41" i="30"/>
  <c r="I41" i="30"/>
  <c r="R22" i="29"/>
  <c r="Q22" i="29"/>
  <c r="R23" i="29"/>
  <c r="Q23" i="29"/>
  <c r="P22" i="29"/>
  <c r="P23" i="29"/>
  <c r="O37" i="28"/>
  <c r="AN57" i="35" s="1"/>
  <c r="S41" i="30" l="1"/>
  <c r="T41" i="30" s="1"/>
  <c r="S23" i="29"/>
  <c r="T22" i="29"/>
  <c r="S22" i="29"/>
  <c r="T23" i="29"/>
  <c r="A26" i="29" l="1"/>
  <c r="L40" i="29" l="1"/>
  <c r="I74" i="32"/>
  <c r="AJ69" i="35"/>
  <c r="N48" i="28" l="1"/>
  <c r="AM69" i="35" s="1"/>
  <c r="H59" i="26"/>
  <c r="D29" i="22"/>
  <c r="E29" i="22"/>
  <c r="F29" i="22"/>
  <c r="C29" i="22"/>
  <c r="H61" i="32" l="1"/>
  <c r="I61" i="32" s="1"/>
  <c r="I31" i="27" s="1"/>
  <c r="K48" i="35"/>
  <c r="I42" i="35"/>
  <c r="I46" i="35"/>
  <c r="I48" i="35"/>
  <c r="I41" i="35"/>
  <c r="H31" i="27" l="1"/>
  <c r="M70" i="32"/>
  <c r="I78" i="32"/>
  <c r="J61" i="32" l="1"/>
  <c r="J31" i="27" s="1"/>
  <c r="I69" i="32"/>
  <c r="N47" i="28" s="1"/>
  <c r="J78" i="32"/>
  <c r="K78" i="32" s="1"/>
  <c r="E46" i="35"/>
  <c r="F46" i="35"/>
  <c r="G46" i="35"/>
  <c r="D46" i="35"/>
  <c r="C45" i="35"/>
  <c r="J69" i="32" l="1"/>
  <c r="Q47" i="28" s="1"/>
  <c r="I32" i="27"/>
  <c r="K61" i="32"/>
  <c r="K31" i="27" s="1"/>
  <c r="J74" i="32"/>
  <c r="J72" i="32"/>
  <c r="J30" i="22"/>
  <c r="I30" i="22"/>
  <c r="Q48" i="28" l="1"/>
  <c r="AP69" i="35" s="1"/>
  <c r="K69" i="32"/>
  <c r="J32" i="27"/>
  <c r="K72" i="32"/>
  <c r="M72" i="32" s="1"/>
  <c r="K74" i="32"/>
  <c r="M74" i="32" s="1"/>
  <c r="H33" i="27"/>
  <c r="K32" i="27" l="1"/>
  <c r="I33" i="27"/>
  <c r="P48" i="1"/>
  <c r="Q48" i="1" s="1"/>
  <c r="R48" i="1" s="1"/>
  <c r="Q49" i="1"/>
  <c r="R49" i="1" s="1"/>
  <c r="J33" i="27" l="1"/>
  <c r="K33" i="27" l="1"/>
  <c r="L20" i="28" l="1"/>
  <c r="AK40" i="35" s="1"/>
  <c r="H79" i="32" l="1"/>
  <c r="I79" i="32" s="1"/>
  <c r="J79" i="32" s="1"/>
  <c r="K79" i="32" s="1"/>
  <c r="H34" i="27" l="1"/>
  <c r="V67" i="35" s="1"/>
  <c r="K40" i="2"/>
  <c r="L40" i="2" s="1"/>
  <c r="M40" i="2" s="1"/>
  <c r="E39" i="2"/>
  <c r="F39" i="2" s="1"/>
  <c r="F68" i="1"/>
  <c r="F67" i="1"/>
  <c r="F66" i="1"/>
  <c r="F65" i="1"/>
  <c r="F49" i="1"/>
  <c r="F50" i="1"/>
  <c r="F51" i="1"/>
  <c r="F75" i="1"/>
  <c r="F86" i="1"/>
  <c r="F102" i="1"/>
  <c r="F103" i="1"/>
  <c r="F111" i="1"/>
  <c r="F117" i="1"/>
  <c r="I34" i="27" l="1"/>
  <c r="W67" i="35" s="1"/>
  <c r="F95" i="1"/>
  <c r="F96" i="1"/>
  <c r="F97" i="1"/>
  <c r="J34" i="27" l="1"/>
  <c r="X67" i="35" s="1"/>
  <c r="H58" i="26"/>
  <c r="H46" i="35" s="1"/>
  <c r="K34" i="27" l="1"/>
  <c r="Y67" i="35" s="1"/>
  <c r="D20" i="22" l="1"/>
  <c r="E20" i="22"/>
  <c r="F20" i="22"/>
  <c r="C20" i="22"/>
  <c r="I17" i="28" l="1"/>
  <c r="AH35" i="35" s="1"/>
  <c r="I16" i="28"/>
  <c r="AH34" i="35" s="1"/>
  <c r="I15" i="28"/>
  <c r="AH33" i="35" s="1"/>
  <c r="I14" i="28"/>
  <c r="AH32" i="35" s="1"/>
  <c r="I13" i="28"/>
  <c r="AH31" i="35" s="1"/>
  <c r="I12" i="28"/>
  <c r="AH30" i="35" s="1"/>
  <c r="I11" i="28"/>
  <c r="AH29" i="35" s="1"/>
  <c r="AH36" i="35" l="1"/>
  <c r="L16" i="28"/>
  <c r="L11" i="28"/>
  <c r="AK29" i="35" s="1"/>
  <c r="L15" i="28"/>
  <c r="L14" i="28"/>
  <c r="L12" i="28"/>
  <c r="L17" i="28"/>
  <c r="AK35" i="35" s="1"/>
  <c r="L13" i="28"/>
  <c r="B94" i="29"/>
  <c r="O13" i="28" l="1"/>
  <c r="AN31" i="35" s="1"/>
  <c r="AK31" i="35"/>
  <c r="O14" i="28"/>
  <c r="AN32" i="35" s="1"/>
  <c r="AK32" i="35"/>
  <c r="O15" i="28"/>
  <c r="AN33" i="35" s="1"/>
  <c r="AK33" i="35"/>
  <c r="O16" i="28"/>
  <c r="AK34" i="35"/>
  <c r="O12" i="28"/>
  <c r="AN30" i="35" s="1"/>
  <c r="AK30" i="35"/>
  <c r="O11" i="28"/>
  <c r="AD9" i="29"/>
  <c r="AD10" i="29"/>
  <c r="O17" i="28"/>
  <c r="AN35" i="35" s="1"/>
  <c r="F12" i="1"/>
  <c r="F41" i="1" s="1"/>
  <c r="Z25" i="30" l="1"/>
  <c r="AD8" i="29"/>
  <c r="AK36" i="35"/>
  <c r="AD11" i="29"/>
  <c r="AD12" i="29"/>
  <c r="AN34" i="35"/>
  <c r="AD7" i="29"/>
  <c r="AN29" i="35"/>
  <c r="AN36" i="35" s="1"/>
  <c r="AD13" i="29"/>
  <c r="B59" i="30"/>
  <c r="R64" i="27"/>
  <c r="B64" i="27"/>
  <c r="B53" i="28"/>
  <c r="B127" i="1"/>
  <c r="B67" i="26"/>
  <c r="AB25" i="30" l="1"/>
  <c r="AF25" i="30" s="1"/>
  <c r="E19" i="35"/>
  <c r="F19" i="35"/>
  <c r="G19" i="35"/>
  <c r="D19" i="35"/>
  <c r="AD25" i="30" l="1"/>
  <c r="K17" i="28"/>
  <c r="AJ35" i="35" s="1"/>
  <c r="K16" i="28"/>
  <c r="AJ34" i="35" s="1"/>
  <c r="K15" i="28"/>
  <c r="AJ33" i="35" s="1"/>
  <c r="K14" i="28"/>
  <c r="AJ32" i="35" s="1"/>
  <c r="K13" i="28"/>
  <c r="AJ31" i="35" s="1"/>
  <c r="K12" i="28"/>
  <c r="AJ30" i="35" s="1"/>
  <c r="AG35" i="35"/>
  <c r="AG34" i="35"/>
  <c r="AG33" i="35"/>
  <c r="AG32" i="35"/>
  <c r="AG31" i="35"/>
  <c r="AG30" i="35"/>
  <c r="AG29" i="35"/>
  <c r="AG36" i="35" l="1"/>
  <c r="Y27" i="29"/>
  <c r="F121" i="1" l="1"/>
  <c r="W39" i="35" l="1"/>
  <c r="X39" i="35"/>
  <c r="Y39" i="35"/>
  <c r="R39" i="35"/>
  <c r="K57" i="32" l="1"/>
  <c r="V66" i="35" l="1"/>
  <c r="W66" i="35" l="1"/>
  <c r="G51" i="30" l="1"/>
  <c r="Y66" i="35"/>
  <c r="X66" i="35"/>
  <c r="I16" i="27"/>
  <c r="J16" i="27"/>
  <c r="K16" i="27"/>
  <c r="H16" i="27"/>
  <c r="L10" i="1" l="1"/>
  <c r="H9" i="2" s="1"/>
  <c r="J10" i="1"/>
  <c r="G9" i="2" s="1"/>
  <c r="H10" i="1"/>
  <c r="F9" i="2" s="1"/>
  <c r="F10" i="1"/>
  <c r="E9" i="2" s="1"/>
  <c r="D10" i="1"/>
  <c r="D9" i="2" s="1"/>
  <c r="AG8" i="35" l="1"/>
  <c r="AE8" i="35"/>
  <c r="E17" i="35" l="1"/>
  <c r="F17" i="35"/>
  <c r="G17" i="35"/>
  <c r="D17" i="35"/>
  <c r="J52" i="26" l="1"/>
  <c r="F76" i="35" l="1"/>
  <c r="E87" i="2" l="1"/>
  <c r="F22" i="26" l="1"/>
  <c r="G22" i="26" s="1"/>
  <c r="I20" i="35"/>
  <c r="I18" i="35"/>
  <c r="I16" i="35"/>
  <c r="V55" i="35" l="1"/>
  <c r="W55" i="35"/>
  <c r="X55" i="35"/>
  <c r="Y55" i="35"/>
  <c r="E16" i="35" l="1"/>
  <c r="F16" i="35"/>
  <c r="G16" i="35"/>
  <c r="E18" i="35"/>
  <c r="F18" i="35"/>
  <c r="G18" i="35"/>
  <c r="E20" i="35"/>
  <c r="F20" i="35"/>
  <c r="G20" i="35"/>
  <c r="P13" i="27" l="1"/>
  <c r="C3" i="34" s="1"/>
  <c r="G21" i="35"/>
  <c r="F21" i="35"/>
  <c r="E21" i="35"/>
  <c r="D21" i="35"/>
  <c r="E29" i="35" l="1"/>
  <c r="F29" i="35"/>
  <c r="G29" i="35"/>
  <c r="D29" i="35"/>
  <c r="F74" i="35"/>
  <c r="D74" i="35"/>
  <c r="N73" i="35"/>
  <c r="L73" i="35"/>
  <c r="J73" i="35"/>
  <c r="H73" i="35"/>
  <c r="F73" i="35"/>
  <c r="D73" i="35"/>
  <c r="K8" i="20" l="1"/>
  <c r="E15" i="35" s="1"/>
  <c r="R199" i="35"/>
  <c r="M8" i="20" l="1"/>
  <c r="F15" i="35" s="1"/>
  <c r="D94" i="29"/>
  <c r="V68" i="35"/>
  <c r="W68" i="35"/>
  <c r="X68" i="35"/>
  <c r="Y68" i="35"/>
  <c r="O8" i="20" l="1"/>
  <c r="G15" i="35" s="1"/>
  <c r="F94" i="29"/>
  <c r="U48" i="35"/>
  <c r="T48" i="35"/>
  <c r="U44" i="35"/>
  <c r="T44" i="35"/>
  <c r="Y41" i="35"/>
  <c r="X41" i="35"/>
  <c r="W41" i="35"/>
  <c r="V41" i="35"/>
  <c r="U41" i="35"/>
  <c r="T41" i="35"/>
  <c r="T38" i="35"/>
  <c r="U38" i="35"/>
  <c r="T37" i="35"/>
  <c r="U37" i="35"/>
  <c r="Y35" i="35"/>
  <c r="X35" i="35"/>
  <c r="W35" i="35"/>
  <c r="V35" i="35"/>
  <c r="U35" i="35"/>
  <c r="T35" i="35"/>
  <c r="T29" i="35"/>
  <c r="U29" i="35"/>
  <c r="T30" i="35"/>
  <c r="U30" i="35"/>
  <c r="T31" i="35"/>
  <c r="U31" i="35"/>
  <c r="T33" i="35"/>
  <c r="U33" i="35"/>
  <c r="U23" i="35"/>
  <c r="U22" i="35"/>
  <c r="U21" i="35"/>
  <c r="T19" i="35"/>
  <c r="U19" i="35"/>
  <c r="U18" i="35"/>
  <c r="U16" i="35"/>
  <c r="U14" i="35"/>
  <c r="U13" i="35"/>
  <c r="U12" i="35"/>
  <c r="U11" i="35"/>
  <c r="T13" i="35"/>
  <c r="T12" i="35"/>
  <c r="T11" i="35"/>
  <c r="T10" i="35"/>
  <c r="U10" i="35"/>
  <c r="U8" i="35"/>
  <c r="T23" i="35"/>
  <c r="T22" i="35"/>
  <c r="T21" i="35"/>
  <c r="T18" i="35"/>
  <c r="T16" i="35"/>
  <c r="T14" i="35"/>
  <c r="T8" i="35"/>
  <c r="F54" i="35"/>
  <c r="H54" i="35"/>
  <c r="J54" i="35"/>
  <c r="L54" i="35"/>
  <c r="N54" i="35"/>
  <c r="D54" i="35"/>
  <c r="F52" i="35"/>
  <c r="J52" i="35"/>
  <c r="L52" i="35"/>
  <c r="D52" i="35"/>
  <c r="D34" i="35"/>
  <c r="D76" i="35"/>
  <c r="O73" i="35"/>
  <c r="N57" i="35"/>
  <c r="N67" i="35"/>
  <c r="N68" i="35"/>
  <c r="M73" i="35"/>
  <c r="L57" i="35"/>
  <c r="L67" i="35"/>
  <c r="L68" i="35"/>
  <c r="K73" i="35"/>
  <c r="J57" i="35"/>
  <c r="J67" i="35"/>
  <c r="J68" i="35"/>
  <c r="I73" i="35"/>
  <c r="H57" i="35"/>
  <c r="H67" i="35"/>
  <c r="H68" i="35"/>
  <c r="G73" i="35"/>
  <c r="F56" i="35"/>
  <c r="F57" i="35"/>
  <c r="F59" i="35"/>
  <c r="F60" i="35"/>
  <c r="F61" i="35"/>
  <c r="F62" i="35"/>
  <c r="F63" i="35"/>
  <c r="F65" i="35"/>
  <c r="F67" i="35"/>
  <c r="F68" i="35"/>
  <c r="F69" i="35"/>
  <c r="F72" i="35"/>
  <c r="F55" i="35"/>
  <c r="E73" i="35"/>
  <c r="D56" i="35"/>
  <c r="D57" i="35"/>
  <c r="D59" i="35"/>
  <c r="D60" i="35"/>
  <c r="D61" i="35"/>
  <c r="D62" i="35"/>
  <c r="D63" i="35"/>
  <c r="D65" i="35"/>
  <c r="D67" i="35"/>
  <c r="D68" i="35"/>
  <c r="D69" i="35"/>
  <c r="D72" i="35"/>
  <c r="D55" i="35"/>
  <c r="E37" i="35"/>
  <c r="F37" i="35"/>
  <c r="G37" i="35"/>
  <c r="E38" i="35"/>
  <c r="F38" i="35"/>
  <c r="G38" i="35"/>
  <c r="E40" i="35"/>
  <c r="F40" i="35"/>
  <c r="G40" i="35"/>
  <c r="E41" i="35"/>
  <c r="F41" i="35"/>
  <c r="G41" i="35"/>
  <c r="E43" i="35"/>
  <c r="F43" i="35"/>
  <c r="G43" i="35"/>
  <c r="E44" i="35"/>
  <c r="F44" i="35"/>
  <c r="G44" i="35"/>
  <c r="E45" i="35"/>
  <c r="F45" i="35"/>
  <c r="G45" i="35"/>
  <c r="D45" i="35"/>
  <c r="D44" i="35"/>
  <c r="D43" i="35"/>
  <c r="D41" i="35"/>
  <c r="D40" i="35"/>
  <c r="D38" i="35"/>
  <c r="D37" i="35"/>
  <c r="E24" i="35"/>
  <c r="F24" i="35"/>
  <c r="G24" i="35"/>
  <c r="E25" i="35"/>
  <c r="F25" i="35"/>
  <c r="G25" i="35"/>
  <c r="E26" i="35"/>
  <c r="F26" i="35"/>
  <c r="G26" i="35"/>
  <c r="E27" i="35"/>
  <c r="F27" i="35"/>
  <c r="G27" i="35"/>
  <c r="E28" i="35"/>
  <c r="F28" i="35"/>
  <c r="G28" i="35"/>
  <c r="D28" i="35"/>
  <c r="D27" i="35"/>
  <c r="D26" i="35"/>
  <c r="E23" i="35"/>
  <c r="F23" i="35"/>
  <c r="G23" i="35"/>
  <c r="D25" i="35"/>
  <c r="D24" i="35"/>
  <c r="D23" i="35"/>
  <c r="E22" i="35"/>
  <c r="F22" i="35"/>
  <c r="G22" i="35"/>
  <c r="D22" i="35"/>
  <c r="D20" i="35"/>
  <c r="D18" i="35"/>
  <c r="D16" i="35"/>
  <c r="I12" i="35"/>
  <c r="I10" i="35"/>
  <c r="N52" i="35" l="1"/>
  <c r="H94" i="29"/>
  <c r="H8" i="2"/>
  <c r="L8" i="1"/>
  <c r="K11" i="27"/>
  <c r="U25" i="35"/>
  <c r="H23" i="35"/>
  <c r="H28" i="35"/>
  <c r="H26" i="35"/>
  <c r="H20" i="35"/>
  <c r="H18" i="35"/>
  <c r="H29" i="35"/>
  <c r="H16" i="35"/>
  <c r="H21" i="35"/>
  <c r="U5" i="35"/>
  <c r="AG5" i="35" s="1"/>
  <c r="H24" i="35"/>
  <c r="D31" i="35"/>
  <c r="H31" i="35" l="1"/>
  <c r="F40" i="32" l="1"/>
  <c r="J35" i="32"/>
  <c r="J40" i="27" s="1"/>
  <c r="X73" i="35" s="1"/>
  <c r="K35" i="32"/>
  <c r="I35" i="32"/>
  <c r="F41" i="32"/>
  <c r="T17" i="35" s="1"/>
  <c r="I90" i="32" l="1"/>
  <c r="J90" i="32" s="1"/>
  <c r="K90" i="32" s="1"/>
  <c r="H40" i="27"/>
  <c r="V73" i="35" s="1"/>
  <c r="F89" i="32"/>
  <c r="P15" i="27" l="1"/>
  <c r="B25" i="27"/>
  <c r="B26" i="27" s="1"/>
  <c r="B27" i="27" s="1"/>
  <c r="B28" i="27" s="1"/>
  <c r="B29" i="27" s="1"/>
  <c r="B30" i="27" s="1"/>
  <c r="B31" i="27" l="1"/>
  <c r="B32" i="27" s="1"/>
  <c r="B33" i="27" s="1"/>
  <c r="B34" i="27" s="1"/>
  <c r="B35" i="27" s="1"/>
  <c r="B36" i="27" s="1"/>
  <c r="B37" i="27" s="1"/>
  <c r="B38" i="27" s="1"/>
  <c r="B39" i="27" s="1"/>
  <c r="B40" i="27" s="1"/>
  <c r="B41" i="27" s="1"/>
  <c r="B42" i="27" s="1"/>
  <c r="B43" i="27" s="1"/>
  <c r="P14" i="27"/>
  <c r="D77" i="35" s="1"/>
  <c r="G14" i="20" l="1"/>
  <c r="H19" i="20" s="1"/>
  <c r="E14" i="20"/>
  <c r="F19" i="20" l="1"/>
  <c r="H18" i="20"/>
  <c r="F58" i="35"/>
  <c r="D58" i="35"/>
  <c r="F58" i="27" l="1"/>
  <c r="F56" i="27"/>
  <c r="F54" i="27"/>
  <c r="F55" i="27" s="1"/>
  <c r="AE11" i="35"/>
  <c r="F51" i="27"/>
  <c r="AE9" i="35" s="1"/>
  <c r="AE7" i="35"/>
  <c r="G58" i="27"/>
  <c r="G56" i="27"/>
  <c r="G54" i="27"/>
  <c r="G55" i="27" s="1"/>
  <c r="AG13" i="35" s="1"/>
  <c r="AG11" i="35"/>
  <c r="G51" i="27"/>
  <c r="AG7" i="35"/>
  <c r="AE16" i="35" l="1"/>
  <c r="F59" i="27"/>
  <c r="AE17" i="35" s="1"/>
  <c r="F45" i="32"/>
  <c r="AE13" i="35"/>
  <c r="F57" i="27"/>
  <c r="AE14" i="35"/>
  <c r="G59" i="27"/>
  <c r="AG16" i="35"/>
  <c r="G57" i="27"/>
  <c r="Q3" i="33" s="1"/>
  <c r="AG14" i="35"/>
  <c r="G52" i="27"/>
  <c r="H52" i="27" s="1"/>
  <c r="AG9" i="35"/>
  <c r="F52" i="27"/>
  <c r="F60" i="27"/>
  <c r="AE18" i="35" s="1"/>
  <c r="G60" i="27"/>
  <c r="AG18" i="35" s="1"/>
  <c r="C3" i="33" l="1"/>
  <c r="D3" i="33" s="1"/>
  <c r="E16" i="30"/>
  <c r="G82" i="32"/>
  <c r="H57" i="27"/>
  <c r="AG10" i="35"/>
  <c r="I52" i="27"/>
  <c r="AG17" i="35"/>
  <c r="H59" i="27"/>
  <c r="F43" i="32"/>
  <c r="AE10" i="35"/>
  <c r="AG15" i="35"/>
  <c r="F82" i="32"/>
  <c r="AE15" i="35"/>
  <c r="G61" i="27"/>
  <c r="AG19" i="35" s="1"/>
  <c r="C8" i="33" l="1"/>
  <c r="D8" i="33" s="1"/>
  <c r="E8" i="33" s="1"/>
  <c r="C9" i="33"/>
  <c r="D9" i="33" s="1"/>
  <c r="E9" i="33" s="1"/>
  <c r="F9" i="33" s="1"/>
  <c r="E3" i="33"/>
  <c r="E23" i="30"/>
  <c r="AJ68" i="35"/>
  <c r="F43" i="27"/>
  <c r="G43" i="27"/>
  <c r="H48" i="27"/>
  <c r="I48" i="27" s="1"/>
  <c r="J48" i="27" s="1"/>
  <c r="K48" i="27" s="1"/>
  <c r="F3" i="33" l="1"/>
  <c r="F8" i="33" s="1"/>
  <c r="R3" i="33"/>
  <c r="AM68" i="35"/>
  <c r="F11" i="32"/>
  <c r="T6" i="35" s="1"/>
  <c r="T27" i="35" s="1"/>
  <c r="F95" i="32"/>
  <c r="F91" i="32"/>
  <c r="T47" i="35" s="1"/>
  <c r="F84" i="32"/>
  <c r="T46" i="35" s="1"/>
  <c r="F80" i="32"/>
  <c r="T45" i="35" s="1"/>
  <c r="F76" i="32"/>
  <c r="F71" i="32"/>
  <c r="T40" i="35" s="1"/>
  <c r="F62" i="32"/>
  <c r="T34" i="35" s="1"/>
  <c r="F38" i="32"/>
  <c r="F18" i="32"/>
  <c r="U6" i="35"/>
  <c r="U27" i="35" s="1"/>
  <c r="F29" i="20"/>
  <c r="E74" i="35" s="1"/>
  <c r="S3" i="33" l="1"/>
  <c r="AG6" i="35"/>
  <c r="AU7" i="35" s="1"/>
  <c r="AE6" i="35"/>
  <c r="AT7" i="35" s="1"/>
  <c r="AP68" i="35"/>
  <c r="F67" i="32"/>
  <c r="P80" i="27" s="1"/>
  <c r="F75" i="32"/>
  <c r="T43" i="35"/>
  <c r="T15" i="35"/>
  <c r="F13" i="32"/>
  <c r="T7" i="35" s="1"/>
  <c r="T9" i="35"/>
  <c r="F54" i="32"/>
  <c r="F11" i="27"/>
  <c r="E20" i="20"/>
  <c r="F15" i="20"/>
  <c r="E59" i="35" s="1"/>
  <c r="F17" i="20"/>
  <c r="E61" i="35" s="1"/>
  <c r="F23" i="20"/>
  <c r="E67" i="35" s="1"/>
  <c r="F18" i="20"/>
  <c r="E62" i="35" s="1"/>
  <c r="F24" i="20"/>
  <c r="E68" i="35" s="1"/>
  <c r="F27" i="20"/>
  <c r="E72" i="35" s="1"/>
  <c r="F30" i="20"/>
  <c r="E75" i="35" s="1"/>
  <c r="F21" i="20"/>
  <c r="E65" i="35" s="1"/>
  <c r="F16" i="20"/>
  <c r="E60" i="35" s="1"/>
  <c r="E63" i="35"/>
  <c r="F25" i="20"/>
  <c r="E69" i="35" s="1"/>
  <c r="T36" i="35" l="1"/>
  <c r="P29" i="27"/>
  <c r="AT11" i="35" s="1"/>
  <c r="P27" i="27"/>
  <c r="P46" i="27"/>
  <c r="C53" i="34" s="1"/>
  <c r="T42" i="35"/>
  <c r="F51" i="32"/>
  <c r="T24" i="35" s="1"/>
  <c r="E22" i="20"/>
  <c r="D64" i="35"/>
  <c r="P18" i="27"/>
  <c r="F47" i="27"/>
  <c r="P11" i="27"/>
  <c r="P44" i="27"/>
  <c r="C51" i="34" s="1"/>
  <c r="F20" i="20"/>
  <c r="C2" i="34" l="1"/>
  <c r="C26" i="34" s="1"/>
  <c r="P72" i="27"/>
  <c r="P86" i="27"/>
  <c r="D66" i="35"/>
  <c r="P20" i="27"/>
  <c r="P74" i="27" s="1"/>
  <c r="P81" i="27"/>
  <c r="Q79" i="27"/>
  <c r="AT9" i="35"/>
  <c r="P30" i="27"/>
  <c r="AT12" i="35" s="1"/>
  <c r="P28" i="27"/>
  <c r="AT10" i="35" s="1"/>
  <c r="F22" i="20"/>
  <c r="E26" i="20"/>
  <c r="E64" i="35"/>
  <c r="P19" i="27"/>
  <c r="C27" i="34" s="1"/>
  <c r="H49" i="26"/>
  <c r="H38" i="35" s="1"/>
  <c r="H38" i="26"/>
  <c r="F26" i="20" l="1"/>
  <c r="E70" i="35" s="1"/>
  <c r="F15" i="27"/>
  <c r="E66" i="35"/>
  <c r="P21" i="27"/>
  <c r="E31" i="20"/>
  <c r="D70" i="35"/>
  <c r="C28" i="34" l="1"/>
  <c r="P22" i="27"/>
  <c r="AI8" i="35"/>
  <c r="F31" i="20"/>
  <c r="P24" i="27" s="1"/>
  <c r="C29" i="34" s="1"/>
  <c r="D75" i="35"/>
  <c r="P23" i="27"/>
  <c r="F60" i="32"/>
  <c r="F56" i="32" s="1"/>
  <c r="P76" i="27" s="1"/>
  <c r="P37" i="27" s="1"/>
  <c r="Q75" i="27" l="1"/>
  <c r="P77" i="27"/>
  <c r="P82" i="27" s="1"/>
  <c r="P16" i="27" s="1"/>
  <c r="P25" i="27" s="1"/>
  <c r="C30" i="34" s="1"/>
  <c r="T32" i="35"/>
  <c r="T28" i="35"/>
  <c r="F98" i="32"/>
  <c r="F127" i="1"/>
  <c r="J53" i="28"/>
  <c r="M59" i="30"/>
  <c r="M100" i="30" s="1"/>
  <c r="G64" i="27"/>
  <c r="G101" i="32"/>
  <c r="K36" i="20"/>
  <c r="D67" i="26"/>
  <c r="P38" i="27" l="1"/>
  <c r="P35" i="27"/>
  <c r="AT19" i="35"/>
  <c r="C4" i="34"/>
  <c r="P45" i="27"/>
  <c r="T49" i="35"/>
  <c r="C5" i="34"/>
  <c r="H48" i="32"/>
  <c r="AT17" i="35" l="1"/>
  <c r="P42" i="27"/>
  <c r="P43" i="27" s="1"/>
  <c r="P36" i="27"/>
  <c r="AT18" i="35" s="1"/>
  <c r="I48" i="32"/>
  <c r="V22" i="35"/>
  <c r="C52" i="34"/>
  <c r="P49" i="27"/>
  <c r="C54" i="34" s="1"/>
  <c r="V44" i="35"/>
  <c r="H29" i="27"/>
  <c r="V64" i="35" s="1"/>
  <c r="J48" i="32" l="1"/>
  <c r="W22" i="35"/>
  <c r="W44" i="35"/>
  <c r="H19" i="27"/>
  <c r="V58" i="35" s="1"/>
  <c r="J29" i="27"/>
  <c r="X64" i="35" s="1"/>
  <c r="I29" i="27"/>
  <c r="W64" i="35" s="1"/>
  <c r="H38" i="27"/>
  <c r="V71" i="35" s="1"/>
  <c r="K48" i="32" l="1"/>
  <c r="X22" i="35"/>
  <c r="Y44" i="35"/>
  <c r="X44" i="35"/>
  <c r="J38" i="27"/>
  <c r="X71" i="35" s="1"/>
  <c r="I19" i="27"/>
  <c r="W58" i="35" s="1"/>
  <c r="I38" i="27"/>
  <c r="W71" i="35" s="1"/>
  <c r="K38" i="27"/>
  <c r="Y71" i="35" s="1"/>
  <c r="Y22" i="35" l="1"/>
  <c r="K29" i="27"/>
  <c r="Y64" i="35" s="1"/>
  <c r="K19" i="27"/>
  <c r="Y58" i="35" s="1"/>
  <c r="J19" i="27"/>
  <c r="X58" i="35" s="1"/>
  <c r="V33" i="35" l="1"/>
  <c r="V38" i="35"/>
  <c r="W33" i="35" l="1"/>
  <c r="W38" i="35"/>
  <c r="Q35" i="1"/>
  <c r="J35" i="1" s="1"/>
  <c r="X33" i="35" l="1"/>
  <c r="R35" i="1"/>
  <c r="F16" i="2"/>
  <c r="G16" i="2" s="1"/>
  <c r="H16" i="2" s="1"/>
  <c r="L35" i="1" l="1"/>
  <c r="Y38" i="35"/>
  <c r="X38" i="35"/>
  <c r="Y33" i="35"/>
  <c r="U52" i="30" l="1"/>
  <c r="C20" i="33"/>
  <c r="C30" i="33" s="1"/>
  <c r="G89" i="32"/>
  <c r="H89" i="32" s="1"/>
  <c r="C34" i="33"/>
  <c r="L33" i="28"/>
  <c r="AK53" i="35" s="1"/>
  <c r="I95" i="32"/>
  <c r="J95" i="32" s="1"/>
  <c r="K95" i="32" s="1"/>
  <c r="AB26" i="29"/>
  <c r="AB35" i="29" s="1"/>
  <c r="AD35" i="29" s="1"/>
  <c r="J25" i="28"/>
  <c r="AI45" i="35" s="1"/>
  <c r="F114" i="1"/>
  <c r="F115" i="1"/>
  <c r="F90" i="1"/>
  <c r="F91" i="1"/>
  <c r="F92" i="1"/>
  <c r="F93" i="1"/>
  <c r="F77" i="1"/>
  <c r="F72" i="1"/>
  <c r="F73" i="1"/>
  <c r="F54" i="1"/>
  <c r="F55" i="1"/>
  <c r="F56" i="1"/>
  <c r="F57" i="1"/>
  <c r="F58" i="1"/>
  <c r="F60" i="1"/>
  <c r="F61" i="1"/>
  <c r="F62" i="1"/>
  <c r="H33" i="1"/>
  <c r="J33" i="1" s="1"/>
  <c r="L33" i="1" s="1"/>
  <c r="H36" i="1"/>
  <c r="J36" i="1" s="1"/>
  <c r="L36" i="1" s="1"/>
  <c r="J21" i="1"/>
  <c r="B26" i="29"/>
  <c r="C26" i="29"/>
  <c r="D26" i="29"/>
  <c r="J26" i="29"/>
  <c r="L26" i="29"/>
  <c r="P26" i="29"/>
  <c r="R26" i="29"/>
  <c r="V26" i="29"/>
  <c r="V35" i="29" s="1"/>
  <c r="X35" i="29" s="1"/>
  <c r="X26" i="29"/>
  <c r="AD26" i="29"/>
  <c r="A25" i="29"/>
  <c r="B25" i="29"/>
  <c r="C25" i="29"/>
  <c r="D25" i="29"/>
  <c r="J25" i="29"/>
  <c r="L25" i="29"/>
  <c r="P25" i="29"/>
  <c r="R25" i="29"/>
  <c r="V25" i="29"/>
  <c r="X25" i="29"/>
  <c r="AD25" i="29"/>
  <c r="O38" i="28"/>
  <c r="AN58" i="35" s="1"/>
  <c r="A23" i="29"/>
  <c r="B23" i="29"/>
  <c r="C23" i="29"/>
  <c r="D23" i="29"/>
  <c r="U23" i="29" s="1"/>
  <c r="W23" i="29"/>
  <c r="AC23" i="29" s="1"/>
  <c r="AI23" i="29" s="1"/>
  <c r="X23" i="29"/>
  <c r="AB23" i="29"/>
  <c r="P33" i="28"/>
  <c r="L34" i="28"/>
  <c r="AK54" i="35" s="1"/>
  <c r="M29" i="28"/>
  <c r="AL49" i="35" s="1"/>
  <c r="I29" i="28"/>
  <c r="AH49" i="35" s="1"/>
  <c r="A20" i="29"/>
  <c r="B20" i="29"/>
  <c r="C20" i="29"/>
  <c r="D20" i="29"/>
  <c r="Q20" i="29"/>
  <c r="W20" i="29" s="1"/>
  <c r="AC20" i="29" s="1"/>
  <c r="AI20" i="29" s="1"/>
  <c r="R20" i="29"/>
  <c r="V20" i="29"/>
  <c r="AB20" i="29"/>
  <c r="A17" i="29"/>
  <c r="B17" i="29"/>
  <c r="C17" i="29"/>
  <c r="D17" i="29"/>
  <c r="L17" i="29"/>
  <c r="P17" i="29"/>
  <c r="V17" i="29"/>
  <c r="AB17" i="29"/>
  <c r="F25" i="28"/>
  <c r="AE45" i="35" s="1"/>
  <c r="F26" i="28"/>
  <c r="AE46" i="35" s="1"/>
  <c r="J26" i="28"/>
  <c r="AI46" i="35" s="1"/>
  <c r="Q42" i="1"/>
  <c r="R42" i="1" s="1"/>
  <c r="I40" i="27"/>
  <c r="W73" i="35" s="1"/>
  <c r="K40" i="27"/>
  <c r="Y73" i="35" s="1"/>
  <c r="O9" i="29"/>
  <c r="O10" i="29"/>
  <c r="O13" i="29"/>
  <c r="O8" i="29"/>
  <c r="S40" i="30"/>
  <c r="S26" i="30"/>
  <c r="K12" i="22"/>
  <c r="L12" i="22"/>
  <c r="M12" i="22"/>
  <c r="N12" i="22"/>
  <c r="O12" i="22"/>
  <c r="P12" i="22"/>
  <c r="Q12" i="22"/>
  <c r="R12" i="22"/>
  <c r="S12" i="22"/>
  <c r="T12" i="22"/>
  <c r="U12" i="22"/>
  <c r="V12" i="22"/>
  <c r="L16" i="22"/>
  <c r="M16" i="22"/>
  <c r="N16" i="22"/>
  <c r="O16" i="22"/>
  <c r="P16" i="22"/>
  <c r="Q16" i="22"/>
  <c r="R16" i="22"/>
  <c r="S16" i="22"/>
  <c r="T16" i="22"/>
  <c r="U16" i="22"/>
  <c r="V16" i="22"/>
  <c r="J12" i="22"/>
  <c r="J14" i="22"/>
  <c r="J16" i="22"/>
  <c r="J18" i="22"/>
  <c r="J21" i="22"/>
  <c r="J23" i="22"/>
  <c r="J10" i="22"/>
  <c r="I10" i="22"/>
  <c r="I12" i="22"/>
  <c r="I14" i="22"/>
  <c r="I16" i="22"/>
  <c r="I18" i="22"/>
  <c r="I21" i="22"/>
  <c r="I23" i="22"/>
  <c r="H10" i="22"/>
  <c r="E38" i="29"/>
  <c r="A7" i="29"/>
  <c r="B7" i="29"/>
  <c r="N7" i="29" s="1"/>
  <c r="C7" i="29"/>
  <c r="D7" i="29"/>
  <c r="L7" i="29"/>
  <c r="A8" i="29"/>
  <c r="B8" i="29"/>
  <c r="N8" i="29" s="1"/>
  <c r="C8" i="29"/>
  <c r="D8" i="29"/>
  <c r="L8" i="29"/>
  <c r="A9" i="29"/>
  <c r="B9" i="29"/>
  <c r="C9" i="29"/>
  <c r="D9" i="29"/>
  <c r="L9" i="29"/>
  <c r="A10" i="29"/>
  <c r="B10" i="29"/>
  <c r="N10" i="29" s="1"/>
  <c r="C10" i="29"/>
  <c r="D10" i="29"/>
  <c r="L10" i="29"/>
  <c r="A11" i="29"/>
  <c r="B11" i="29"/>
  <c r="N11" i="29" s="1"/>
  <c r="C11" i="29"/>
  <c r="D11" i="29"/>
  <c r="L11" i="29"/>
  <c r="A12" i="29"/>
  <c r="B12" i="29"/>
  <c r="N12" i="29" s="1"/>
  <c r="C12" i="29"/>
  <c r="D12" i="29"/>
  <c r="L12" i="29"/>
  <c r="O12" i="29"/>
  <c r="A13" i="29"/>
  <c r="B13" i="29"/>
  <c r="N13" i="29" s="1"/>
  <c r="C13" i="29"/>
  <c r="D13" i="29"/>
  <c r="L13" i="29"/>
  <c r="F14" i="29"/>
  <c r="H14" i="29"/>
  <c r="P14" i="29"/>
  <c r="V14" i="29"/>
  <c r="AB14" i="29"/>
  <c r="AC14" i="29"/>
  <c r="AH14" i="29"/>
  <c r="AI14" i="29"/>
  <c r="AM14" i="29"/>
  <c r="A16" i="29"/>
  <c r="A33" i="29" s="1"/>
  <c r="B16" i="29"/>
  <c r="C16" i="29"/>
  <c r="D16" i="29"/>
  <c r="L16" i="29"/>
  <c r="P16" i="29"/>
  <c r="P33" i="29" s="1"/>
  <c r="R33" i="29" s="1"/>
  <c r="V16" i="29"/>
  <c r="V33" i="29" s="1"/>
  <c r="X33" i="29" s="1"/>
  <c r="AB16" i="29"/>
  <c r="AB33" i="29" s="1"/>
  <c r="AD33" i="29" s="1"/>
  <c r="A18" i="29"/>
  <c r="B18" i="29"/>
  <c r="C18" i="29"/>
  <c r="D18" i="29"/>
  <c r="L18" i="29"/>
  <c r="P18" i="29"/>
  <c r="V18" i="29"/>
  <c r="AB18" i="29"/>
  <c r="A19" i="29"/>
  <c r="B19" i="29"/>
  <c r="C19" i="29"/>
  <c r="D19" i="29"/>
  <c r="Q19" i="29"/>
  <c r="W19" i="29" s="1"/>
  <c r="AC19" i="29" s="1"/>
  <c r="AI19" i="29" s="1"/>
  <c r="R19" i="29"/>
  <c r="V19" i="29"/>
  <c r="AB19" i="29"/>
  <c r="A21" i="29"/>
  <c r="B21" i="29"/>
  <c r="C21" i="29"/>
  <c r="D21" i="29"/>
  <c r="Q21" i="29"/>
  <c r="W21" i="29" s="1"/>
  <c r="AC21" i="29" s="1"/>
  <c r="AI21" i="29" s="1"/>
  <c r="R21" i="29"/>
  <c r="V21" i="29"/>
  <c r="AB21" i="29"/>
  <c r="A22" i="29"/>
  <c r="B22" i="29"/>
  <c r="C22" i="29"/>
  <c r="D22" i="29"/>
  <c r="U22" i="29" s="1"/>
  <c r="W22" i="29"/>
  <c r="AC22" i="29" s="1"/>
  <c r="AI22" i="29" s="1"/>
  <c r="X22" i="29"/>
  <c r="AB22" i="29"/>
  <c r="A24" i="29"/>
  <c r="A34" i="29" s="1"/>
  <c r="B24" i="29"/>
  <c r="C24" i="29"/>
  <c r="D24" i="29"/>
  <c r="J24" i="29"/>
  <c r="J34" i="29" s="1"/>
  <c r="L34" i="29" s="1"/>
  <c r="L24" i="29"/>
  <c r="P24" i="29"/>
  <c r="P34" i="29" s="1"/>
  <c r="R34" i="29" s="1"/>
  <c r="R24" i="29"/>
  <c r="X24" i="29"/>
  <c r="AB24" i="29"/>
  <c r="AB34" i="29" s="1"/>
  <c r="AD34" i="29" s="1"/>
  <c r="A35" i="29"/>
  <c r="A27" i="29"/>
  <c r="A36" i="29" s="1"/>
  <c r="B27" i="29"/>
  <c r="C27" i="29"/>
  <c r="D27" i="29"/>
  <c r="J27" i="29"/>
  <c r="J36" i="29" s="1"/>
  <c r="L36" i="29" s="1"/>
  <c r="AC27" i="29"/>
  <c r="AI27" i="29" s="1"/>
  <c r="AD27" i="29"/>
  <c r="AH28" i="29"/>
  <c r="AH33" i="29"/>
  <c r="AJ33" i="29" s="1"/>
  <c r="AH34" i="29"/>
  <c r="AJ34" i="29" s="1"/>
  <c r="P35" i="29"/>
  <c r="R35" i="29" s="1"/>
  <c r="AH35" i="29"/>
  <c r="AJ35" i="29" s="1"/>
  <c r="M36" i="29"/>
  <c r="N36" i="29"/>
  <c r="P36" i="29"/>
  <c r="R36" i="29" s="1"/>
  <c r="S36" i="29"/>
  <c r="V36" i="29"/>
  <c r="X36" i="29" s="1"/>
  <c r="Y36" i="29"/>
  <c r="AH36" i="29"/>
  <c r="AJ36" i="29" s="1"/>
  <c r="AL37" i="29"/>
  <c r="B40" i="29"/>
  <c r="C40" i="29"/>
  <c r="AJ40" i="29" s="1"/>
  <c r="D40" i="29"/>
  <c r="H60" i="29"/>
  <c r="B44" i="29"/>
  <c r="C44" i="29"/>
  <c r="D44" i="29"/>
  <c r="L44" i="29" s="1"/>
  <c r="B47" i="29"/>
  <c r="C47" i="29"/>
  <c r="D47" i="29"/>
  <c r="L47" i="29" s="1"/>
  <c r="J47" i="29"/>
  <c r="B50" i="29"/>
  <c r="C50" i="29"/>
  <c r="D50" i="29"/>
  <c r="B53" i="29"/>
  <c r="C53" i="29"/>
  <c r="D53" i="29"/>
  <c r="AA53" i="29" s="1"/>
  <c r="V53" i="29"/>
  <c r="V64" i="29" s="1"/>
  <c r="X64" i="29" s="1"/>
  <c r="AH56" i="29"/>
  <c r="P61" i="29"/>
  <c r="R61" i="29" s="1"/>
  <c r="V61" i="29"/>
  <c r="X61" i="29" s="1"/>
  <c r="AB61" i="29"/>
  <c r="AD61" i="29" s="1"/>
  <c r="AH61" i="29"/>
  <c r="AJ61" i="29" s="1"/>
  <c r="AL61" i="29"/>
  <c r="M62" i="29"/>
  <c r="S62" i="29"/>
  <c r="V62" i="29"/>
  <c r="X62" i="29" s="1"/>
  <c r="AB62" i="29"/>
  <c r="AD62" i="29" s="1"/>
  <c r="AH62" i="29"/>
  <c r="AL62" i="29"/>
  <c r="M63" i="29"/>
  <c r="P63" i="29"/>
  <c r="R63" i="29" s="1"/>
  <c r="S63" i="29"/>
  <c r="Y63" i="29"/>
  <c r="AB63" i="29"/>
  <c r="AD63" i="29" s="1"/>
  <c r="AH63" i="29"/>
  <c r="AJ63" i="29" s="1"/>
  <c r="AL63" i="29"/>
  <c r="M64" i="29"/>
  <c r="P64" i="29"/>
  <c r="R64" i="29" s="1"/>
  <c r="S64" i="29"/>
  <c r="Y64" i="29"/>
  <c r="AH64" i="29"/>
  <c r="AJ64" i="29" s="1"/>
  <c r="AL64" i="29"/>
  <c r="AK65" i="29"/>
  <c r="R101" i="29"/>
  <c r="C102" i="29"/>
  <c r="B103" i="29"/>
  <c r="J103" i="29"/>
  <c r="B104" i="29"/>
  <c r="C104" i="29"/>
  <c r="D104" i="29"/>
  <c r="E104" i="29"/>
  <c r="F104" i="29"/>
  <c r="B105" i="29"/>
  <c r="A106" i="29"/>
  <c r="A107" i="29"/>
  <c r="B107" i="29"/>
  <c r="A108" i="29"/>
  <c r="B108" i="29"/>
  <c r="A109" i="29"/>
  <c r="B109" i="29"/>
  <c r="C109" i="29"/>
  <c r="D109" i="29"/>
  <c r="E109" i="29"/>
  <c r="F109" i="29"/>
  <c r="A110" i="29"/>
  <c r="B110" i="29"/>
  <c r="A111" i="29"/>
  <c r="B111" i="29"/>
  <c r="A112" i="29"/>
  <c r="B112" i="29"/>
  <c r="C112" i="29"/>
  <c r="D112" i="29"/>
  <c r="E112" i="29"/>
  <c r="F112" i="29"/>
  <c r="A113" i="29"/>
  <c r="B113" i="29"/>
  <c r="A114" i="29"/>
  <c r="B114" i="29"/>
  <c r="A115" i="29"/>
  <c r="B115" i="29"/>
  <c r="A116" i="29"/>
  <c r="B116" i="29"/>
  <c r="C116" i="29"/>
  <c r="D116" i="29"/>
  <c r="E116" i="29"/>
  <c r="F116" i="29"/>
  <c r="A117" i="29"/>
  <c r="B117" i="29"/>
  <c r="A118" i="29"/>
  <c r="B118" i="29"/>
  <c r="A119" i="29"/>
  <c r="B119" i="29"/>
  <c r="A120" i="29"/>
  <c r="B120" i="29"/>
  <c r="C120" i="29"/>
  <c r="D120" i="29"/>
  <c r="E120" i="29"/>
  <c r="F120" i="29"/>
  <c r="A121" i="29"/>
  <c r="B121" i="29"/>
  <c r="A122" i="29"/>
  <c r="B122" i="29"/>
  <c r="J2" i="22"/>
  <c r="K2" i="22"/>
  <c r="C3" i="22"/>
  <c r="H3" i="22"/>
  <c r="I3" i="22"/>
  <c r="J3" i="22"/>
  <c r="A4" i="22"/>
  <c r="B4" i="22"/>
  <c r="C4" i="22"/>
  <c r="H24" i="27" s="1"/>
  <c r="D4" i="22"/>
  <c r="I24" i="27" s="1"/>
  <c r="E4" i="22"/>
  <c r="J24" i="27" s="1"/>
  <c r="F4" i="22"/>
  <c r="K24" i="27" s="1"/>
  <c r="B5" i="22"/>
  <c r="C5" i="22"/>
  <c r="D5" i="22"/>
  <c r="E5" i="22"/>
  <c r="F5" i="22"/>
  <c r="H5" i="22"/>
  <c r="I5" i="22"/>
  <c r="J5" i="22"/>
  <c r="H7" i="22"/>
  <c r="I7" i="22"/>
  <c r="J7" i="22"/>
  <c r="K7" i="22"/>
  <c r="L7" i="22"/>
  <c r="M7" i="22"/>
  <c r="N7" i="22"/>
  <c r="O7" i="22"/>
  <c r="P7" i="22"/>
  <c r="Q7" i="22"/>
  <c r="R7" i="22"/>
  <c r="R8" i="22" s="1"/>
  <c r="S7" i="22"/>
  <c r="T7" i="22"/>
  <c r="U7" i="22"/>
  <c r="V7" i="22"/>
  <c r="A8" i="22"/>
  <c r="B8" i="22"/>
  <c r="C8" i="22"/>
  <c r="D8" i="22"/>
  <c r="E8" i="22"/>
  <c r="F8" i="22"/>
  <c r="B9" i="22"/>
  <c r="C9" i="22"/>
  <c r="B12" i="22"/>
  <c r="C12" i="22"/>
  <c r="D12" i="22"/>
  <c r="E12" i="22"/>
  <c r="F12" i="22"/>
  <c r="A15" i="22"/>
  <c r="B15" i="22"/>
  <c r="C15" i="22"/>
  <c r="D15" i="22"/>
  <c r="E15" i="22"/>
  <c r="F15" i="22"/>
  <c r="A19" i="22"/>
  <c r="B19" i="22"/>
  <c r="C19" i="22"/>
  <c r="C21" i="22" s="1"/>
  <c r="D19" i="22"/>
  <c r="D21" i="22" s="1"/>
  <c r="E19" i="22"/>
  <c r="E21" i="22" s="1"/>
  <c r="F19" i="22"/>
  <c r="F21" i="22" s="1"/>
  <c r="B22" i="22"/>
  <c r="C22" i="22"/>
  <c r="C25" i="22"/>
  <c r="D25" i="22"/>
  <c r="E25" i="22"/>
  <c r="F25" i="22"/>
  <c r="A28" i="22"/>
  <c r="B28" i="22"/>
  <c r="C28" i="22"/>
  <c r="C30" i="22" s="1"/>
  <c r="D28" i="22"/>
  <c r="D30" i="22" s="1"/>
  <c r="E28" i="22"/>
  <c r="E30" i="22" s="1"/>
  <c r="F28" i="22"/>
  <c r="F30" i="22" s="1"/>
  <c r="A34" i="22"/>
  <c r="B34" i="22"/>
  <c r="C34" i="22"/>
  <c r="D34" i="22"/>
  <c r="E34" i="22"/>
  <c r="F34" i="22"/>
  <c r="B35" i="22"/>
  <c r="C35" i="22"/>
  <c r="B38" i="22"/>
  <c r="C38" i="22"/>
  <c r="D38" i="22"/>
  <c r="E38" i="22"/>
  <c r="F38" i="22"/>
  <c r="A41" i="22"/>
  <c r="B41" i="22"/>
  <c r="C41" i="22"/>
  <c r="D41" i="22"/>
  <c r="E41" i="22"/>
  <c r="F41" i="22"/>
  <c r="B42" i="22"/>
  <c r="C42" i="22"/>
  <c r="C45" i="22"/>
  <c r="D45" i="22"/>
  <c r="E45" i="22"/>
  <c r="F45" i="22"/>
  <c r="J2" i="2"/>
  <c r="B3" i="2"/>
  <c r="E7" i="2"/>
  <c r="D19" i="2"/>
  <c r="D20" i="2"/>
  <c r="D26" i="2"/>
  <c r="F26" i="2" s="1"/>
  <c r="G26" i="2" s="1"/>
  <c r="H26" i="2" s="1"/>
  <c r="D27" i="2"/>
  <c r="F27" i="2" s="1"/>
  <c r="G27" i="2" s="1"/>
  <c r="H27" i="2" s="1"/>
  <c r="D33" i="2"/>
  <c r="D34" i="2"/>
  <c r="D40" i="2"/>
  <c r="E40" i="2" s="1"/>
  <c r="D41" i="2"/>
  <c r="F46" i="2"/>
  <c r="D47" i="2"/>
  <c r="E47" i="2" s="1"/>
  <c r="E45" i="2" s="1"/>
  <c r="K47" i="2"/>
  <c r="L47" i="2" s="1"/>
  <c r="M47" i="2" s="1"/>
  <c r="D48" i="2"/>
  <c r="E48" i="2" s="1"/>
  <c r="E53" i="2"/>
  <c r="K53" i="2"/>
  <c r="L53" i="2" s="1"/>
  <c r="M53" i="2" s="1"/>
  <c r="D54" i="2"/>
  <c r="E54" i="2" s="1"/>
  <c r="K54" i="2"/>
  <c r="D55" i="2"/>
  <c r="E55" i="2" s="1"/>
  <c r="F55" i="2" s="1"/>
  <c r="G55" i="2" s="1"/>
  <c r="G56" i="2" s="1"/>
  <c r="E60" i="2"/>
  <c r="K60" i="2"/>
  <c r="L60" i="2" s="1"/>
  <c r="M60" i="2" s="1"/>
  <c r="D61" i="2"/>
  <c r="E61" i="2" s="1"/>
  <c r="K61" i="2"/>
  <c r="D62" i="2"/>
  <c r="E62" i="2" s="1"/>
  <c r="E67" i="2"/>
  <c r="K67" i="2"/>
  <c r="L67" i="2" s="1"/>
  <c r="M67" i="2" s="1"/>
  <c r="D68" i="2"/>
  <c r="E68" i="2" s="1"/>
  <c r="K68" i="2"/>
  <c r="D69" i="2"/>
  <c r="E69" i="2" s="1"/>
  <c r="F69" i="2" s="1"/>
  <c r="F70" i="2" s="1"/>
  <c r="E74" i="2"/>
  <c r="K74" i="2"/>
  <c r="D75" i="2"/>
  <c r="E75" i="2" s="1"/>
  <c r="K75" i="2"/>
  <c r="L75" i="2" s="1"/>
  <c r="M75" i="2" s="1"/>
  <c r="D76" i="2"/>
  <c r="E76" i="2" s="1"/>
  <c r="K81" i="2"/>
  <c r="L81" i="2" s="1"/>
  <c r="M81" i="2" s="1"/>
  <c r="D82" i="2"/>
  <c r="E82" i="2" s="1"/>
  <c r="K82" i="2"/>
  <c r="L82" i="2" s="1"/>
  <c r="M82" i="2" s="1"/>
  <c r="D83" i="2"/>
  <c r="E83" i="2" s="1"/>
  <c r="F83" i="2" s="1"/>
  <c r="G83" i="2" s="1"/>
  <c r="H83" i="2" s="1"/>
  <c r="H2" i="1"/>
  <c r="F7" i="1"/>
  <c r="H9" i="1"/>
  <c r="J9" i="1" s="1"/>
  <c r="L9" i="1" s="1"/>
  <c r="H13" i="1"/>
  <c r="Q13" i="1"/>
  <c r="R13" i="1" s="1"/>
  <c r="H14" i="1"/>
  <c r="AA26" i="30" s="1"/>
  <c r="Q14" i="1"/>
  <c r="R14" i="1" s="1"/>
  <c r="H18" i="1"/>
  <c r="Q18" i="1"/>
  <c r="R18" i="1" s="1"/>
  <c r="H19" i="1"/>
  <c r="J19" i="1" s="1"/>
  <c r="L19" i="1" s="1"/>
  <c r="Q22" i="1"/>
  <c r="R22" i="1" s="1"/>
  <c r="H25" i="1"/>
  <c r="Q25" i="1"/>
  <c r="R25" i="1" s="1"/>
  <c r="J27" i="1"/>
  <c r="H28" i="1"/>
  <c r="Q28" i="1"/>
  <c r="R28" i="1" s="1"/>
  <c r="H38" i="1"/>
  <c r="J38" i="1" s="1"/>
  <c r="L38" i="1" s="1"/>
  <c r="H40" i="1"/>
  <c r="H43" i="1"/>
  <c r="Q43" i="1"/>
  <c r="D46" i="1"/>
  <c r="P47" i="1"/>
  <c r="Q47" i="1" s="1"/>
  <c r="R47" i="1" s="1"/>
  <c r="P50" i="1"/>
  <c r="P51" i="1"/>
  <c r="Q51" i="1" s="1"/>
  <c r="R51" i="1" s="1"/>
  <c r="D52" i="1"/>
  <c r="Q53" i="1"/>
  <c r="R53" i="1" s="1"/>
  <c r="Q54" i="1"/>
  <c r="R54" i="1" s="1"/>
  <c r="P55" i="1"/>
  <c r="P56" i="1"/>
  <c r="Q56" i="1" s="1"/>
  <c r="R56" i="1" s="1"/>
  <c r="P57" i="1"/>
  <c r="Q57" i="1" s="1"/>
  <c r="R57" i="1" s="1"/>
  <c r="P58" i="1"/>
  <c r="P59" i="1"/>
  <c r="H59" i="1" s="1"/>
  <c r="P60" i="1"/>
  <c r="Q60" i="1" s="1"/>
  <c r="R60" i="1" s="1"/>
  <c r="P61" i="1"/>
  <c r="Q61" i="1" s="1"/>
  <c r="P62" i="1"/>
  <c r="Q62" i="1" s="1"/>
  <c r="R62" i="1" s="1"/>
  <c r="D63" i="1"/>
  <c r="P64" i="1"/>
  <c r="Q64" i="1" s="1"/>
  <c r="P65" i="1"/>
  <c r="Q65" i="1" s="1"/>
  <c r="R65" i="1" s="1"/>
  <c r="P66" i="1"/>
  <c r="Q66" i="1" s="1"/>
  <c r="R66" i="1" s="1"/>
  <c r="P67" i="1"/>
  <c r="Q67" i="1" s="1"/>
  <c r="R67" i="1" s="1"/>
  <c r="P68" i="1"/>
  <c r="Q68" i="1" s="1"/>
  <c r="R68" i="1" s="1"/>
  <c r="D69" i="1"/>
  <c r="Q70" i="1"/>
  <c r="R70" i="1" s="1"/>
  <c r="P71" i="1"/>
  <c r="Q71" i="1" s="1"/>
  <c r="R71" i="1" s="1"/>
  <c r="P72" i="1"/>
  <c r="P73" i="1"/>
  <c r="Q73" i="1" s="1"/>
  <c r="R73" i="1" s="1"/>
  <c r="D74" i="1"/>
  <c r="Q75" i="1"/>
  <c r="R75" i="1" s="1"/>
  <c r="P76" i="1"/>
  <c r="Q76" i="1" s="1"/>
  <c r="R76" i="1" s="1"/>
  <c r="P77" i="1"/>
  <c r="F78" i="1"/>
  <c r="P78" i="1"/>
  <c r="Q78" i="1" s="1"/>
  <c r="D79" i="1"/>
  <c r="P80" i="1"/>
  <c r="F81" i="1"/>
  <c r="P81" i="1"/>
  <c r="Q81" i="1" s="1"/>
  <c r="R81" i="1" s="1"/>
  <c r="F82" i="1"/>
  <c r="Q82" i="1"/>
  <c r="R82" i="1" s="1"/>
  <c r="D83" i="1"/>
  <c r="P84" i="1"/>
  <c r="Q84" i="1" s="1"/>
  <c r="R84" i="1" s="1"/>
  <c r="F85" i="1"/>
  <c r="Q85" i="1"/>
  <c r="R85" i="1" s="1"/>
  <c r="P86" i="1"/>
  <c r="Q86" i="1" s="1"/>
  <c r="R86" i="1" s="1"/>
  <c r="F87" i="1"/>
  <c r="P87" i="1"/>
  <c r="Q87" i="1" s="1"/>
  <c r="R87" i="1" s="1"/>
  <c r="D88" i="1"/>
  <c r="P89" i="1"/>
  <c r="Q89" i="1" s="1"/>
  <c r="R89" i="1" s="1"/>
  <c r="P90" i="1"/>
  <c r="Q90" i="1" s="1"/>
  <c r="R90" i="1" s="1"/>
  <c r="P91" i="1"/>
  <c r="Q91" i="1" s="1"/>
  <c r="P92" i="1"/>
  <c r="Q92" i="1" s="1"/>
  <c r="R92" i="1" s="1"/>
  <c r="Q93" i="1"/>
  <c r="R93" i="1" s="1"/>
  <c r="D94" i="1"/>
  <c r="P95" i="1"/>
  <c r="Q95" i="1" s="1"/>
  <c r="R95" i="1" s="1"/>
  <c r="P96" i="1"/>
  <c r="Q96" i="1" s="1"/>
  <c r="R96" i="1" s="1"/>
  <c r="P97" i="1"/>
  <c r="Q97" i="1" s="1"/>
  <c r="P98" i="1"/>
  <c r="Q98" i="1" s="1"/>
  <c r="R98" i="1" s="1"/>
  <c r="D99" i="1"/>
  <c r="F100" i="1"/>
  <c r="P100" i="1"/>
  <c r="Q100" i="1" s="1"/>
  <c r="R100" i="1" s="1"/>
  <c r="Q101" i="1"/>
  <c r="R101" i="1" s="1"/>
  <c r="P102" i="1"/>
  <c r="Q102" i="1" s="1"/>
  <c r="R102" i="1" s="1"/>
  <c r="Q103" i="1"/>
  <c r="R103" i="1" s="1"/>
  <c r="D104" i="1"/>
  <c r="P105" i="1"/>
  <c r="Q105" i="1" s="1"/>
  <c r="R105" i="1" s="1"/>
  <c r="F106" i="1"/>
  <c r="D107" i="1"/>
  <c r="P108" i="1"/>
  <c r="Q108" i="1" s="1"/>
  <c r="R108" i="1" s="1"/>
  <c r="F109" i="1"/>
  <c r="P109" i="1"/>
  <c r="Q109" i="1" s="1"/>
  <c r="R109" i="1" s="1"/>
  <c r="F110" i="1"/>
  <c r="P110" i="1"/>
  <c r="Q110" i="1" s="1"/>
  <c r="P111" i="1"/>
  <c r="Q111" i="1" s="1"/>
  <c r="P113" i="1"/>
  <c r="P114" i="1"/>
  <c r="Q114" i="1" s="1"/>
  <c r="R114" i="1" s="1"/>
  <c r="P115" i="1"/>
  <c r="Q115" i="1" s="1"/>
  <c r="R115" i="1" s="1"/>
  <c r="P116" i="1"/>
  <c r="Q116" i="1" s="1"/>
  <c r="R116" i="1" s="1"/>
  <c r="P117" i="1"/>
  <c r="F118" i="1"/>
  <c r="P118" i="1"/>
  <c r="Q118" i="1" s="1"/>
  <c r="R118" i="1" s="1"/>
  <c r="P121" i="1"/>
  <c r="Q121" i="1" s="1"/>
  <c r="R121" i="1" s="1"/>
  <c r="K11" i="28"/>
  <c r="R8" i="29"/>
  <c r="Q12" i="28"/>
  <c r="AP30" i="35" s="1"/>
  <c r="R9" i="29"/>
  <c r="R10" i="29"/>
  <c r="R11" i="29"/>
  <c r="N15" i="28"/>
  <c r="C18" i="28"/>
  <c r="F18" i="28"/>
  <c r="F20" i="28"/>
  <c r="I20" i="28"/>
  <c r="AH40" i="35" s="1"/>
  <c r="V3" i="29"/>
  <c r="V38" i="29" s="1"/>
  <c r="AE44" i="35"/>
  <c r="I28" i="28"/>
  <c r="AH48" i="35" s="1"/>
  <c r="M28" i="28"/>
  <c r="AL48" i="35" s="1"/>
  <c r="I30" i="28"/>
  <c r="AH50" i="35" s="1"/>
  <c r="M30" i="28"/>
  <c r="AL50" i="35" s="1"/>
  <c r="L32" i="28"/>
  <c r="AK52" i="35" s="1"/>
  <c r="P32" i="28"/>
  <c r="AO52" i="35" s="1"/>
  <c r="V24" i="29"/>
  <c r="V34" i="29" s="1"/>
  <c r="P34" i="28"/>
  <c r="O36" i="28"/>
  <c r="AN56" i="35" s="1"/>
  <c r="AN59" i="35" s="1"/>
  <c r="AB27" i="29"/>
  <c r="C39" i="28"/>
  <c r="G39" i="28"/>
  <c r="I42" i="28"/>
  <c r="AH64" i="35" s="1"/>
  <c r="AH67" i="35" s="1"/>
  <c r="L43" i="28"/>
  <c r="AK65" i="35" s="1"/>
  <c r="AK67" i="35" s="1"/>
  <c r="O44" i="28"/>
  <c r="AN66" i="35" s="1"/>
  <c r="AN67" i="35" s="1"/>
  <c r="C45" i="28"/>
  <c r="H9" i="30"/>
  <c r="H13" i="30"/>
  <c r="I13" i="30" s="1"/>
  <c r="J13" i="30" s="1"/>
  <c r="K13" i="30" s="1"/>
  <c r="L13" i="30" s="1"/>
  <c r="M13" i="30" s="1"/>
  <c r="N13" i="30" s="1"/>
  <c r="H15" i="30"/>
  <c r="I15" i="30" s="1"/>
  <c r="J15" i="30" s="1"/>
  <c r="S17" i="30"/>
  <c r="G21" i="30"/>
  <c r="G46" i="30" s="1"/>
  <c r="S21" i="30"/>
  <c r="S46" i="30" s="1"/>
  <c r="B24" i="30"/>
  <c r="H12" i="22" s="1"/>
  <c r="S24" i="30"/>
  <c r="S42" i="30"/>
  <c r="S43" i="30"/>
  <c r="B48" i="30"/>
  <c r="B49" i="30" s="1"/>
  <c r="B50" i="30" s="1"/>
  <c r="B51" i="30" s="1"/>
  <c r="B52" i="30" s="1"/>
  <c r="S51" i="30"/>
  <c r="T51" i="30" s="1"/>
  <c r="I61" i="30"/>
  <c r="J61" i="30"/>
  <c r="N61" i="30"/>
  <c r="D63" i="30"/>
  <c r="G95" i="30"/>
  <c r="G10" i="27"/>
  <c r="D7" i="1" s="1"/>
  <c r="H10" i="27"/>
  <c r="H46" i="27" s="1"/>
  <c r="I10" i="27"/>
  <c r="J10" i="27"/>
  <c r="J46" i="27" s="1"/>
  <c r="H12" i="27"/>
  <c r="I12" i="27" s="1"/>
  <c r="J12" i="27" s="1"/>
  <c r="K12" i="27" s="1"/>
  <c r="Q13" i="27"/>
  <c r="D3" i="34" s="1"/>
  <c r="Q15" i="27"/>
  <c r="K46" i="27"/>
  <c r="AI17" i="35"/>
  <c r="G10" i="32"/>
  <c r="H10" i="32"/>
  <c r="H53" i="32" s="1"/>
  <c r="I10" i="32"/>
  <c r="I53" i="32" s="1"/>
  <c r="J10" i="32"/>
  <c r="J53" i="32" s="1"/>
  <c r="G18" i="32"/>
  <c r="G13" i="32" s="1"/>
  <c r="G41" i="32"/>
  <c r="R47" i="32"/>
  <c r="K53" i="32"/>
  <c r="M53" i="32"/>
  <c r="D54" i="32"/>
  <c r="U34" i="35"/>
  <c r="G71" i="32"/>
  <c r="G67" i="32" s="1"/>
  <c r="Q80" i="27" s="1"/>
  <c r="G76" i="32"/>
  <c r="U43" i="35" s="1"/>
  <c r="G80" i="32"/>
  <c r="G84" i="32"/>
  <c r="U46" i="35" s="1"/>
  <c r="I86" i="32"/>
  <c r="J86" i="32" s="1"/>
  <c r="K86" i="32" s="1"/>
  <c r="G91" i="32"/>
  <c r="U47" i="35" s="1"/>
  <c r="G95" i="32"/>
  <c r="R8" i="27"/>
  <c r="I7" i="20"/>
  <c r="D8" i="1"/>
  <c r="D8" i="2" s="1"/>
  <c r="G11" i="27" s="1"/>
  <c r="S12" i="20"/>
  <c r="T12" i="20" s="1"/>
  <c r="U12" i="20" s="1"/>
  <c r="H24" i="20"/>
  <c r="G68" i="35" s="1"/>
  <c r="O28" i="20"/>
  <c r="H17" i="26"/>
  <c r="H20" i="26"/>
  <c r="D9" i="22"/>
  <c r="H24" i="26"/>
  <c r="H27" i="26"/>
  <c r="F22" i="22"/>
  <c r="H30" i="26"/>
  <c r="H32" i="26"/>
  <c r="F33" i="26"/>
  <c r="E35" i="22" s="1"/>
  <c r="H35" i="26"/>
  <c r="F36" i="26"/>
  <c r="E42" i="22" s="1"/>
  <c r="H39" i="26"/>
  <c r="D62" i="26"/>
  <c r="E62" i="26"/>
  <c r="F62" i="26"/>
  <c r="F49" i="35" s="1"/>
  <c r="G62" i="26"/>
  <c r="D44" i="26"/>
  <c r="D45" i="26"/>
  <c r="H48" i="26"/>
  <c r="H37" i="35" s="1"/>
  <c r="H51" i="26"/>
  <c r="H40" i="35" s="1"/>
  <c r="H52" i="26"/>
  <c r="H41" i="35" s="1"/>
  <c r="H55" i="26"/>
  <c r="H43" i="35" s="1"/>
  <c r="H56" i="26"/>
  <c r="H44" i="35" s="1"/>
  <c r="H57" i="26"/>
  <c r="H45" i="35" s="1"/>
  <c r="B66" i="26"/>
  <c r="B100" i="32" s="1"/>
  <c r="B101" i="32"/>
  <c r="U13" i="29"/>
  <c r="O7" i="29"/>
  <c r="N18" i="30"/>
  <c r="I18" i="30"/>
  <c r="J18" i="30"/>
  <c r="P18" i="30"/>
  <c r="L18" i="30"/>
  <c r="Q18" i="30"/>
  <c r="R18" i="30"/>
  <c r="AJ62" i="29"/>
  <c r="U9" i="29"/>
  <c r="U8" i="29"/>
  <c r="U11" i="29"/>
  <c r="N9" i="29"/>
  <c r="M24" i="28"/>
  <c r="AL44" i="35" s="1"/>
  <c r="R7" i="29"/>
  <c r="C31" i="33"/>
  <c r="D20" i="33"/>
  <c r="G62" i="35"/>
  <c r="H34" i="32"/>
  <c r="C32" i="33"/>
  <c r="C28" i="33"/>
  <c r="C33" i="33"/>
  <c r="I41" i="33" s="1"/>
  <c r="C29" i="33"/>
  <c r="N17" i="28"/>
  <c r="AM35" i="35" s="1"/>
  <c r="R13" i="29"/>
  <c r="O11" i="29"/>
  <c r="F48" i="2"/>
  <c r="G48" i="2" s="1"/>
  <c r="Q59" i="1"/>
  <c r="R59" i="1" s="1"/>
  <c r="E19" i="2" l="1"/>
  <c r="F19" i="2" s="1"/>
  <c r="G19" i="2" s="1"/>
  <c r="H19" i="2" s="1"/>
  <c r="R18" i="29"/>
  <c r="J39" i="28"/>
  <c r="M25" i="28"/>
  <c r="AL45" i="35" s="1"/>
  <c r="R18" i="28"/>
  <c r="U49" i="30"/>
  <c r="H55" i="2"/>
  <c r="H56" i="2" s="1"/>
  <c r="F56" i="2"/>
  <c r="E56" i="2"/>
  <c r="F47" i="2"/>
  <c r="G47" i="2" s="1"/>
  <c r="H47" i="2" s="1"/>
  <c r="F34" i="2"/>
  <c r="G34" i="2" s="1"/>
  <c r="H34" i="2" s="1"/>
  <c r="F33" i="2"/>
  <c r="F20" i="2"/>
  <c r="G20" i="2" s="1"/>
  <c r="H20" i="2" s="1"/>
  <c r="F23" i="22"/>
  <c r="F24" i="22" s="1"/>
  <c r="C32" i="22"/>
  <c r="C33" i="22" s="1"/>
  <c r="R64" i="1"/>
  <c r="H64" i="1"/>
  <c r="U28" i="30" s="1"/>
  <c r="G28" i="30" s="1"/>
  <c r="H77" i="1"/>
  <c r="G39" i="33"/>
  <c r="Q86" i="27"/>
  <c r="AO26" i="30"/>
  <c r="R79" i="27"/>
  <c r="Q81" i="27"/>
  <c r="G52" i="30"/>
  <c r="S52" i="30" s="1"/>
  <c r="T52" i="30" s="1"/>
  <c r="B86" i="2"/>
  <c r="B125" i="1"/>
  <c r="I89" i="32"/>
  <c r="J89" i="32" s="1"/>
  <c r="K89" i="32" s="1"/>
  <c r="AF27" i="29"/>
  <c r="AE59" i="35"/>
  <c r="AH59" i="35"/>
  <c r="V23" i="29"/>
  <c r="Y23" i="29" s="1"/>
  <c r="AA23" i="29" s="1"/>
  <c r="N33" i="28" s="1"/>
  <c r="AM53" i="35" s="1"/>
  <c r="AK59" i="35"/>
  <c r="AA11" i="29"/>
  <c r="AM33" i="35"/>
  <c r="AD23" i="29"/>
  <c r="AD24" i="29"/>
  <c r="AO54" i="35"/>
  <c r="AI59" i="35"/>
  <c r="AB36" i="35"/>
  <c r="J3" i="29"/>
  <c r="J38" i="29" s="1"/>
  <c r="AE40" i="35"/>
  <c r="AJ29" i="35"/>
  <c r="AJ36" i="35" s="1"/>
  <c r="C50" i="28"/>
  <c r="AB72" i="35" s="1"/>
  <c r="AJ53" i="29"/>
  <c r="AB53" i="29"/>
  <c r="J44" i="29"/>
  <c r="J61" i="29" s="1"/>
  <c r="J65" i="29" s="1"/>
  <c r="AE63" i="35"/>
  <c r="AJ25" i="29"/>
  <c r="AM50" i="29"/>
  <c r="L45" i="28"/>
  <c r="AJ27" i="29"/>
  <c r="AL27" i="29" s="1"/>
  <c r="AK36" i="29" s="1"/>
  <c r="AD22" i="29"/>
  <c r="V22" i="29"/>
  <c r="P28" i="28"/>
  <c r="AO48" i="35" s="1"/>
  <c r="O39" i="28"/>
  <c r="O45" i="28"/>
  <c r="P3" i="29"/>
  <c r="P38" i="29" s="1"/>
  <c r="AG8" i="29"/>
  <c r="P29" i="28"/>
  <c r="X17" i="29"/>
  <c r="X21" i="29"/>
  <c r="I18" i="27"/>
  <c r="W57" i="35" s="1"/>
  <c r="F45" i="28"/>
  <c r="M26" i="28"/>
  <c r="AL46" i="35" s="1"/>
  <c r="AL59" i="35" s="1"/>
  <c r="R17" i="29"/>
  <c r="J18" i="29"/>
  <c r="N18" i="29" s="1"/>
  <c r="T18" i="29" s="1"/>
  <c r="P20" i="29"/>
  <c r="T20" i="29" s="1"/>
  <c r="P21" i="29"/>
  <c r="S21" i="29" s="1"/>
  <c r="U21" i="29" s="1"/>
  <c r="K30" i="28" s="1"/>
  <c r="AJ50" i="35" s="1"/>
  <c r="P19" i="29"/>
  <c r="T19" i="29" s="1"/>
  <c r="J17" i="29"/>
  <c r="M17" i="29" s="1"/>
  <c r="O17" i="29" s="1"/>
  <c r="H25" i="28" s="1"/>
  <c r="AG45" i="35" s="1"/>
  <c r="U7" i="29"/>
  <c r="U47" i="29"/>
  <c r="K42" i="28" s="1"/>
  <c r="AJ64" i="35" s="1"/>
  <c r="R17" i="28"/>
  <c r="D45" i="1"/>
  <c r="AD53" i="29"/>
  <c r="AF53" i="29" s="1"/>
  <c r="AL53" i="29" s="1"/>
  <c r="AF64" i="29" s="1"/>
  <c r="E49" i="2"/>
  <c r="J18" i="27"/>
  <c r="X57" i="35" s="1"/>
  <c r="Q77" i="1"/>
  <c r="R77" i="1" s="1"/>
  <c r="K15" i="30"/>
  <c r="L15" i="30" s="1"/>
  <c r="M15" i="30" s="1"/>
  <c r="N15" i="30" s="1"/>
  <c r="O15" i="30" s="1"/>
  <c r="P15" i="30" s="1"/>
  <c r="Q15" i="30" s="1"/>
  <c r="F39" i="28"/>
  <c r="H17" i="27" s="1"/>
  <c r="V56" i="35" s="1"/>
  <c r="H121" i="1"/>
  <c r="E52" i="2"/>
  <c r="X16" i="29"/>
  <c r="P24" i="28"/>
  <c r="AO44" i="35" s="1"/>
  <c r="C17" i="22"/>
  <c r="F32" i="22"/>
  <c r="F33" i="22" s="1"/>
  <c r="E32" i="22"/>
  <c r="E33" i="22" s="1"/>
  <c r="D32" i="22"/>
  <c r="D33" i="22" s="1"/>
  <c r="F17" i="22"/>
  <c r="F18" i="22" s="1"/>
  <c r="E17" i="22"/>
  <c r="E18" i="22" s="1"/>
  <c r="D17" i="22"/>
  <c r="D18" i="22" s="1"/>
  <c r="R17" i="22"/>
  <c r="Q17" i="22"/>
  <c r="U17" i="22"/>
  <c r="P17" i="22"/>
  <c r="S17" i="22"/>
  <c r="H85" i="1"/>
  <c r="J85" i="1" s="1"/>
  <c r="L85" i="1" s="1"/>
  <c r="H98" i="1"/>
  <c r="J98" i="1" s="1"/>
  <c r="L98" i="1" s="1"/>
  <c r="N17" i="22"/>
  <c r="N13" i="22"/>
  <c r="M17" i="22"/>
  <c r="N24" i="29"/>
  <c r="M34" i="29" s="1"/>
  <c r="AG53" i="29"/>
  <c r="Q44" i="28" s="1"/>
  <c r="AP66" i="35" s="1"/>
  <c r="F24" i="1"/>
  <c r="AD50" i="29"/>
  <c r="P43" i="28" s="1"/>
  <c r="AO65" i="35" s="1"/>
  <c r="U45" i="35"/>
  <c r="G75" i="32"/>
  <c r="M10" i="29"/>
  <c r="AG47" i="29"/>
  <c r="Q42" i="28" s="1"/>
  <c r="AP64" i="35" s="1"/>
  <c r="M13" i="29"/>
  <c r="H30" i="27"/>
  <c r="V65" i="35" s="1"/>
  <c r="G49" i="35"/>
  <c r="E49" i="35"/>
  <c r="C23" i="22"/>
  <c r="H26" i="27" s="1"/>
  <c r="O17" i="22"/>
  <c r="K8" i="22"/>
  <c r="G33" i="26"/>
  <c r="F35" i="22" s="1"/>
  <c r="F36" i="22" s="1"/>
  <c r="F39" i="22" s="1"/>
  <c r="S8" i="22"/>
  <c r="R13" i="22"/>
  <c r="Q8" i="22"/>
  <c r="P8" i="22"/>
  <c r="V8" i="22"/>
  <c r="N8" i="22"/>
  <c r="O8" i="22"/>
  <c r="T8" i="22"/>
  <c r="L8" i="22"/>
  <c r="E36" i="22"/>
  <c r="E39" i="22" s="1"/>
  <c r="U44" i="29"/>
  <c r="S13" i="22"/>
  <c r="H103" i="1"/>
  <c r="J103" i="1" s="1"/>
  <c r="L103" i="1" s="1"/>
  <c r="H84" i="1"/>
  <c r="F75" i="2"/>
  <c r="G75" i="2" s="1"/>
  <c r="H75" i="2" s="1"/>
  <c r="K13" i="22"/>
  <c r="L13" i="22"/>
  <c r="H108" i="1"/>
  <c r="J108" i="1" s="1"/>
  <c r="H53" i="1"/>
  <c r="E59" i="2"/>
  <c r="H87" i="1"/>
  <c r="J87" i="1" s="1"/>
  <c r="L87" i="1" s="1"/>
  <c r="U8" i="22"/>
  <c r="M8" i="22"/>
  <c r="I45" i="28"/>
  <c r="H81" i="1"/>
  <c r="J81" i="1" s="1"/>
  <c r="L81" i="1" s="1"/>
  <c r="H92" i="1"/>
  <c r="J92" i="1" s="1"/>
  <c r="L92" i="1" s="1"/>
  <c r="AH65" i="29"/>
  <c r="B25" i="30"/>
  <c r="Q80" i="1"/>
  <c r="R80" i="1" s="1"/>
  <c r="H80" i="1"/>
  <c r="E41" i="2"/>
  <c r="F41" i="2" s="1"/>
  <c r="G41" i="2" s="1"/>
  <c r="H41" i="2" s="1"/>
  <c r="AL65" i="29"/>
  <c r="Y22" i="29"/>
  <c r="AA22" i="29" s="1"/>
  <c r="N32" i="28" s="1"/>
  <c r="AM52" i="35" s="1"/>
  <c r="Z22" i="29"/>
  <c r="AE22" i="29" s="1"/>
  <c r="AG22" i="29" s="1"/>
  <c r="Q32" i="28" s="1"/>
  <c r="AP52" i="35" s="1"/>
  <c r="L39" i="28"/>
  <c r="H18" i="27"/>
  <c r="V57" i="35" s="1"/>
  <c r="O44" i="29"/>
  <c r="H41" i="28" s="1"/>
  <c r="AG63" i="35" s="1"/>
  <c r="AG67" i="35" s="1"/>
  <c r="N25" i="29"/>
  <c r="S25" i="29" s="1"/>
  <c r="U25" i="29" s="1"/>
  <c r="X19" i="29"/>
  <c r="X20" i="29"/>
  <c r="M8" i="29"/>
  <c r="K25" i="29"/>
  <c r="Q25" i="29" s="1"/>
  <c r="W25" i="29" s="1"/>
  <c r="AC25" i="29" s="1"/>
  <c r="AI25" i="29" s="1"/>
  <c r="N26" i="29"/>
  <c r="T26" i="29" s="1"/>
  <c r="Y26" i="29" s="1"/>
  <c r="AA26" i="29" s="1"/>
  <c r="K16" i="29"/>
  <c r="M9" i="29"/>
  <c r="S11" i="29"/>
  <c r="K17" i="29"/>
  <c r="S13" i="29"/>
  <c r="S10" i="29"/>
  <c r="M11" i="29"/>
  <c r="K26" i="29"/>
  <c r="Q26" i="29" s="1"/>
  <c r="W26" i="29" s="1"/>
  <c r="AC26" i="29" s="1"/>
  <c r="AI26" i="29" s="1"/>
  <c r="AE27" i="29"/>
  <c r="AG27" i="29" s="1"/>
  <c r="Q38" i="28" s="1"/>
  <c r="K18" i="29"/>
  <c r="AK27" i="29"/>
  <c r="AM27" i="29" s="1"/>
  <c r="R16" i="29"/>
  <c r="R28" i="29" s="1"/>
  <c r="S9" i="29"/>
  <c r="S8" i="29"/>
  <c r="J76" i="35"/>
  <c r="H76" i="35"/>
  <c r="G18" i="30"/>
  <c r="H56" i="35"/>
  <c r="C6" i="22"/>
  <c r="C7" i="22" s="1"/>
  <c r="H20" i="32" s="1"/>
  <c r="C108" i="29" s="1"/>
  <c r="J15" i="1"/>
  <c r="M12" i="29"/>
  <c r="X9" i="29"/>
  <c r="AJ9" i="29" s="1"/>
  <c r="N13" i="28"/>
  <c r="Q15" i="28"/>
  <c r="AP33" i="35" s="1"/>
  <c r="Q17" i="28"/>
  <c r="AP35" i="35" s="1"/>
  <c r="N16" i="28"/>
  <c r="Q14" i="28"/>
  <c r="AP32" i="35" s="1"/>
  <c r="X10" i="29"/>
  <c r="N14" i="28"/>
  <c r="X11" i="29"/>
  <c r="AJ11" i="29" s="1"/>
  <c r="Q16" i="28"/>
  <c r="Q13" i="28"/>
  <c r="AP31" i="35" s="1"/>
  <c r="N12" i="28"/>
  <c r="U13" i="22"/>
  <c r="S7" i="29"/>
  <c r="M7" i="29"/>
  <c r="M14" i="29" s="1"/>
  <c r="T17" i="22"/>
  <c r="V17" i="22"/>
  <c r="V13" i="22"/>
  <c r="M13" i="22"/>
  <c r="C19" i="33"/>
  <c r="E66" i="2"/>
  <c r="F61" i="2"/>
  <c r="E73" i="2"/>
  <c r="T10" i="27"/>
  <c r="C122" i="29"/>
  <c r="V14" i="35"/>
  <c r="F40" i="2"/>
  <c r="G40" i="2" s="1"/>
  <c r="E38" i="2"/>
  <c r="H72" i="1"/>
  <c r="U36" i="35"/>
  <c r="U40" i="35"/>
  <c r="V29" i="35"/>
  <c r="G38" i="32"/>
  <c r="U15" i="35" s="1"/>
  <c r="U17" i="35"/>
  <c r="U7" i="35"/>
  <c r="U9" i="35"/>
  <c r="Q14" i="27"/>
  <c r="F77" i="35" s="1"/>
  <c r="B5" i="1"/>
  <c r="B6" i="35"/>
  <c r="F16" i="26"/>
  <c r="G16" i="26" s="1"/>
  <c r="G34" i="35" s="1"/>
  <c r="E34" i="35"/>
  <c r="L27" i="1"/>
  <c r="H18" i="30"/>
  <c r="K12" i="20"/>
  <c r="J56" i="35" s="1"/>
  <c r="E5" i="1"/>
  <c r="F8" i="1"/>
  <c r="H11" i="32"/>
  <c r="V6" i="35" s="1"/>
  <c r="T9" i="29"/>
  <c r="T21" i="29"/>
  <c r="Y21" i="29" s="1"/>
  <c r="AA21" i="29" s="1"/>
  <c r="N30" i="28" s="1"/>
  <c r="AM50" i="35" s="1"/>
  <c r="M25" i="29"/>
  <c r="O25" i="29" s="1"/>
  <c r="H18" i="28"/>
  <c r="H111" i="1"/>
  <c r="H91" i="1"/>
  <c r="J91" i="1" s="1"/>
  <c r="H60" i="1"/>
  <c r="J60" i="1" s="1"/>
  <c r="L60" i="1" s="1"/>
  <c r="H50" i="1"/>
  <c r="J28" i="1"/>
  <c r="L28" i="1" s="1"/>
  <c r="G53" i="32"/>
  <c r="F10" i="32"/>
  <c r="D35" i="22"/>
  <c r="D36" i="22" s="1"/>
  <c r="D39" i="22" s="1"/>
  <c r="B35" i="20"/>
  <c r="B87" i="2" s="1"/>
  <c r="D99" i="30"/>
  <c r="C36" i="22"/>
  <c r="C39" i="22" s="1"/>
  <c r="AD47" i="29"/>
  <c r="P42" i="28" s="1"/>
  <c r="AO64" i="35" s="1"/>
  <c r="X47" i="29"/>
  <c r="M42" i="28" s="1"/>
  <c r="AL64" i="35" s="1"/>
  <c r="AM47" i="29"/>
  <c r="R47" i="29"/>
  <c r="J42" i="28" s="1"/>
  <c r="AI64" i="35" s="1"/>
  <c r="AJ47" i="29"/>
  <c r="I60" i="29"/>
  <c r="H40" i="29"/>
  <c r="H43" i="29" s="1"/>
  <c r="X40" i="29"/>
  <c r="X43" i="29" s="1"/>
  <c r="AA40" i="29"/>
  <c r="N19" i="28" s="1"/>
  <c r="T7" i="29"/>
  <c r="H117" i="1"/>
  <c r="AA47" i="29"/>
  <c r="N42" i="28" s="1"/>
  <c r="AM64" i="35" s="1"/>
  <c r="D12" i="2"/>
  <c r="H58" i="1"/>
  <c r="G40" i="32"/>
  <c r="D10" i="22"/>
  <c r="I25" i="27" s="1"/>
  <c r="B6" i="27"/>
  <c r="M6" i="27" s="1"/>
  <c r="B5" i="2"/>
  <c r="D64" i="30"/>
  <c r="H49" i="1"/>
  <c r="R91" i="1"/>
  <c r="F83" i="1"/>
  <c r="F104" i="1"/>
  <c r="J43" i="1"/>
  <c r="H55" i="1"/>
  <c r="H61" i="1"/>
  <c r="J61" i="1" s="1"/>
  <c r="I65" i="32"/>
  <c r="J65" i="32" s="1"/>
  <c r="K65" i="32" s="1"/>
  <c r="H76" i="1"/>
  <c r="H56" i="1"/>
  <c r="J56" i="1" s="1"/>
  <c r="L56" i="1" s="1"/>
  <c r="F94" i="1"/>
  <c r="J59" i="1"/>
  <c r="F88" i="1"/>
  <c r="H55" i="27"/>
  <c r="G45" i="32"/>
  <c r="AI15" i="35"/>
  <c r="G43" i="32"/>
  <c r="J5" i="1"/>
  <c r="O18" i="30"/>
  <c r="K18" i="30"/>
  <c r="O40" i="29"/>
  <c r="O43" i="29" s="1"/>
  <c r="AA44" i="29"/>
  <c r="N41" i="28" s="1"/>
  <c r="AM63" i="35" s="1"/>
  <c r="AJ50" i="29"/>
  <c r="U40" i="29"/>
  <c r="U43" i="29" s="1"/>
  <c r="R44" i="29"/>
  <c r="R60" i="29" s="1"/>
  <c r="AG44" i="29"/>
  <c r="Q41" i="28" s="1"/>
  <c r="AP63" i="35" s="1"/>
  <c r="AM53" i="29"/>
  <c r="AD40" i="29"/>
  <c r="R37" i="29"/>
  <c r="X50" i="29"/>
  <c r="M43" i="28" s="1"/>
  <c r="AL65" i="35" s="1"/>
  <c r="AJ44" i="29"/>
  <c r="P37" i="29"/>
  <c r="F28" i="29"/>
  <c r="L14" i="29"/>
  <c r="H31" i="29" s="1"/>
  <c r="I31" i="29" s="1"/>
  <c r="R40" i="29"/>
  <c r="I19" i="28" s="1"/>
  <c r="AH38" i="35" s="1"/>
  <c r="AG40" i="29"/>
  <c r="Q19" i="28" s="1"/>
  <c r="AP38" i="35" s="1"/>
  <c r="K24" i="29"/>
  <c r="Q24" i="29" s="1"/>
  <c r="W24" i="29" s="1"/>
  <c r="AC24" i="29" s="1"/>
  <c r="AI24" i="29" s="1"/>
  <c r="L28" i="29"/>
  <c r="B14" i="29"/>
  <c r="AM40" i="29"/>
  <c r="AM43" i="29" s="1"/>
  <c r="AE36" i="29"/>
  <c r="AD44" i="29"/>
  <c r="P41" i="28" s="1"/>
  <c r="AO63" i="35" s="1"/>
  <c r="AG50" i="29"/>
  <c r="Q43" i="28" s="1"/>
  <c r="AP65" i="35" s="1"/>
  <c r="AM44" i="29"/>
  <c r="AA50" i="29"/>
  <c r="N43" i="28" s="1"/>
  <c r="AM65" i="35" s="1"/>
  <c r="X44" i="29"/>
  <c r="M41" i="28" s="1"/>
  <c r="AL63" i="35" s="1"/>
  <c r="C124" i="29"/>
  <c r="E124" i="29"/>
  <c r="N17" i="29"/>
  <c r="S17" i="29" s="1"/>
  <c r="H21" i="30"/>
  <c r="H46" i="30" s="1"/>
  <c r="I9" i="30"/>
  <c r="J9" i="30" s="1"/>
  <c r="T11" i="29"/>
  <c r="F74" i="1"/>
  <c r="M24" i="29"/>
  <c r="O24" i="29" s="1"/>
  <c r="T8" i="29"/>
  <c r="U10" i="29"/>
  <c r="AH37" i="29"/>
  <c r="X12" i="29"/>
  <c r="F74" i="2"/>
  <c r="J35" i="29"/>
  <c r="L35" i="29" s="1"/>
  <c r="B36" i="20"/>
  <c r="H95" i="30"/>
  <c r="I39" i="28"/>
  <c r="H114" i="1"/>
  <c r="J114" i="1" s="1"/>
  <c r="L114" i="1" s="1"/>
  <c r="E43" i="22"/>
  <c r="E46" i="22" s="1"/>
  <c r="E47" i="22" s="1"/>
  <c r="J15" i="32" s="1"/>
  <c r="E103" i="29" s="1"/>
  <c r="R15" i="27"/>
  <c r="P25" i="28"/>
  <c r="X53" i="29"/>
  <c r="Z53" i="29" s="1"/>
  <c r="AE64" i="29" s="1"/>
  <c r="L2" i="22"/>
  <c r="AJ65" i="29"/>
  <c r="B100" i="29"/>
  <c r="E31" i="2"/>
  <c r="E35" i="2" s="1"/>
  <c r="N35" i="29"/>
  <c r="K27" i="29"/>
  <c r="D100" i="30"/>
  <c r="R10" i="27"/>
  <c r="F53" i="2"/>
  <c r="G53" i="2" s="1"/>
  <c r="H53" i="2" s="1"/>
  <c r="M26" i="29"/>
  <c r="O26" i="29" s="1"/>
  <c r="G69" i="2"/>
  <c r="G70" i="2" s="1"/>
  <c r="E70" i="2"/>
  <c r="F46" i="1"/>
  <c r="O13" i="22"/>
  <c r="Q55" i="1"/>
  <c r="H48" i="2"/>
  <c r="B106" i="29"/>
  <c r="D28" i="33"/>
  <c r="L43" i="29"/>
  <c r="F81" i="2"/>
  <c r="G81" i="2" s="1"/>
  <c r="H81" i="2" s="1"/>
  <c r="P30" i="28"/>
  <c r="H106" i="1"/>
  <c r="Q72" i="1"/>
  <c r="R72" i="1" s="1"/>
  <c r="H68" i="1"/>
  <c r="J68" i="1" s="1"/>
  <c r="L68" i="1" s="1"/>
  <c r="F45" i="2"/>
  <c r="F49" i="2" s="1"/>
  <c r="D34" i="33"/>
  <c r="D19" i="33"/>
  <c r="X34" i="29"/>
  <c r="X37" i="29" s="1"/>
  <c r="V37" i="29"/>
  <c r="E77" i="2"/>
  <c r="F76" i="2"/>
  <c r="P26" i="28"/>
  <c r="X18" i="29"/>
  <c r="M39" i="28"/>
  <c r="L56" i="29"/>
  <c r="L61" i="29"/>
  <c r="L65" i="29" s="1"/>
  <c r="G41" i="28"/>
  <c r="AF63" i="35" s="1"/>
  <c r="AF67" i="35" s="1"/>
  <c r="N14" i="29"/>
  <c r="T10" i="29"/>
  <c r="F9" i="22"/>
  <c r="F10" i="22" s="1"/>
  <c r="F13" i="22" s="1"/>
  <c r="E9" i="22"/>
  <c r="E10" i="22" s="1"/>
  <c r="J25" i="27" s="1"/>
  <c r="H25" i="20"/>
  <c r="G69" i="35" s="1"/>
  <c r="O14" i="29"/>
  <c r="D30" i="33"/>
  <c r="H23" i="20"/>
  <c r="G67" i="35" s="1"/>
  <c r="G20" i="20"/>
  <c r="F64" i="35" s="1"/>
  <c r="D3" i="22"/>
  <c r="M8" i="27"/>
  <c r="AB25" i="29"/>
  <c r="AB28" i="29" s="1"/>
  <c r="J16" i="29"/>
  <c r="M16" i="29" s="1"/>
  <c r="X8" i="29"/>
  <c r="AJ8" i="29" s="1"/>
  <c r="H86" i="1"/>
  <c r="J86" i="1" s="1"/>
  <c r="L86" i="1" s="1"/>
  <c r="H82" i="1"/>
  <c r="J82" i="1" s="1"/>
  <c r="L82" i="1" s="1"/>
  <c r="H65" i="1"/>
  <c r="J65" i="1" s="1"/>
  <c r="L65" i="1" s="1"/>
  <c r="L61" i="2"/>
  <c r="M61" i="2" s="1"/>
  <c r="T13" i="22"/>
  <c r="H73" i="1"/>
  <c r="J73" i="1" s="1"/>
  <c r="L73" i="1" s="1"/>
  <c r="H115" i="1"/>
  <c r="J115" i="1" s="1"/>
  <c r="L115" i="1" s="1"/>
  <c r="G63" i="35"/>
  <c r="H96" i="1"/>
  <c r="J96" i="1" s="1"/>
  <c r="L96" i="1" s="1"/>
  <c r="H100" i="1"/>
  <c r="J100" i="1" s="1"/>
  <c r="L100" i="1" s="1"/>
  <c r="H17" i="20"/>
  <c r="G61" i="35" s="1"/>
  <c r="Q58" i="1"/>
  <c r="R58" i="1" s="1"/>
  <c r="F107" i="1"/>
  <c r="Q13" i="22"/>
  <c r="G3" i="27"/>
  <c r="D33" i="33"/>
  <c r="J41" i="33" s="1"/>
  <c r="H21" i="20"/>
  <c r="G65" i="35" s="1"/>
  <c r="H27" i="20"/>
  <c r="G72" i="35" s="1"/>
  <c r="H95" i="1"/>
  <c r="J95" i="1" s="1"/>
  <c r="L95" i="1" s="1"/>
  <c r="H71" i="1"/>
  <c r="J71" i="1" s="1"/>
  <c r="L71" i="1" s="1"/>
  <c r="F67" i="2"/>
  <c r="G67" i="2" s="1"/>
  <c r="H67" i="2" s="1"/>
  <c r="P13" i="22"/>
  <c r="E6" i="22"/>
  <c r="H30" i="20"/>
  <c r="G75" i="35" s="1"/>
  <c r="H90" i="1"/>
  <c r="J90" i="1" s="1"/>
  <c r="L90" i="1" s="1"/>
  <c r="B28" i="29"/>
  <c r="L17" i="22"/>
  <c r="D29" i="33"/>
  <c r="H16" i="20"/>
  <c r="J16" i="20" s="1"/>
  <c r="L16" i="20" s="1"/>
  <c r="H29" i="20"/>
  <c r="G74" i="35" s="1"/>
  <c r="H15" i="20"/>
  <c r="G59" i="35" s="1"/>
  <c r="AB36" i="29"/>
  <c r="AD36" i="29" s="1"/>
  <c r="AD37" i="29" s="1"/>
  <c r="H70" i="1"/>
  <c r="J70" i="1" s="1"/>
  <c r="L70" i="1" s="1"/>
  <c r="AJ37" i="29"/>
  <c r="H42" i="26"/>
  <c r="D6" i="22"/>
  <c r="F26" i="22"/>
  <c r="F27" i="22" s="1"/>
  <c r="E22" i="22"/>
  <c r="E23" i="22" s="1"/>
  <c r="J26" i="27" s="1"/>
  <c r="K16" i="22"/>
  <c r="K17" i="22" s="1"/>
  <c r="D42" i="22"/>
  <c r="D43" i="22" s="1"/>
  <c r="C10" i="22"/>
  <c r="D22" i="22"/>
  <c r="C43" i="22"/>
  <c r="C44" i="22" s="1"/>
  <c r="G36" i="26"/>
  <c r="F42" i="22" s="1"/>
  <c r="F43" i="22" s="1"/>
  <c r="R11" i="20"/>
  <c r="F9" i="28"/>
  <c r="F21" i="28" s="1"/>
  <c r="F6" i="22"/>
  <c r="I34" i="32"/>
  <c r="J18" i="1"/>
  <c r="L18" i="1" s="1"/>
  <c r="H110" i="1"/>
  <c r="H78" i="1"/>
  <c r="J78" i="1" s="1"/>
  <c r="Q106" i="1"/>
  <c r="R106" i="1" s="1"/>
  <c r="Q50" i="1"/>
  <c r="R50" i="1" s="1"/>
  <c r="R43" i="1"/>
  <c r="H62" i="1"/>
  <c r="J62" i="1" s="1"/>
  <c r="L62" i="1" s="1"/>
  <c r="H54" i="1"/>
  <c r="J54" i="1" s="1"/>
  <c r="L54" i="1" s="1"/>
  <c r="F99" i="1"/>
  <c r="H102" i="1"/>
  <c r="J102" i="1" s="1"/>
  <c r="L102" i="1" s="1"/>
  <c r="H97" i="1"/>
  <c r="J97" i="1" s="1"/>
  <c r="J40" i="1"/>
  <c r="F112" i="1"/>
  <c r="F69" i="1"/>
  <c r="R97" i="1"/>
  <c r="Q44" i="27"/>
  <c r="D51" i="34" s="1"/>
  <c r="G47" i="27"/>
  <c r="R111" i="1"/>
  <c r="H12" i="1"/>
  <c r="H41" i="1" s="1"/>
  <c r="G54" i="32"/>
  <c r="H105" i="1"/>
  <c r="H101" i="1"/>
  <c r="J101" i="1" s="1"/>
  <c r="L101" i="1" s="1"/>
  <c r="H89" i="1"/>
  <c r="R61" i="1"/>
  <c r="L103" i="29"/>
  <c r="H17" i="1"/>
  <c r="AG26" i="30" s="1"/>
  <c r="F63" i="1"/>
  <c r="F79" i="1"/>
  <c r="H51" i="1"/>
  <c r="J51" i="1" s="1"/>
  <c r="L51" i="1" s="1"/>
  <c r="H116" i="1"/>
  <c r="J116" i="1" s="1"/>
  <c r="L116" i="1" s="1"/>
  <c r="J22" i="1"/>
  <c r="L22" i="1" s="1"/>
  <c r="H109" i="1"/>
  <c r="J109" i="1" s="1"/>
  <c r="L109" i="1" s="1"/>
  <c r="H66" i="1"/>
  <c r="J66" i="1" s="1"/>
  <c r="L66" i="1" s="1"/>
  <c r="F52" i="1"/>
  <c r="H57" i="1"/>
  <c r="J57" i="1" s="1"/>
  <c r="L57" i="1" s="1"/>
  <c r="H47" i="1"/>
  <c r="H67" i="1"/>
  <c r="H75" i="1"/>
  <c r="J75" i="1" s="1"/>
  <c r="L75" i="1" s="1"/>
  <c r="H93" i="1"/>
  <c r="J93" i="1" s="1"/>
  <c r="L93" i="1" s="1"/>
  <c r="H118" i="1"/>
  <c r="H113" i="1"/>
  <c r="Q11" i="27"/>
  <c r="H24" i="1"/>
  <c r="AN26" i="30" s="1"/>
  <c r="J13" i="1"/>
  <c r="I11" i="32"/>
  <c r="W6" i="35" s="1"/>
  <c r="F23" i="2"/>
  <c r="G23" i="2" s="1"/>
  <c r="H23" i="2" s="1"/>
  <c r="H40" i="33"/>
  <c r="L74" i="2"/>
  <c r="M74" i="2" s="1"/>
  <c r="F60" i="2"/>
  <c r="G46" i="2"/>
  <c r="G39" i="2"/>
  <c r="H39" i="2" s="1"/>
  <c r="E28" i="2"/>
  <c r="J14" i="1"/>
  <c r="R110" i="1"/>
  <c r="O13" i="30"/>
  <c r="X13" i="29"/>
  <c r="AJ43" i="29"/>
  <c r="AE60" i="29"/>
  <c r="AB64" i="29"/>
  <c r="AB56" i="29"/>
  <c r="E63" i="2"/>
  <c r="F62" i="2"/>
  <c r="T13" i="29"/>
  <c r="I46" i="27"/>
  <c r="S10" i="27"/>
  <c r="R12" i="29"/>
  <c r="AJ12" i="29" s="1"/>
  <c r="I18" i="28"/>
  <c r="E20" i="33"/>
  <c r="D32" i="33"/>
  <c r="H48" i="1"/>
  <c r="Q10" i="27"/>
  <c r="G46" i="27"/>
  <c r="R78" i="1"/>
  <c r="F68" i="2"/>
  <c r="L68" i="2"/>
  <c r="M68" i="2" s="1"/>
  <c r="L54" i="2"/>
  <c r="M54" i="2" s="1"/>
  <c r="F54" i="2"/>
  <c r="D31" i="33"/>
  <c r="P47" i="29"/>
  <c r="F82" i="2"/>
  <c r="E80" i="2"/>
  <c r="E84" i="2" s="1"/>
  <c r="V50" i="29"/>
  <c r="E45" i="26"/>
  <c r="Q117" i="1"/>
  <c r="R117" i="1" s="1"/>
  <c r="Q113" i="1"/>
  <c r="R113" i="1" s="1"/>
  <c r="D124" i="29"/>
  <c r="F124" i="29"/>
  <c r="I50" i="27"/>
  <c r="I59" i="27"/>
  <c r="AK17" i="35" s="1"/>
  <c r="J25" i="1"/>
  <c r="L25" i="1" s="1"/>
  <c r="I40" i="32" l="1"/>
  <c r="J50" i="27"/>
  <c r="K26" i="27"/>
  <c r="M35" i="29"/>
  <c r="Q17" i="29"/>
  <c r="W17" i="29" s="1"/>
  <c r="AC17" i="29" s="1"/>
  <c r="AI17" i="29" s="1"/>
  <c r="AF22" i="29"/>
  <c r="S26" i="29"/>
  <c r="U26" i="29" s="1"/>
  <c r="B97" i="29"/>
  <c r="AI26" i="30"/>
  <c r="AK26" i="30" s="1"/>
  <c r="J121" i="1"/>
  <c r="U36" i="30"/>
  <c r="H36" i="30" s="1"/>
  <c r="B95" i="29"/>
  <c r="J53" i="1"/>
  <c r="L53" i="1" s="1"/>
  <c r="U27" i="30"/>
  <c r="G33" i="2"/>
  <c r="H33" i="2" s="1"/>
  <c r="H31" i="2" s="1"/>
  <c r="F31" i="2"/>
  <c r="J110" i="1"/>
  <c r="J111" i="1"/>
  <c r="V28" i="29"/>
  <c r="Z23" i="29"/>
  <c r="M12" i="20"/>
  <c r="D2" i="34"/>
  <c r="D26" i="34" s="1"/>
  <c r="Q72" i="27"/>
  <c r="AN25" i="30"/>
  <c r="H87" i="32"/>
  <c r="I87" i="32"/>
  <c r="AP67" i="35"/>
  <c r="N44" i="29"/>
  <c r="S61" i="29" s="1"/>
  <c r="J56" i="29"/>
  <c r="AP26" i="30"/>
  <c r="Z26" i="30"/>
  <c r="AE67" i="35"/>
  <c r="U48" i="30"/>
  <c r="G48" i="30" s="1"/>
  <c r="S48" i="30" s="1"/>
  <c r="T48" i="30" s="1"/>
  <c r="J77" i="1"/>
  <c r="L77" i="1" s="1"/>
  <c r="AI6" i="35"/>
  <c r="AV7" i="35" s="1"/>
  <c r="V27" i="35"/>
  <c r="V52" i="35"/>
  <c r="AK6" i="35"/>
  <c r="AW7" i="35" s="1"/>
  <c r="W27" i="35"/>
  <c r="W52" i="35"/>
  <c r="D124" i="1"/>
  <c r="D125" i="1" s="1"/>
  <c r="E112" i="1"/>
  <c r="M18" i="29"/>
  <c r="O18" i="29" s="1"/>
  <c r="H26" i="28" s="1"/>
  <c r="AG46" i="35" s="1"/>
  <c r="Q18" i="29"/>
  <c r="W18" i="29" s="1"/>
  <c r="AC18" i="29" s="1"/>
  <c r="AI18" i="29" s="1"/>
  <c r="AD17" i="29"/>
  <c r="AO45" i="35"/>
  <c r="AA10" i="29"/>
  <c r="AM32" i="35"/>
  <c r="AD18" i="29"/>
  <c r="AO46" i="35"/>
  <c r="AA12" i="29"/>
  <c r="AM34" i="35"/>
  <c r="AD21" i="29"/>
  <c r="AO50" i="35"/>
  <c r="AG12" i="29"/>
  <c r="AP34" i="35"/>
  <c r="AA9" i="29"/>
  <c r="AM31" i="35"/>
  <c r="AD20" i="29"/>
  <c r="AO49" i="35"/>
  <c r="AA8" i="29"/>
  <c r="AM30" i="35"/>
  <c r="Q27" i="27"/>
  <c r="E42" i="2"/>
  <c r="M2" i="22"/>
  <c r="Q29" i="27"/>
  <c r="H43" i="32"/>
  <c r="AI10" i="35"/>
  <c r="H45" i="32"/>
  <c r="AI13" i="35"/>
  <c r="AK8" i="35"/>
  <c r="J76" i="1"/>
  <c r="L76" i="1" s="1"/>
  <c r="O50" i="28"/>
  <c r="AN72" i="35" s="1"/>
  <c r="AM38" i="35"/>
  <c r="J4" i="29"/>
  <c r="J57" i="29" s="1"/>
  <c r="AE27" i="35"/>
  <c r="AE41" i="35" s="1"/>
  <c r="AE61" i="35" s="1"/>
  <c r="AM67" i="35"/>
  <c r="AL67" i="35"/>
  <c r="P44" i="28"/>
  <c r="AO66" i="35" s="1"/>
  <c r="AO67" i="35" s="1"/>
  <c r="U56" i="29"/>
  <c r="AP58" i="35"/>
  <c r="AD19" i="29"/>
  <c r="K17" i="27"/>
  <c r="Y56" i="35" s="1"/>
  <c r="AD16" i="29"/>
  <c r="AG9" i="29"/>
  <c r="AG11" i="29"/>
  <c r="K18" i="27"/>
  <c r="Y57" i="35" s="1"/>
  <c r="AG10" i="29"/>
  <c r="S19" i="29"/>
  <c r="U19" i="29" s="1"/>
  <c r="T25" i="29"/>
  <c r="Y25" i="29" s="1"/>
  <c r="AA25" i="29" s="1"/>
  <c r="H45" i="28"/>
  <c r="G45" i="28"/>
  <c r="G50" i="28" s="1"/>
  <c r="S20" i="29"/>
  <c r="U20" i="29" s="1"/>
  <c r="K29" i="28" s="1"/>
  <c r="AJ49" i="35" s="1"/>
  <c r="P28" i="29"/>
  <c r="Y19" i="29"/>
  <c r="F45" i="26"/>
  <c r="F73" i="2"/>
  <c r="F50" i="28"/>
  <c r="AE72" i="35" s="1"/>
  <c r="H93" i="32"/>
  <c r="H94" i="32" s="1"/>
  <c r="F45" i="1"/>
  <c r="F17" i="2"/>
  <c r="F21" i="2" s="1"/>
  <c r="C18" i="22"/>
  <c r="I93" i="32"/>
  <c r="I94" i="32" s="1"/>
  <c r="I91" i="32" s="1"/>
  <c r="W47" i="35" s="1"/>
  <c r="S18" i="29"/>
  <c r="U18" i="29" s="1"/>
  <c r="K26" i="28" s="1"/>
  <c r="AJ46" i="35" s="1"/>
  <c r="E40" i="22"/>
  <c r="J31" i="32" s="1"/>
  <c r="E119" i="29" s="1"/>
  <c r="D40" i="22"/>
  <c r="I31" i="32" s="1"/>
  <c r="D119" i="29" s="1"/>
  <c r="C40" i="22"/>
  <c r="H31" i="32" s="1"/>
  <c r="C119" i="29" s="1"/>
  <c r="L59" i="1"/>
  <c r="L24" i="1"/>
  <c r="H85" i="32"/>
  <c r="F11" i="1"/>
  <c r="F34" i="1"/>
  <c r="F39" i="1"/>
  <c r="L49" i="30"/>
  <c r="R49" i="30"/>
  <c r="E7" i="22"/>
  <c r="J20" i="32" s="1"/>
  <c r="E108" i="29" s="1"/>
  <c r="K27" i="32"/>
  <c r="F115" i="29" s="1"/>
  <c r="D7" i="22"/>
  <c r="I20" i="32" s="1"/>
  <c r="D108" i="29" s="1"/>
  <c r="F7" i="22"/>
  <c r="K20" i="32" s="1"/>
  <c r="F108" i="29" s="1"/>
  <c r="T24" i="29"/>
  <c r="S34" i="29" s="1"/>
  <c r="S24" i="29"/>
  <c r="U24" i="29" s="1"/>
  <c r="N34" i="29"/>
  <c r="O12" i="1"/>
  <c r="E8" i="2"/>
  <c r="O17" i="1"/>
  <c r="J118" i="1"/>
  <c r="L121" i="1"/>
  <c r="J80" i="1"/>
  <c r="L80" i="1" s="1"/>
  <c r="L79" i="1" s="1"/>
  <c r="I50" i="28"/>
  <c r="AH72" i="35" s="1"/>
  <c r="AJ22" i="29"/>
  <c r="AK22" i="29" s="1"/>
  <c r="AM22" i="29" s="1"/>
  <c r="J17" i="27"/>
  <c r="X56" i="35" s="1"/>
  <c r="L50" i="28"/>
  <c r="AK72" i="35" s="1"/>
  <c r="Z8" i="29"/>
  <c r="AE8" i="29" s="1"/>
  <c r="AG43" i="29"/>
  <c r="I17" i="27"/>
  <c r="W56" i="35" s="1"/>
  <c r="AG13" i="29"/>
  <c r="I30" i="27"/>
  <c r="W65" i="35" s="1"/>
  <c r="K41" i="28"/>
  <c r="AJ63" i="35" s="1"/>
  <c r="AJ67" i="35" s="1"/>
  <c r="E37" i="22"/>
  <c r="D49" i="35"/>
  <c r="H62" i="26"/>
  <c r="H49" i="35" s="1"/>
  <c r="H19" i="32"/>
  <c r="C107" i="29" s="1"/>
  <c r="F40" i="22"/>
  <c r="K31" i="32" s="1"/>
  <c r="F119" i="29" s="1"/>
  <c r="F37" i="22"/>
  <c r="J27" i="27"/>
  <c r="Q16" i="29"/>
  <c r="W16" i="29" s="1"/>
  <c r="AC16" i="29" s="1"/>
  <c r="AI16" i="29" s="1"/>
  <c r="H14" i="22"/>
  <c r="B26" i="30"/>
  <c r="E24" i="22"/>
  <c r="L91" i="1"/>
  <c r="G51" i="32"/>
  <c r="U24" i="35" s="1"/>
  <c r="F24" i="2"/>
  <c r="F28" i="2" s="1"/>
  <c r="O56" i="29"/>
  <c r="J41" i="28"/>
  <c r="AI63" i="35" s="1"/>
  <c r="AI67" i="35" s="1"/>
  <c r="P39" i="28"/>
  <c r="Q45" i="28"/>
  <c r="Z9" i="29"/>
  <c r="AE9" i="29" s="1"/>
  <c r="Z21" i="29"/>
  <c r="AE21" i="29" s="1"/>
  <c r="AG21" i="29" s="1"/>
  <c r="Q30" i="28" s="1"/>
  <c r="AP50" i="35" s="1"/>
  <c r="M45" i="28"/>
  <c r="Y13" i="29"/>
  <c r="AM56" i="29"/>
  <c r="T64" i="29"/>
  <c r="Z26" i="29"/>
  <c r="AE26" i="29" s="1"/>
  <c r="AG26" i="29" s="1"/>
  <c r="Q37" i="28" s="1"/>
  <c r="AP57" i="35" s="1"/>
  <c r="AJ56" i="29"/>
  <c r="S35" i="29"/>
  <c r="Z64" i="29"/>
  <c r="AK64" i="29"/>
  <c r="AF23" i="29"/>
  <c r="AE23" i="29"/>
  <c r="AG23" i="29" s="1"/>
  <c r="Q33" i="28" s="1"/>
  <c r="AP53" i="35" s="1"/>
  <c r="X56" i="29"/>
  <c r="AG56" i="29"/>
  <c r="Y20" i="29"/>
  <c r="AA20" i="29" s="1"/>
  <c r="N29" i="28" s="1"/>
  <c r="AM49" i="35" s="1"/>
  <c r="N45" i="28"/>
  <c r="Y18" i="29"/>
  <c r="AA18" i="29" s="1"/>
  <c r="N26" i="28" s="1"/>
  <c r="AM46" i="35" s="1"/>
  <c r="C26" i="22"/>
  <c r="C24" i="22"/>
  <c r="L104" i="29"/>
  <c r="H77" i="32"/>
  <c r="H76" i="32" s="1"/>
  <c r="V43" i="35" s="1"/>
  <c r="S15" i="27"/>
  <c r="L76" i="35"/>
  <c r="Y9" i="29"/>
  <c r="O12" i="20"/>
  <c r="N56" i="35" s="1"/>
  <c r="L56" i="35"/>
  <c r="D23" i="22"/>
  <c r="I26" i="27" s="1"/>
  <c r="L15" i="1"/>
  <c r="C37" i="22"/>
  <c r="Y10" i="29"/>
  <c r="Z11" i="29"/>
  <c r="Y11" i="29"/>
  <c r="R14" i="29"/>
  <c r="S31" i="29" s="1"/>
  <c r="S12" i="29"/>
  <c r="Y8" i="29"/>
  <c r="K9" i="30"/>
  <c r="K21" i="30" s="1"/>
  <c r="K46" i="30" s="1"/>
  <c r="F34" i="33"/>
  <c r="L18" i="28"/>
  <c r="N11" i="28"/>
  <c r="AM29" i="35" s="1"/>
  <c r="J34" i="32"/>
  <c r="X14" i="35" s="1"/>
  <c r="W14" i="35"/>
  <c r="N40" i="29"/>
  <c r="N43" i="29" s="1"/>
  <c r="AA43" i="29"/>
  <c r="L19" i="28"/>
  <c r="K19" i="28"/>
  <c r="AJ38" i="35" s="1"/>
  <c r="H40" i="2"/>
  <c r="H38" i="2" s="1"/>
  <c r="H42" i="2" s="1"/>
  <c r="G38" i="2"/>
  <c r="G42" i="2" s="1"/>
  <c r="F38" i="2"/>
  <c r="F42" i="2" s="1"/>
  <c r="AA56" i="29"/>
  <c r="R56" i="29"/>
  <c r="S60" i="29"/>
  <c r="U42" i="35"/>
  <c r="W29" i="35"/>
  <c r="G60" i="35"/>
  <c r="F34" i="35"/>
  <c r="E3" i="22"/>
  <c r="E17" i="2"/>
  <c r="B58" i="30"/>
  <c r="K83" i="32"/>
  <c r="I83" i="32"/>
  <c r="F53" i="32"/>
  <c r="F10" i="27"/>
  <c r="J47" i="1"/>
  <c r="G44" i="27"/>
  <c r="G22" i="20"/>
  <c r="K27" i="27"/>
  <c r="F14" i="22"/>
  <c r="K23" i="32" s="1"/>
  <c r="F111" i="29" s="1"/>
  <c r="F11" i="22"/>
  <c r="K25" i="27"/>
  <c r="D13" i="22"/>
  <c r="D14" i="22" s="1"/>
  <c r="I23" i="32" s="1"/>
  <c r="D111" i="29" s="1"/>
  <c r="D37" i="22"/>
  <c r="D11" i="22"/>
  <c r="H64" i="32"/>
  <c r="E44" i="22"/>
  <c r="Z20" i="29"/>
  <c r="H19" i="28"/>
  <c r="AG38" i="35" s="1"/>
  <c r="R43" i="29"/>
  <c r="H83" i="32" s="1"/>
  <c r="M60" i="29"/>
  <c r="X7" i="29"/>
  <c r="Q11" i="28"/>
  <c r="AP29" i="35" s="1"/>
  <c r="AP36" i="35" s="1"/>
  <c r="H39" i="33"/>
  <c r="H17" i="2"/>
  <c r="G17" i="2"/>
  <c r="G21" i="2" s="1"/>
  <c r="H79" i="1"/>
  <c r="J55" i="1"/>
  <c r="I55" i="27"/>
  <c r="I57" i="27"/>
  <c r="AK15" i="35" s="1"/>
  <c r="H82" i="32"/>
  <c r="I27" i="27"/>
  <c r="E11" i="22"/>
  <c r="E13" i="22"/>
  <c r="L61" i="1"/>
  <c r="L43" i="1"/>
  <c r="H46" i="1"/>
  <c r="J49" i="1"/>
  <c r="L49" i="1" s="1"/>
  <c r="H52" i="1"/>
  <c r="J50" i="1"/>
  <c r="L50" i="1" s="1"/>
  <c r="H112" i="1"/>
  <c r="J72" i="1"/>
  <c r="L72" i="1" s="1"/>
  <c r="L69" i="1" s="1"/>
  <c r="C13" i="33"/>
  <c r="D13" i="33" s="1"/>
  <c r="E13" i="33" s="1"/>
  <c r="F13" i="33" s="1"/>
  <c r="G13" i="33" s="1"/>
  <c r="H13" i="33" s="1"/>
  <c r="I13" i="33" s="1"/>
  <c r="J13" i="33" s="1"/>
  <c r="C10" i="33"/>
  <c r="D10" i="33" s="1"/>
  <c r="E10" i="33" s="1"/>
  <c r="F10" i="33" s="1"/>
  <c r="G10" i="33" s="1"/>
  <c r="C12" i="33"/>
  <c r="D12" i="33" s="1"/>
  <c r="E12" i="33" s="1"/>
  <c r="F12" i="33" s="1"/>
  <c r="G12" i="33" s="1"/>
  <c r="H12" i="33" s="1"/>
  <c r="I12" i="33" s="1"/>
  <c r="C16" i="33"/>
  <c r="D16" i="33" s="1"/>
  <c r="E16" i="33" s="1"/>
  <c r="F16" i="33" s="1"/>
  <c r="G16" i="33" s="1"/>
  <c r="H16" i="33" s="1"/>
  <c r="I16" i="33" s="1"/>
  <c r="J16" i="33" s="1"/>
  <c r="K16" i="33" s="1"/>
  <c r="L16" i="33" s="1"/>
  <c r="C14" i="33"/>
  <c r="D14" i="33" s="1"/>
  <c r="E14" i="33" s="1"/>
  <c r="F14" i="33" s="1"/>
  <c r="G14" i="33" s="1"/>
  <c r="H14" i="33" s="1"/>
  <c r="I14" i="33" s="1"/>
  <c r="J14" i="33" s="1"/>
  <c r="K14" i="33" s="1"/>
  <c r="AD56" i="29"/>
  <c r="AD43" i="29"/>
  <c r="Y60" i="29"/>
  <c r="O19" i="28"/>
  <c r="AN38" i="35" s="1"/>
  <c r="J83" i="32"/>
  <c r="P45" i="28"/>
  <c r="H39" i="1"/>
  <c r="Z25" i="29"/>
  <c r="AF25" i="29" s="1"/>
  <c r="AK25" i="29" s="1"/>
  <c r="U17" i="29"/>
  <c r="K25" i="28" s="1"/>
  <c r="AJ45" i="35" s="1"/>
  <c r="T17" i="29"/>
  <c r="Y17" i="29" s="1"/>
  <c r="H69" i="2"/>
  <c r="H70" i="2" s="1"/>
  <c r="AB37" i="29"/>
  <c r="E57" i="29"/>
  <c r="E39" i="29"/>
  <c r="G31" i="2"/>
  <c r="H69" i="1"/>
  <c r="I21" i="30"/>
  <c r="I46" i="30" s="1"/>
  <c r="I95" i="30"/>
  <c r="R55" i="1"/>
  <c r="H94" i="1"/>
  <c r="L99" i="1"/>
  <c r="L78" i="1"/>
  <c r="L17" i="1"/>
  <c r="H107" i="1"/>
  <c r="H20" i="20"/>
  <c r="Q18" i="27"/>
  <c r="X28" i="29"/>
  <c r="S15" i="30"/>
  <c r="T15" i="30" s="1"/>
  <c r="G61" i="2"/>
  <c r="H61" i="2" s="1"/>
  <c r="N2" i="22"/>
  <c r="J21" i="30"/>
  <c r="J46" i="30" s="1"/>
  <c r="J95" i="30"/>
  <c r="J94" i="1"/>
  <c r="M61" i="29"/>
  <c r="N56" i="29"/>
  <c r="T44" i="29"/>
  <c r="G76" i="2"/>
  <c r="F77" i="2"/>
  <c r="H99" i="1"/>
  <c r="J33" i="29"/>
  <c r="N16" i="29"/>
  <c r="S16" i="29" s="1"/>
  <c r="J28" i="29"/>
  <c r="Z10" i="29"/>
  <c r="AE10" i="29" s="1"/>
  <c r="J58" i="1"/>
  <c r="L58" i="1" s="1"/>
  <c r="Z18" i="29"/>
  <c r="AE18" i="29" s="1"/>
  <c r="Q46" i="27"/>
  <c r="D53" i="34" s="1"/>
  <c r="D122" i="29"/>
  <c r="H27" i="27"/>
  <c r="C46" i="22"/>
  <c r="C47" i="22" s="1"/>
  <c r="H15" i="32" s="1"/>
  <c r="C103" i="29" s="1"/>
  <c r="H25" i="27"/>
  <c r="C13" i="22"/>
  <c r="D46" i="22"/>
  <c r="D47" i="22" s="1"/>
  <c r="I15" i="32" s="1"/>
  <c r="D103" i="29" s="1"/>
  <c r="D44" i="22"/>
  <c r="E26" i="22"/>
  <c r="E27" i="22" s="1"/>
  <c r="J27" i="32" s="1"/>
  <c r="F44" i="22"/>
  <c r="F46" i="22"/>
  <c r="F47" i="22" s="1"/>
  <c r="K15" i="32" s="1"/>
  <c r="F103" i="29" s="1"/>
  <c r="C11" i="22"/>
  <c r="H34" i="1"/>
  <c r="I64" i="32"/>
  <c r="I62" i="32" s="1"/>
  <c r="W34" i="35" s="1"/>
  <c r="I85" i="32"/>
  <c r="J17" i="1"/>
  <c r="H11" i="1"/>
  <c r="H74" i="1"/>
  <c r="L40" i="1"/>
  <c r="L111" i="1"/>
  <c r="J106" i="1"/>
  <c r="L106" i="1" s="1"/>
  <c r="F37" i="1"/>
  <c r="J89" i="1"/>
  <c r="H88" i="1"/>
  <c r="J64" i="1"/>
  <c r="H63" i="1"/>
  <c r="J99" i="1"/>
  <c r="J84" i="1"/>
  <c r="H83" i="1"/>
  <c r="J105" i="1"/>
  <c r="H104" i="1"/>
  <c r="J117" i="1"/>
  <c r="L117" i="1" s="1"/>
  <c r="N103" i="29"/>
  <c r="J67" i="1"/>
  <c r="L67" i="1" s="1"/>
  <c r="L97" i="1"/>
  <c r="L94" i="1" s="1"/>
  <c r="E79" i="1"/>
  <c r="E63" i="1"/>
  <c r="E74" i="1"/>
  <c r="E52" i="1"/>
  <c r="E99" i="1"/>
  <c r="E104" i="1"/>
  <c r="E83" i="1"/>
  <c r="E46" i="1"/>
  <c r="E69" i="1"/>
  <c r="E107" i="1"/>
  <c r="E94" i="1"/>
  <c r="E116" i="1"/>
  <c r="E87" i="1"/>
  <c r="E117" i="1"/>
  <c r="E86" i="1"/>
  <c r="E88" i="1"/>
  <c r="J24" i="1"/>
  <c r="L13" i="1"/>
  <c r="J12" i="1"/>
  <c r="J41" i="1" s="1"/>
  <c r="S11" i="20"/>
  <c r="I9" i="28"/>
  <c r="AH27" i="35" s="1"/>
  <c r="AH41" i="35" s="1"/>
  <c r="AH61" i="35" s="1"/>
  <c r="H8" i="1"/>
  <c r="D100" i="29"/>
  <c r="F30" i="2"/>
  <c r="G30" i="2" s="1"/>
  <c r="H30" i="2" s="1"/>
  <c r="G74" i="2"/>
  <c r="G60" i="2"/>
  <c r="F59" i="2"/>
  <c r="I40" i="33"/>
  <c r="G24" i="2"/>
  <c r="G28" i="2" s="1"/>
  <c r="H37" i="1"/>
  <c r="L14" i="1"/>
  <c r="F20" i="33"/>
  <c r="E32" i="33"/>
  <c r="E29" i="33"/>
  <c r="E31" i="33"/>
  <c r="E30" i="33"/>
  <c r="E33" i="33"/>
  <c r="K41" i="33" s="1"/>
  <c r="E28" i="33"/>
  <c r="V63" i="29"/>
  <c r="V56" i="29"/>
  <c r="Z50" i="29"/>
  <c r="AB65" i="29"/>
  <c r="AD64" i="29"/>
  <c r="AD65" i="29" s="1"/>
  <c r="L110" i="1"/>
  <c r="G54" i="2"/>
  <c r="F52" i="2"/>
  <c r="N76" i="35"/>
  <c r="T15" i="27"/>
  <c r="K18" i="28"/>
  <c r="U12" i="29"/>
  <c r="U14" i="29" s="1"/>
  <c r="Z13" i="29"/>
  <c r="AE13" i="29" s="1"/>
  <c r="P62" i="29"/>
  <c r="T47" i="29"/>
  <c r="P56" i="29"/>
  <c r="Z19" i="29"/>
  <c r="K11" i="32"/>
  <c r="Y6" i="35" s="1"/>
  <c r="G45" i="26"/>
  <c r="F3" i="22"/>
  <c r="L108" i="1"/>
  <c r="J107" i="1"/>
  <c r="J28" i="30"/>
  <c r="L28" i="30"/>
  <c r="N28" i="30"/>
  <c r="Q28" i="30"/>
  <c r="P28" i="30"/>
  <c r="R28" i="30"/>
  <c r="M28" i="30"/>
  <c r="I28" i="30"/>
  <c r="H28" i="30"/>
  <c r="K28" i="30"/>
  <c r="O28" i="30"/>
  <c r="J74" i="1"/>
  <c r="F35" i="2"/>
  <c r="G68" i="2"/>
  <c r="F66" i="2"/>
  <c r="J48" i="1"/>
  <c r="T12" i="29"/>
  <c r="Y12" i="29" s="1"/>
  <c r="P13" i="30"/>
  <c r="G82" i="2"/>
  <c r="F80" i="2"/>
  <c r="F84" i="2" s="1"/>
  <c r="J113" i="1"/>
  <c r="G62" i="2"/>
  <c r="F63" i="2"/>
  <c r="AA13" i="29"/>
  <c r="J59" i="27"/>
  <c r="AM17" i="35" s="1"/>
  <c r="J40" i="32"/>
  <c r="O36" i="30" l="1"/>
  <c r="M36" i="30"/>
  <c r="P36" i="30"/>
  <c r="J36" i="30"/>
  <c r="Q36" i="30"/>
  <c r="AL26" i="30"/>
  <c r="I36" i="30"/>
  <c r="G36" i="30"/>
  <c r="K36" i="30"/>
  <c r="R36" i="30"/>
  <c r="L36" i="30"/>
  <c r="N36" i="30"/>
  <c r="AP25" i="30"/>
  <c r="AS25" i="30" s="1"/>
  <c r="AV25" i="30" s="1"/>
  <c r="AM26" i="30"/>
  <c r="AR26" i="30"/>
  <c r="D97" i="29"/>
  <c r="D95" i="29"/>
  <c r="U29" i="30" s="1"/>
  <c r="Q29" i="30" s="1"/>
  <c r="U23" i="22" s="1"/>
  <c r="U24" i="22" s="1"/>
  <c r="M27" i="30"/>
  <c r="Q18" i="22" s="1"/>
  <c r="Q19" i="22" s="1"/>
  <c r="P27" i="30"/>
  <c r="T18" i="22" s="1"/>
  <c r="T19" i="22" s="1"/>
  <c r="H27" i="30"/>
  <c r="L18" i="22" s="1"/>
  <c r="L19" i="22" s="1"/>
  <c r="I27" i="30"/>
  <c r="M18" i="22" s="1"/>
  <c r="M19" i="22" s="1"/>
  <c r="J27" i="30"/>
  <c r="N18" i="22" s="1"/>
  <c r="N19" i="22" s="1"/>
  <c r="L27" i="30"/>
  <c r="P18" i="22" s="1"/>
  <c r="P19" i="22" s="1"/>
  <c r="G27" i="30"/>
  <c r="N27" i="30"/>
  <c r="R18" i="22" s="1"/>
  <c r="R19" i="22" s="1"/>
  <c r="O27" i="30"/>
  <c r="S18" i="22" s="1"/>
  <c r="S19" i="22" s="1"/>
  <c r="R27" i="30"/>
  <c r="V18" i="22" s="1"/>
  <c r="V19" i="22" s="1"/>
  <c r="Q27" i="30"/>
  <c r="U18" i="22" s="1"/>
  <c r="U19" i="22" s="1"/>
  <c r="K27" i="30"/>
  <c r="O18" i="22" s="1"/>
  <c r="O19" i="22" s="1"/>
  <c r="G122" i="1"/>
  <c r="G123" i="1"/>
  <c r="J87" i="32"/>
  <c r="K87" i="32"/>
  <c r="B96" i="29"/>
  <c r="U37" i="30"/>
  <c r="I37" i="30" s="1"/>
  <c r="H42" i="1"/>
  <c r="J42" i="1" s="1"/>
  <c r="L42" i="1" s="1"/>
  <c r="U35" i="30"/>
  <c r="AS26" i="30"/>
  <c r="AT26" i="30" s="1"/>
  <c r="AB26" i="30"/>
  <c r="AF26" i="30" s="1"/>
  <c r="AF72" i="35"/>
  <c r="U47" i="30"/>
  <c r="I47" i="30" s="1"/>
  <c r="I53" i="30" s="1"/>
  <c r="H62" i="32"/>
  <c r="V34" i="35" s="1"/>
  <c r="I30" i="20"/>
  <c r="G120" i="1"/>
  <c r="I18" i="20"/>
  <c r="E122" i="1"/>
  <c r="Y52" i="35"/>
  <c r="AO6" i="35"/>
  <c r="AY7" i="35" s="1"/>
  <c r="Y27" i="35"/>
  <c r="E123" i="1"/>
  <c r="AE19" i="29"/>
  <c r="C11" i="33"/>
  <c r="D11" i="33" s="1"/>
  <c r="E11" i="33" s="1"/>
  <c r="F11" i="33" s="1"/>
  <c r="G11" i="33" s="1"/>
  <c r="H11" i="33" s="1"/>
  <c r="AM8" i="35"/>
  <c r="AM36" i="35"/>
  <c r="J39" i="29"/>
  <c r="L102" i="29"/>
  <c r="AO59" i="35"/>
  <c r="AD28" i="29"/>
  <c r="AU11" i="35"/>
  <c r="Q30" i="27"/>
  <c r="AU12" i="35" s="1"/>
  <c r="AU9" i="35"/>
  <c r="Q28" i="27"/>
  <c r="AU10" i="35" s="1"/>
  <c r="F66" i="35"/>
  <c r="Q20" i="27"/>
  <c r="Q74" i="27" s="1"/>
  <c r="I43" i="32"/>
  <c r="AK10" i="35"/>
  <c r="F32" i="1"/>
  <c r="R40" i="27" s="1"/>
  <c r="R41" i="27" s="1"/>
  <c r="I45" i="32"/>
  <c r="AK13" i="35"/>
  <c r="L74" i="1"/>
  <c r="AK38" i="35"/>
  <c r="H36" i="27"/>
  <c r="V69" i="35" s="1"/>
  <c r="AA7" i="29"/>
  <c r="AA14" i="29" s="1"/>
  <c r="I21" i="28"/>
  <c r="K45" i="28"/>
  <c r="J45" i="28"/>
  <c r="J50" i="28" s="1"/>
  <c r="AI72" i="35" s="1"/>
  <c r="J79" i="1"/>
  <c r="C49" i="22"/>
  <c r="AF8" i="29"/>
  <c r="AK8" i="29" s="1"/>
  <c r="F19" i="33"/>
  <c r="G32" i="30"/>
  <c r="F11" i="2"/>
  <c r="K15" i="20" s="1"/>
  <c r="E13" i="2"/>
  <c r="E10" i="2"/>
  <c r="I11" i="20" s="1"/>
  <c r="F49" i="22"/>
  <c r="J93" i="32"/>
  <c r="J94" i="32" s="1"/>
  <c r="J91" i="32" s="1"/>
  <c r="X47" i="35" s="1"/>
  <c r="Y24" i="29"/>
  <c r="AA24" i="29" s="1"/>
  <c r="N34" i="28" s="1"/>
  <c r="AM54" i="35" s="1"/>
  <c r="Z24" i="29"/>
  <c r="AE24" i="29" s="1"/>
  <c r="AG24" i="29" s="1"/>
  <c r="Q34" i="28" s="1"/>
  <c r="AP54" i="35" s="1"/>
  <c r="E49" i="22"/>
  <c r="H33" i="32"/>
  <c r="H45" i="1"/>
  <c r="O2" i="22"/>
  <c r="G2" i="33"/>
  <c r="G34" i="33" s="1"/>
  <c r="L9" i="30"/>
  <c r="K95" i="30"/>
  <c r="C48" i="22"/>
  <c r="D60" i="26" s="1"/>
  <c r="D47" i="35" s="1"/>
  <c r="G119" i="1"/>
  <c r="C14" i="22"/>
  <c r="H23" i="32" s="1"/>
  <c r="C111" i="29" s="1"/>
  <c r="J17" i="2"/>
  <c r="H11" i="27"/>
  <c r="R11" i="27" s="1"/>
  <c r="E2" i="34" s="1"/>
  <c r="E26" i="34" s="1"/>
  <c r="AL22" i="29"/>
  <c r="V10" i="35"/>
  <c r="L118" i="1"/>
  <c r="E119" i="1"/>
  <c r="E120" i="1"/>
  <c r="L12" i="1"/>
  <c r="L41" i="1" s="1"/>
  <c r="M50" i="28"/>
  <c r="AL72" i="35" s="1"/>
  <c r="AJ23" i="29"/>
  <c r="AL23" i="29" s="1"/>
  <c r="T40" i="29"/>
  <c r="AF9" i="29"/>
  <c r="AK9" i="29" s="1"/>
  <c r="I77" i="32"/>
  <c r="I76" i="32" s="1"/>
  <c r="W43" i="35" s="1"/>
  <c r="AC28" i="29"/>
  <c r="C15" i="33"/>
  <c r="D15" i="33" s="1"/>
  <c r="E15" i="33" s="1"/>
  <c r="F15" i="33" s="1"/>
  <c r="G15" i="33" s="1"/>
  <c r="H15" i="33" s="1"/>
  <c r="I15" i="33" s="1"/>
  <c r="J15" i="33" s="1"/>
  <c r="K15" i="33" s="1"/>
  <c r="L15" i="33" s="1"/>
  <c r="J30" i="27"/>
  <c r="X65" i="35" s="1"/>
  <c r="K34" i="32"/>
  <c r="Y14" i="35" s="1"/>
  <c r="E115" i="29"/>
  <c r="E14" i="22"/>
  <c r="J23" i="32" s="1"/>
  <c r="E111" i="29" s="1"/>
  <c r="I19" i="32"/>
  <c r="D107" i="29" s="1"/>
  <c r="X62" i="35"/>
  <c r="H17" i="32"/>
  <c r="H14" i="32" s="1"/>
  <c r="V8" i="35" s="1"/>
  <c r="B27" i="30"/>
  <c r="H16" i="22"/>
  <c r="Y35" i="29"/>
  <c r="AF21" i="29"/>
  <c r="AF26" i="29"/>
  <c r="AJ26" i="29" s="1"/>
  <c r="J36" i="27"/>
  <c r="X69" i="35" s="1"/>
  <c r="S65" i="29"/>
  <c r="S14" i="29"/>
  <c r="M31" i="29"/>
  <c r="M65" i="29"/>
  <c r="AE20" i="29"/>
  <c r="AG20" i="29" s="1"/>
  <c r="Q29" i="28" s="1"/>
  <c r="AP49" i="35" s="1"/>
  <c r="AE25" i="29"/>
  <c r="AG25" i="29" s="1"/>
  <c r="Q36" i="28" s="1"/>
  <c r="AP56" i="35" s="1"/>
  <c r="H21" i="2"/>
  <c r="E122" i="29"/>
  <c r="E21" i="2"/>
  <c r="N104" i="29"/>
  <c r="H22" i="20"/>
  <c r="D26" i="22"/>
  <c r="D49" i="22" s="1"/>
  <c r="D24" i="22"/>
  <c r="D48" i="22" s="1"/>
  <c r="E60" i="26" s="1"/>
  <c r="E47" i="35" s="1"/>
  <c r="W62" i="35"/>
  <c r="Y62" i="35"/>
  <c r="X14" i="29"/>
  <c r="Y31" i="29" s="1"/>
  <c r="AE11" i="29"/>
  <c r="AF11" i="29"/>
  <c r="Y7" i="29"/>
  <c r="H24" i="2"/>
  <c r="H28" i="2" s="1"/>
  <c r="K36" i="27"/>
  <c r="Y69" i="35" s="1"/>
  <c r="N18" i="28"/>
  <c r="J69" i="1"/>
  <c r="Y29" i="35"/>
  <c r="X29" i="35"/>
  <c r="Q19" i="27"/>
  <c r="D27" i="34" s="1"/>
  <c r="G64" i="35"/>
  <c r="I60" i="35"/>
  <c r="V62" i="35"/>
  <c r="J11" i="32"/>
  <c r="X6" i="35" s="1"/>
  <c r="J8" i="1"/>
  <c r="E100" i="29"/>
  <c r="T11" i="20"/>
  <c r="L9" i="28"/>
  <c r="G26" i="20"/>
  <c r="F46" i="27"/>
  <c r="P10" i="27"/>
  <c r="L47" i="1"/>
  <c r="G83" i="1"/>
  <c r="J52" i="27"/>
  <c r="AM10" i="35" s="1"/>
  <c r="J55" i="27"/>
  <c r="AM13" i="35" s="1"/>
  <c r="F48" i="22"/>
  <c r="G60" i="26" s="1"/>
  <c r="G47" i="35" s="1"/>
  <c r="E48" i="22"/>
  <c r="F60" i="26" s="1"/>
  <c r="F47" i="35" s="1"/>
  <c r="G117" i="1"/>
  <c r="K64" i="32"/>
  <c r="K62" i="32" s="1"/>
  <c r="Y34" i="35" s="1"/>
  <c r="AF20" i="29"/>
  <c r="AJ20" i="29" s="1"/>
  <c r="O18" i="28"/>
  <c r="AD14" i="29"/>
  <c r="AE31" i="29" s="1"/>
  <c r="Z7" i="29"/>
  <c r="L34" i="1"/>
  <c r="L39" i="1"/>
  <c r="L55" i="1"/>
  <c r="L52" i="1" s="1"/>
  <c r="J57" i="27"/>
  <c r="AM15" i="35" s="1"/>
  <c r="I82" i="32"/>
  <c r="G74" i="1"/>
  <c r="G63" i="1"/>
  <c r="G112" i="1"/>
  <c r="G118" i="1"/>
  <c r="G107" i="1"/>
  <c r="G52" i="1"/>
  <c r="G69" i="1"/>
  <c r="G87" i="1"/>
  <c r="G88" i="1"/>
  <c r="G94" i="1"/>
  <c r="G79" i="1"/>
  <c r="G99" i="1"/>
  <c r="G121" i="1"/>
  <c r="G116" i="1"/>
  <c r="G104" i="1"/>
  <c r="G86" i="1"/>
  <c r="G46" i="1"/>
  <c r="S49" i="30"/>
  <c r="T49" i="30" s="1"/>
  <c r="J52" i="1"/>
  <c r="AA17" i="29"/>
  <c r="N25" i="28" s="1"/>
  <c r="AM45" i="35" s="1"/>
  <c r="Z17" i="29"/>
  <c r="AE17" i="29" s="1"/>
  <c r="E34" i="33"/>
  <c r="E19" i="33"/>
  <c r="K85" i="32"/>
  <c r="T16" i="29"/>
  <c r="Y16" i="29" s="1"/>
  <c r="N28" i="29"/>
  <c r="M33" i="29"/>
  <c r="N33" i="29"/>
  <c r="Y61" i="29"/>
  <c r="Z44" i="29"/>
  <c r="L33" i="29"/>
  <c r="L37" i="29" s="1"/>
  <c r="J37" i="29"/>
  <c r="AF18" i="29"/>
  <c r="AG18" i="29"/>
  <c r="Q26" i="28" s="1"/>
  <c r="AP46" i="35" s="1"/>
  <c r="F123" i="29"/>
  <c r="AF10" i="29"/>
  <c r="O16" i="29"/>
  <c r="M28" i="29"/>
  <c r="H76" i="2"/>
  <c r="H77" i="2" s="1"/>
  <c r="G77" i="2"/>
  <c r="AL9" i="29"/>
  <c r="AM25" i="29"/>
  <c r="AL25" i="29"/>
  <c r="C27" i="22"/>
  <c r="H27" i="32" s="1"/>
  <c r="H32" i="1"/>
  <c r="H31" i="1" s="1"/>
  <c r="H44" i="1" s="1"/>
  <c r="K17" i="20" s="1"/>
  <c r="K30" i="20"/>
  <c r="J74" i="35" s="1"/>
  <c r="J11" i="1"/>
  <c r="J85" i="32"/>
  <c r="J64" i="32"/>
  <c r="M30" i="20" s="1"/>
  <c r="L74" i="35" s="1"/>
  <c r="J34" i="1"/>
  <c r="J39" i="1"/>
  <c r="J83" i="1"/>
  <c r="L84" i="1"/>
  <c r="L83" i="1" s="1"/>
  <c r="L89" i="1"/>
  <c r="L88" i="1" s="1"/>
  <c r="J88" i="1"/>
  <c r="M24" i="32"/>
  <c r="M32" i="32"/>
  <c r="M16" i="32"/>
  <c r="H54" i="32"/>
  <c r="M28" i="32"/>
  <c r="E118" i="1"/>
  <c r="E121" i="1"/>
  <c r="L105" i="1"/>
  <c r="L104" i="1" s="1"/>
  <c r="J104" i="1"/>
  <c r="L64" i="1"/>
  <c r="L63" i="1" s="1"/>
  <c r="J63" i="1"/>
  <c r="P12" i="1"/>
  <c r="P17" i="1"/>
  <c r="F8" i="2"/>
  <c r="F37" i="2"/>
  <c r="G37" i="2" s="1"/>
  <c r="H37" i="2" s="1"/>
  <c r="H74" i="2"/>
  <c r="H73" i="2" s="1"/>
  <c r="G73" i="2"/>
  <c r="F10" i="2"/>
  <c r="K11" i="20" s="1"/>
  <c r="I51" i="27" s="1"/>
  <c r="H60" i="2"/>
  <c r="H59" i="2" s="1"/>
  <c r="G59" i="2"/>
  <c r="H46" i="2"/>
  <c r="H45" i="2" s="1"/>
  <c r="H49" i="2" s="1"/>
  <c r="G45" i="2"/>
  <c r="G49" i="2" s="1"/>
  <c r="J40" i="33"/>
  <c r="J37" i="1"/>
  <c r="L37" i="1"/>
  <c r="L48" i="1"/>
  <c r="J46" i="1"/>
  <c r="F28" i="33"/>
  <c r="F31" i="33"/>
  <c r="F32" i="33"/>
  <c r="F29" i="33"/>
  <c r="G20" i="33"/>
  <c r="F30" i="33"/>
  <c r="F33" i="33"/>
  <c r="L41" i="33" s="1"/>
  <c r="U21" i="22"/>
  <c r="U22" i="22" s="1"/>
  <c r="L107" i="1"/>
  <c r="K47" i="27"/>
  <c r="U44" i="27"/>
  <c r="H51" i="34" s="1"/>
  <c r="U11" i="27"/>
  <c r="H2" i="34" s="1"/>
  <c r="H26" i="34" s="1"/>
  <c r="U15" i="27"/>
  <c r="X63" i="29"/>
  <c r="X65" i="29" s="1"/>
  <c r="V65" i="29"/>
  <c r="T21" i="22"/>
  <c r="T22" i="22" s="1"/>
  <c r="M17" i="2"/>
  <c r="H35" i="2"/>
  <c r="G35" i="2"/>
  <c r="S21" i="22"/>
  <c r="S22" i="22" s="1"/>
  <c r="R21" i="22"/>
  <c r="R22" i="22" s="1"/>
  <c r="V21" i="22"/>
  <c r="V22" i="22" s="1"/>
  <c r="H68" i="2"/>
  <c r="H66" i="2" s="1"/>
  <c r="G66" i="2"/>
  <c r="Z47" i="29"/>
  <c r="Y62" i="29"/>
  <c r="T56" i="29"/>
  <c r="L21" i="22"/>
  <c r="L22" i="22" s="1"/>
  <c r="N21" i="22"/>
  <c r="N22" i="22" s="1"/>
  <c r="R17" i="1"/>
  <c r="R12" i="1"/>
  <c r="R62" i="29"/>
  <c r="R65" i="29" s="1"/>
  <c r="P65" i="29"/>
  <c r="H54" i="2"/>
  <c r="H52" i="2" s="1"/>
  <c r="G52" i="2"/>
  <c r="I39" i="33"/>
  <c r="O21" i="22"/>
  <c r="O22" i="22" s="1"/>
  <c r="P21" i="22"/>
  <c r="P22" i="22" s="1"/>
  <c r="O9" i="28"/>
  <c r="AN27" i="35" s="1"/>
  <c r="AN41" i="35" s="1"/>
  <c r="AN61" i="35" s="1"/>
  <c r="U11" i="20"/>
  <c r="F100" i="29"/>
  <c r="H82" i="2"/>
  <c r="H80" i="2" s="1"/>
  <c r="H84" i="2" s="1"/>
  <c r="G80" i="2"/>
  <c r="G84" i="2" s="1"/>
  <c r="Z12" i="29"/>
  <c r="AE12" i="29" s="1"/>
  <c r="T14" i="29"/>
  <c r="H62" i="2"/>
  <c r="H63" i="2" s="1"/>
  <c r="G63" i="2"/>
  <c r="K28" i="28"/>
  <c r="AJ48" i="35" s="1"/>
  <c r="M21" i="22"/>
  <c r="M22" i="22" s="1"/>
  <c r="K21" i="22"/>
  <c r="K22" i="22" s="1"/>
  <c r="S28" i="30"/>
  <c r="T28" i="30" s="1"/>
  <c r="AA19" i="29"/>
  <c r="AF13" i="29"/>
  <c r="L113" i="1"/>
  <c r="J112" i="1"/>
  <c r="P103" i="29"/>
  <c r="Q13" i="30"/>
  <c r="Q21" i="22"/>
  <c r="Q22" i="22" s="1"/>
  <c r="AF19" i="29"/>
  <c r="K54" i="32"/>
  <c r="P32" i="32"/>
  <c r="P28" i="32"/>
  <c r="P24" i="32"/>
  <c r="P16" i="32"/>
  <c r="AE63" i="29"/>
  <c r="T63" i="29"/>
  <c r="AF50" i="29"/>
  <c r="K59" i="27"/>
  <c r="AO17" i="35" s="1"/>
  <c r="K50" i="27"/>
  <c r="K40" i="32" s="1"/>
  <c r="G19" i="33" l="1"/>
  <c r="S36" i="30"/>
  <c r="T36" i="30" s="1"/>
  <c r="H47" i="32"/>
  <c r="H51" i="27"/>
  <c r="C121" i="29"/>
  <c r="AJ13" i="29"/>
  <c r="AK13" i="29" s="1"/>
  <c r="G34" i="30"/>
  <c r="H34" i="30" s="1"/>
  <c r="I34" i="30" s="1"/>
  <c r="J34" i="30" s="1"/>
  <c r="K34" i="30" s="1"/>
  <c r="L34" i="30" s="1"/>
  <c r="M34" i="30" s="1"/>
  <c r="N34" i="30" s="1"/>
  <c r="O34" i="30" s="1"/>
  <c r="P34" i="30" s="1"/>
  <c r="Q34" i="30" s="1"/>
  <c r="R34" i="30" s="1"/>
  <c r="AT25" i="30"/>
  <c r="AW25" i="30" s="1"/>
  <c r="AR25" i="30"/>
  <c r="AU25" i="30" s="1"/>
  <c r="AV26" i="30"/>
  <c r="AD26" i="30"/>
  <c r="AU26" i="30" s="1"/>
  <c r="F97" i="29"/>
  <c r="F95" i="29"/>
  <c r="F96" i="29" s="1"/>
  <c r="H95" i="29"/>
  <c r="H96" i="29" s="1"/>
  <c r="D96" i="29"/>
  <c r="K18" i="22"/>
  <c r="K19" i="22" s="1"/>
  <c r="S27" i="30"/>
  <c r="T27" i="30" s="1"/>
  <c r="I123" i="1"/>
  <c r="I122" i="1"/>
  <c r="H62" i="35"/>
  <c r="O37" i="30"/>
  <c r="Q37" i="30"/>
  <c r="H37" i="30"/>
  <c r="N37" i="30"/>
  <c r="K37" i="30"/>
  <c r="G37" i="30"/>
  <c r="P37" i="30"/>
  <c r="R37" i="30"/>
  <c r="J37" i="30"/>
  <c r="M37" i="30"/>
  <c r="L37" i="30"/>
  <c r="I47" i="32"/>
  <c r="I53" i="27" s="1"/>
  <c r="X27" i="35"/>
  <c r="X52" i="35"/>
  <c r="AM6" i="35"/>
  <c r="AX7" i="35" s="1"/>
  <c r="F70" i="35"/>
  <c r="G15" i="27"/>
  <c r="H74" i="35"/>
  <c r="AO8" i="35"/>
  <c r="G11" i="2"/>
  <c r="M15" i="20" s="1"/>
  <c r="F31" i="1"/>
  <c r="F44" i="1" s="1"/>
  <c r="I17" i="20" s="1"/>
  <c r="H91" i="32" s="1"/>
  <c r="V47" i="35" s="1"/>
  <c r="G66" i="35"/>
  <c r="Q21" i="27"/>
  <c r="P2" i="22"/>
  <c r="L21" i="30"/>
  <c r="L46" i="30" s="1"/>
  <c r="L95" i="30"/>
  <c r="J43" i="32"/>
  <c r="J45" i="32"/>
  <c r="L21" i="28"/>
  <c r="V4" i="29" s="1"/>
  <c r="P102" i="29" s="1"/>
  <c r="AK27" i="35"/>
  <c r="AK41" i="35" s="1"/>
  <c r="AK61" i="35" s="1"/>
  <c r="I36" i="27"/>
  <c r="W69" i="35" s="1"/>
  <c r="H47" i="30"/>
  <c r="H53" i="30" s="1"/>
  <c r="L47" i="30"/>
  <c r="L53" i="30" s="1"/>
  <c r="R47" i="30"/>
  <c r="R53" i="30" s="1"/>
  <c r="Q47" i="30"/>
  <c r="Q53" i="30" s="1"/>
  <c r="N47" i="30"/>
  <c r="N53" i="30" s="1"/>
  <c r="G47" i="30"/>
  <c r="G53" i="30" s="1"/>
  <c r="Y34" i="29"/>
  <c r="AF24" i="29"/>
  <c r="AJ24" i="29" s="1"/>
  <c r="O21" i="28"/>
  <c r="AH4" i="29" s="1"/>
  <c r="P50" i="28"/>
  <c r="AO72" i="35" s="1"/>
  <c r="P4" i="29"/>
  <c r="AJ21" i="29"/>
  <c r="AK21" i="29" s="1"/>
  <c r="AM21" i="29" s="1"/>
  <c r="AJ19" i="29"/>
  <c r="AK19" i="29" s="1"/>
  <c r="AM19" i="29" s="1"/>
  <c r="AJ18" i="29"/>
  <c r="AK18" i="29" s="1"/>
  <c r="AM18" i="29" s="1"/>
  <c r="Z40" i="29"/>
  <c r="T60" i="29" s="1"/>
  <c r="H73" i="32"/>
  <c r="H71" i="32" s="1"/>
  <c r="V40" i="35" s="1"/>
  <c r="AJ10" i="29"/>
  <c r="AK10" i="29" s="1"/>
  <c r="H2" i="33"/>
  <c r="H19" i="33" s="1"/>
  <c r="M9" i="30"/>
  <c r="N9" i="30" s="1"/>
  <c r="AL8" i="29"/>
  <c r="I120" i="1"/>
  <c r="K18" i="20"/>
  <c r="J62" i="35" s="1"/>
  <c r="O29" i="30"/>
  <c r="S23" i="22" s="1"/>
  <c r="S24" i="22" s="1"/>
  <c r="P29" i="30"/>
  <c r="T23" i="22" s="1"/>
  <c r="T24" i="22" s="1"/>
  <c r="I29" i="30"/>
  <c r="M23" i="22" s="1"/>
  <c r="M24" i="22" s="1"/>
  <c r="J29" i="30"/>
  <c r="N23" i="22" s="1"/>
  <c r="N24" i="22" s="1"/>
  <c r="R29" i="30"/>
  <c r="V23" i="22" s="1"/>
  <c r="V24" i="22" s="1"/>
  <c r="N29" i="30"/>
  <c r="R23" i="22" s="1"/>
  <c r="R24" i="22" s="1"/>
  <c r="K29" i="30"/>
  <c r="O23" i="22" s="1"/>
  <c r="O24" i="22" s="1"/>
  <c r="L29" i="30"/>
  <c r="P23" i="22" s="1"/>
  <c r="P24" i="22" s="1"/>
  <c r="H29" i="30"/>
  <c r="L23" i="22" s="1"/>
  <c r="L24" i="22" s="1"/>
  <c r="G29" i="30"/>
  <c r="K23" i="22" s="1"/>
  <c r="K24" i="22" s="1"/>
  <c r="M29" i="30"/>
  <c r="Q23" i="22" s="1"/>
  <c r="Q24" i="22" s="1"/>
  <c r="H11" i="2"/>
  <c r="O15" i="20" s="1"/>
  <c r="H10" i="2"/>
  <c r="O11" i="20" s="1"/>
  <c r="K47" i="32" s="1"/>
  <c r="E11" i="2"/>
  <c r="I15" i="20" s="1"/>
  <c r="U22" i="30" s="1"/>
  <c r="H25" i="32"/>
  <c r="K93" i="32"/>
  <c r="K94" i="32" s="1"/>
  <c r="K91" i="32" s="1"/>
  <c r="Y47" i="35" s="1"/>
  <c r="H30" i="32"/>
  <c r="V13" i="35" s="1"/>
  <c r="J45" i="1"/>
  <c r="L11" i="1"/>
  <c r="R44" i="27"/>
  <c r="E51" i="34" s="1"/>
  <c r="F122" i="29"/>
  <c r="H47" i="27"/>
  <c r="T43" i="29"/>
  <c r="I119" i="1"/>
  <c r="AK23" i="29"/>
  <c r="AM23" i="29" s="1"/>
  <c r="I35" i="30"/>
  <c r="P35" i="30"/>
  <c r="R35" i="30"/>
  <c r="O35" i="30"/>
  <c r="Q35" i="30"/>
  <c r="L35" i="30"/>
  <c r="K35" i="30"/>
  <c r="G35" i="30"/>
  <c r="J35" i="30"/>
  <c r="N35" i="30"/>
  <c r="M35" i="30"/>
  <c r="H35" i="30"/>
  <c r="N60" i="29"/>
  <c r="N65" i="29" s="1"/>
  <c r="AK26" i="29"/>
  <c r="AM26" i="29" s="1"/>
  <c r="P47" i="30"/>
  <c r="P53" i="30" s="1"/>
  <c r="J47" i="30"/>
  <c r="J53" i="30" s="1"/>
  <c r="O47" i="30"/>
  <c r="O53" i="30" s="1"/>
  <c r="K47" i="30"/>
  <c r="K53" i="30" s="1"/>
  <c r="M47" i="30"/>
  <c r="M53" i="30" s="1"/>
  <c r="AE35" i="29"/>
  <c r="K30" i="27"/>
  <c r="Y65" i="35" s="1"/>
  <c r="W10" i="35"/>
  <c r="E130" i="29"/>
  <c r="E123" i="29"/>
  <c r="C105" i="29"/>
  <c r="J19" i="32"/>
  <c r="X10" i="35" s="1"/>
  <c r="B28" i="30"/>
  <c r="H18" i="22"/>
  <c r="Y65" i="29"/>
  <c r="M37" i="29"/>
  <c r="AL20" i="29"/>
  <c r="AK20" i="29"/>
  <c r="AM20" i="29" s="1"/>
  <c r="AK24" i="29"/>
  <c r="AM24" i="29" s="1"/>
  <c r="AE34" i="29"/>
  <c r="O24" i="32"/>
  <c r="D27" i="22"/>
  <c r="I27" i="32" s="1"/>
  <c r="J77" i="32"/>
  <c r="J76" i="32" s="1"/>
  <c r="X43" i="35" s="1"/>
  <c r="I20" i="27"/>
  <c r="W59" i="35" s="1"/>
  <c r="E61" i="26"/>
  <c r="E50" i="26" s="1"/>
  <c r="I88" i="32"/>
  <c r="H88" i="32"/>
  <c r="G30" i="30" s="1"/>
  <c r="H30" i="30" s="1"/>
  <c r="P104" i="29"/>
  <c r="R104" i="29"/>
  <c r="AK11" i="29"/>
  <c r="AL11" i="29"/>
  <c r="AE7" i="29"/>
  <c r="H68" i="32"/>
  <c r="Y14" i="29"/>
  <c r="K20" i="27"/>
  <c r="Y59" i="35" s="1"/>
  <c r="J20" i="27"/>
  <c r="X59" i="35" s="1"/>
  <c r="F61" i="26"/>
  <c r="F50" i="26" s="1"/>
  <c r="F39" i="35" s="1"/>
  <c r="H20" i="27"/>
  <c r="V59" i="35" s="1"/>
  <c r="I11" i="1"/>
  <c r="M104" i="29"/>
  <c r="I14" i="20"/>
  <c r="H55" i="35"/>
  <c r="K14" i="20"/>
  <c r="J55" i="35"/>
  <c r="N16" i="20"/>
  <c r="K60" i="35"/>
  <c r="G8" i="2"/>
  <c r="Q17" i="1"/>
  <c r="Q12" i="1"/>
  <c r="H60" i="26"/>
  <c r="H47" i="35" s="1"/>
  <c r="H26" i="20"/>
  <c r="G70" i="35" s="1"/>
  <c r="G31" i="20"/>
  <c r="I88" i="1"/>
  <c r="K55" i="27"/>
  <c r="AO13" i="35" s="1"/>
  <c r="K52" i="27"/>
  <c r="AO10" i="35" s="1"/>
  <c r="L32" i="1"/>
  <c r="L31" i="1" s="1"/>
  <c r="AF7" i="29"/>
  <c r="AJ7" i="29" s="1"/>
  <c r="AG7" i="29"/>
  <c r="AG14" i="29" s="1"/>
  <c r="Q18" i="28"/>
  <c r="S13" i="27"/>
  <c r="F3" i="34" s="1"/>
  <c r="I58" i="27"/>
  <c r="I54" i="27"/>
  <c r="I99" i="1"/>
  <c r="I63" i="1"/>
  <c r="I117" i="1"/>
  <c r="K57" i="27"/>
  <c r="AO15" i="35" s="1"/>
  <c r="J82" i="32"/>
  <c r="O16" i="32"/>
  <c r="J54" i="32"/>
  <c r="O32" i="32"/>
  <c r="O28" i="32"/>
  <c r="I79" i="1"/>
  <c r="I69" i="1"/>
  <c r="I83" i="1"/>
  <c r="I121" i="1"/>
  <c r="I86" i="1"/>
  <c r="I116" i="1"/>
  <c r="I74" i="1"/>
  <c r="I104" i="1"/>
  <c r="I46" i="1"/>
  <c r="AF17" i="29"/>
  <c r="AG17" i="29"/>
  <c r="Q25" i="28" s="1"/>
  <c r="AP45" i="35" s="1"/>
  <c r="I107" i="1"/>
  <c r="I112" i="1"/>
  <c r="I87" i="1"/>
  <c r="I52" i="1"/>
  <c r="AF44" i="29"/>
  <c r="AE61" i="29"/>
  <c r="T61" i="29"/>
  <c r="G61" i="26"/>
  <c r="G50" i="26" s="1"/>
  <c r="G39" i="35" s="1"/>
  <c r="U16" i="29"/>
  <c r="S28" i="29"/>
  <c r="I118" i="1"/>
  <c r="I94" i="1"/>
  <c r="O28" i="29"/>
  <c r="H24" i="28"/>
  <c r="AG44" i="35" s="1"/>
  <c r="AG59" i="35" s="1"/>
  <c r="AL18" i="29"/>
  <c r="AL10" i="29"/>
  <c r="S33" i="29"/>
  <c r="S37" i="29" s="1"/>
  <c r="Z16" i="29"/>
  <c r="T28" i="29"/>
  <c r="H29" i="32"/>
  <c r="C115" i="29"/>
  <c r="I17" i="32"/>
  <c r="D102" i="29"/>
  <c r="D61" i="26"/>
  <c r="D50" i="26" s="1"/>
  <c r="O30" i="20"/>
  <c r="N74" i="35" s="1"/>
  <c r="J62" i="32"/>
  <c r="X34" i="35" s="1"/>
  <c r="I31" i="1"/>
  <c r="J32" i="1"/>
  <c r="H124" i="1"/>
  <c r="I11" i="27"/>
  <c r="K17" i="2"/>
  <c r="F44" i="2"/>
  <c r="G44" i="2" s="1"/>
  <c r="H44" i="2" s="1"/>
  <c r="K40" i="33"/>
  <c r="S13" i="30"/>
  <c r="T13" i="30" s="1"/>
  <c r="AL13" i="29"/>
  <c r="AL50" i="29"/>
  <c r="AF63" i="29" s="1"/>
  <c r="Z63" i="29"/>
  <c r="AK63" i="29"/>
  <c r="N31" i="29"/>
  <c r="N37" i="29" s="1"/>
  <c r="G10" i="2"/>
  <c r="M11" i="20" s="1"/>
  <c r="J51" i="27" s="1"/>
  <c r="L112" i="1"/>
  <c r="H97" i="29" s="1"/>
  <c r="R103" i="29"/>
  <c r="N28" i="28"/>
  <c r="AM48" i="35" s="1"/>
  <c r="AF12" i="29"/>
  <c r="AK12" i="29" s="1"/>
  <c r="Z14" i="29"/>
  <c r="AE14" i="29" s="1"/>
  <c r="AG19" i="29"/>
  <c r="R13" i="27"/>
  <c r="E3" i="34" s="1"/>
  <c r="H54" i="27"/>
  <c r="H58" i="27"/>
  <c r="H20" i="33"/>
  <c r="G28" i="33"/>
  <c r="G32" i="33"/>
  <c r="G29" i="33"/>
  <c r="G31" i="33"/>
  <c r="G33" i="33"/>
  <c r="M41" i="33" s="1"/>
  <c r="G30" i="33"/>
  <c r="L46" i="1"/>
  <c r="J39" i="33"/>
  <c r="AF47" i="29"/>
  <c r="AE62" i="29"/>
  <c r="T62" i="29"/>
  <c r="Z56" i="29"/>
  <c r="F12" i="2"/>
  <c r="I49" i="27"/>
  <c r="G3" i="33"/>
  <c r="F18" i="33"/>
  <c r="E12" i="2" l="1"/>
  <c r="E14" i="2" s="1"/>
  <c r="J49" i="27"/>
  <c r="J11" i="30"/>
  <c r="I21" i="20"/>
  <c r="C66" i="26"/>
  <c r="AL21" i="29"/>
  <c r="AL24" i="29"/>
  <c r="AK34" i="29" s="1"/>
  <c r="AB4" i="29"/>
  <c r="C113" i="29"/>
  <c r="H32" i="30"/>
  <c r="I32" i="30" s="1"/>
  <c r="J32" i="30" s="1"/>
  <c r="K32" i="30" s="1"/>
  <c r="L32" i="30" s="1"/>
  <c r="M32" i="30" s="1"/>
  <c r="N32" i="30" s="1"/>
  <c r="O32" i="30" s="1"/>
  <c r="P32" i="30" s="1"/>
  <c r="Q32" i="30" s="1"/>
  <c r="R32" i="30" s="1"/>
  <c r="K120" i="1"/>
  <c r="K122" i="1"/>
  <c r="K123" i="1"/>
  <c r="H34" i="33"/>
  <c r="W21" i="35"/>
  <c r="S37" i="30"/>
  <c r="T37" i="30" s="1"/>
  <c r="J47" i="32"/>
  <c r="J53" i="27" s="1"/>
  <c r="I73" i="32"/>
  <c r="I71" i="32" s="1"/>
  <c r="W40" i="35" s="1"/>
  <c r="AW26" i="30"/>
  <c r="G31" i="30" s="1"/>
  <c r="H31" i="30" s="1"/>
  <c r="I31" i="30" s="1"/>
  <c r="J31" i="30" s="1"/>
  <c r="K31" i="30" s="1"/>
  <c r="L31" i="30" s="1"/>
  <c r="M31" i="30" s="1"/>
  <c r="N31" i="30" s="1"/>
  <c r="O31" i="30" s="1"/>
  <c r="P31" i="30" s="1"/>
  <c r="Q31" i="30" s="1"/>
  <c r="R31" i="30" s="1"/>
  <c r="D28" i="34"/>
  <c r="Q22" i="27"/>
  <c r="Q32" i="27"/>
  <c r="AU14" i="35" s="1"/>
  <c r="Q31" i="27"/>
  <c r="AU13" i="35" s="1"/>
  <c r="V21" i="35"/>
  <c r="H53" i="27"/>
  <c r="J21" i="20"/>
  <c r="V57" i="29"/>
  <c r="V39" i="29"/>
  <c r="Q2" i="22"/>
  <c r="K82" i="32"/>
  <c r="K43" i="32"/>
  <c r="H42" i="32"/>
  <c r="AI9" i="35"/>
  <c r="H96" i="32"/>
  <c r="V48" i="35" s="1"/>
  <c r="AI16" i="35"/>
  <c r="I96" i="32"/>
  <c r="W48" i="35" s="1"/>
  <c r="AK16" i="35"/>
  <c r="I42" i="32"/>
  <c r="W18" i="35" s="1"/>
  <c r="AK9" i="35"/>
  <c r="I44" i="32"/>
  <c r="W19" i="35" s="1"/>
  <c r="AK12" i="35"/>
  <c r="K45" i="32"/>
  <c r="H44" i="32"/>
  <c r="V19" i="35" s="1"/>
  <c r="AI12" i="35"/>
  <c r="H22" i="32"/>
  <c r="AF40" i="29"/>
  <c r="AL40" i="29" s="1"/>
  <c r="AL43" i="29" s="1"/>
  <c r="Z43" i="29"/>
  <c r="AL19" i="29"/>
  <c r="P57" i="29"/>
  <c r="N102" i="29"/>
  <c r="P39" i="29"/>
  <c r="H39" i="28"/>
  <c r="AJ17" i="29"/>
  <c r="AK17" i="29" s="1"/>
  <c r="AM17" i="29" s="1"/>
  <c r="AJ14" i="29"/>
  <c r="AK31" i="29" s="1"/>
  <c r="M21" i="30"/>
  <c r="M46" i="30" s="1"/>
  <c r="M95" i="30"/>
  <c r="I2" i="33"/>
  <c r="I19" i="33" s="1"/>
  <c r="L45" i="1"/>
  <c r="S29" i="30"/>
  <c r="T29" i="30" s="1"/>
  <c r="L44" i="1"/>
  <c r="H61" i="35"/>
  <c r="C118" i="29"/>
  <c r="I33" i="32"/>
  <c r="K119" i="1"/>
  <c r="S35" i="30"/>
  <c r="T35" i="30" s="1"/>
  <c r="AL26" i="29"/>
  <c r="AK35" i="29" s="1"/>
  <c r="S47" i="30"/>
  <c r="T47" i="30" s="1"/>
  <c r="G31" i="1"/>
  <c r="D39" i="35"/>
  <c r="E48" i="35"/>
  <c r="E39" i="35"/>
  <c r="D115" i="29"/>
  <c r="K19" i="32"/>
  <c r="E107" i="29"/>
  <c r="H21" i="22"/>
  <c r="B29" i="30"/>
  <c r="AE65" i="29"/>
  <c r="AE16" i="29"/>
  <c r="AF16" i="29"/>
  <c r="AJ16" i="29" s="1"/>
  <c r="J88" i="32"/>
  <c r="G11" i="1"/>
  <c r="F124" i="1"/>
  <c r="L24" i="20"/>
  <c r="K68" i="35" s="1"/>
  <c r="L23" i="20"/>
  <c r="K67" i="35" s="1"/>
  <c r="L30" i="20"/>
  <c r="K75" i="35" s="1"/>
  <c r="L29" i="20"/>
  <c r="K74" i="35" s="1"/>
  <c r="J29" i="20"/>
  <c r="I74" i="35" s="1"/>
  <c r="J24" i="20"/>
  <c r="I68" i="35" s="1"/>
  <c r="J23" i="20"/>
  <c r="I67" i="35" s="1"/>
  <c r="J30" i="20"/>
  <c r="I75" i="35" s="1"/>
  <c r="F48" i="35"/>
  <c r="J58" i="35"/>
  <c r="L18" i="20"/>
  <c r="K62" i="35" s="1"/>
  <c r="H58" i="35"/>
  <c r="K16" i="20"/>
  <c r="J60" i="35" s="1"/>
  <c r="AK7" i="29"/>
  <c r="V37" i="35"/>
  <c r="H67" i="32"/>
  <c r="D48" i="35"/>
  <c r="M18" i="30"/>
  <c r="O104" i="29"/>
  <c r="N55" i="35"/>
  <c r="K88" i="32"/>
  <c r="J59" i="35"/>
  <c r="M14" i="20"/>
  <c r="L55" i="35"/>
  <c r="S14" i="27"/>
  <c r="R14" i="27"/>
  <c r="L59" i="35"/>
  <c r="L17" i="20"/>
  <c r="K61" i="35" s="1"/>
  <c r="J61" i="35"/>
  <c r="H31" i="20"/>
  <c r="Q24" i="27" s="1"/>
  <c r="D29" i="34" s="1"/>
  <c r="F75" i="35"/>
  <c r="P16" i="20"/>
  <c r="O60" i="35" s="1"/>
  <c r="M60" i="35"/>
  <c r="G48" i="35"/>
  <c r="L17" i="2"/>
  <c r="J11" i="27"/>
  <c r="G60" i="32"/>
  <c r="Q23" i="27"/>
  <c r="K51" i="27"/>
  <c r="AO9" i="35" s="1"/>
  <c r="O14" i="20"/>
  <c r="U40" i="27"/>
  <c r="U41" i="27" s="1"/>
  <c r="H12" i="2"/>
  <c r="AL7" i="29"/>
  <c r="L15" i="20"/>
  <c r="T65" i="29"/>
  <c r="K24" i="28"/>
  <c r="AJ44" i="35" s="1"/>
  <c r="AJ59" i="35" s="1"/>
  <c r="U28" i="29"/>
  <c r="AA16" i="29"/>
  <c r="Y28" i="29"/>
  <c r="Y33" i="29"/>
  <c r="Y37" i="29" s="1"/>
  <c r="Z28" i="29"/>
  <c r="AK61" i="29"/>
  <c r="AL44" i="29"/>
  <c r="AF61" i="29" s="1"/>
  <c r="Z61" i="29"/>
  <c r="G12" i="2"/>
  <c r="K49" i="27"/>
  <c r="H26" i="32"/>
  <c r="I14" i="32"/>
  <c r="H61" i="26"/>
  <c r="H48" i="35" s="1"/>
  <c r="D105" i="29"/>
  <c r="C123" i="29"/>
  <c r="C130" i="29"/>
  <c r="C117" i="29"/>
  <c r="T40" i="27"/>
  <c r="T41" i="27" s="1"/>
  <c r="J31" i="1"/>
  <c r="J44" i="1" s="1"/>
  <c r="M17" i="20" s="1"/>
  <c r="S44" i="27"/>
  <c r="F51" i="34" s="1"/>
  <c r="I47" i="27"/>
  <c r="S11" i="27"/>
  <c r="F2" i="34" s="1"/>
  <c r="F26" i="34" s="1"/>
  <c r="N16" i="32"/>
  <c r="N24" i="32"/>
  <c r="N32" i="32"/>
  <c r="N28" i="32"/>
  <c r="I54" i="32"/>
  <c r="F51" i="2"/>
  <c r="L40" i="33"/>
  <c r="I68" i="32"/>
  <c r="T31" i="29"/>
  <c r="U13" i="27"/>
  <c r="H3" i="34" s="1"/>
  <c r="N21" i="30"/>
  <c r="N46" i="30" s="1"/>
  <c r="O9" i="30"/>
  <c r="N95" i="30"/>
  <c r="J2" i="33"/>
  <c r="R2" i="22"/>
  <c r="M18" i="20"/>
  <c r="L62" i="35" s="1"/>
  <c r="K99" i="1"/>
  <c r="K46" i="1"/>
  <c r="K117" i="1"/>
  <c r="K88" i="1"/>
  <c r="K104" i="1"/>
  <c r="K94" i="1"/>
  <c r="K107" i="1"/>
  <c r="K63" i="1"/>
  <c r="K74" i="1"/>
  <c r="K116" i="1"/>
  <c r="K86" i="1"/>
  <c r="K121" i="1"/>
  <c r="K112" i="1"/>
  <c r="K52" i="1"/>
  <c r="K79" i="1"/>
  <c r="K87" i="1"/>
  <c r="K118" i="1"/>
  <c r="K69" i="1"/>
  <c r="K83" i="1"/>
  <c r="AL12" i="29"/>
  <c r="AF14" i="29"/>
  <c r="H32" i="33"/>
  <c r="H28" i="33"/>
  <c r="I20" i="33"/>
  <c r="H29" i="33"/>
  <c r="H31" i="33"/>
  <c r="H30" i="33"/>
  <c r="H33" i="33"/>
  <c r="N41" i="33" s="1"/>
  <c r="J18" i="20"/>
  <c r="I62" i="35" s="1"/>
  <c r="I16" i="20"/>
  <c r="J17" i="20"/>
  <c r="I61" i="35" s="1"/>
  <c r="K58" i="27"/>
  <c r="AO16" i="35" s="1"/>
  <c r="Q28" i="28"/>
  <c r="AP48" i="35" s="1"/>
  <c r="K54" i="27"/>
  <c r="AO12" i="35" s="1"/>
  <c r="AH39" i="29"/>
  <c r="AH57" i="29"/>
  <c r="T13" i="27"/>
  <c r="G3" i="34" s="1"/>
  <c r="AM9" i="35"/>
  <c r="J58" i="27"/>
  <c r="AM16" i="35" s="1"/>
  <c r="J54" i="27"/>
  <c r="AM12" i="35" s="1"/>
  <c r="K39" i="33"/>
  <c r="AK62" i="29"/>
  <c r="Z62" i="29"/>
  <c r="AL47" i="29"/>
  <c r="AF56" i="29"/>
  <c r="AB39" i="29"/>
  <c r="AB57" i="29"/>
  <c r="R102" i="29"/>
  <c r="G9" i="33"/>
  <c r="G18" i="33" s="1"/>
  <c r="H3" i="33"/>
  <c r="U38" i="30" l="1"/>
  <c r="H50" i="28"/>
  <c r="V18" i="35"/>
  <c r="C4" i="33"/>
  <c r="K11" i="30"/>
  <c r="C125" i="29"/>
  <c r="M79" i="1"/>
  <c r="M122" i="1"/>
  <c r="M123" i="1"/>
  <c r="X21" i="35"/>
  <c r="R80" i="27"/>
  <c r="R86" i="27" s="1"/>
  <c r="N59" i="35"/>
  <c r="H49" i="27"/>
  <c r="J39" i="32" s="1"/>
  <c r="X16" i="35" s="1"/>
  <c r="Q33" i="27"/>
  <c r="AU15" i="35" s="1"/>
  <c r="H60" i="35"/>
  <c r="U25" i="30"/>
  <c r="I25" i="30" s="1"/>
  <c r="M14" i="22" s="1"/>
  <c r="M15" i="22" s="1"/>
  <c r="V36" i="35"/>
  <c r="Y21" i="35"/>
  <c r="K53" i="27"/>
  <c r="I25" i="32"/>
  <c r="J15" i="20"/>
  <c r="K59" i="35"/>
  <c r="AF60" i="29"/>
  <c r="J73" i="32"/>
  <c r="J71" i="32" s="1"/>
  <c r="X40" i="35" s="1"/>
  <c r="H41" i="32"/>
  <c r="V17" i="35" s="1"/>
  <c r="AI11" i="35"/>
  <c r="O17" i="20"/>
  <c r="N61" i="35" s="1"/>
  <c r="Z60" i="29"/>
  <c r="Z65" i="29" s="1"/>
  <c r="AK11" i="35"/>
  <c r="I41" i="32"/>
  <c r="W17" i="35" s="1"/>
  <c r="C110" i="29"/>
  <c r="V11" i="35"/>
  <c r="J96" i="32"/>
  <c r="X48" i="35" s="1"/>
  <c r="K96" i="32"/>
  <c r="Y48" i="35" s="1"/>
  <c r="K42" i="32"/>
  <c r="Y18" i="35" s="1"/>
  <c r="J44" i="32"/>
  <c r="X19" i="35" s="1"/>
  <c r="AF43" i="29"/>
  <c r="AK14" i="29"/>
  <c r="K39" i="28"/>
  <c r="K50" i="28" s="1"/>
  <c r="AL17" i="29"/>
  <c r="I34" i="33"/>
  <c r="M31" i="1"/>
  <c r="M11" i="1"/>
  <c r="M120" i="1"/>
  <c r="M119" i="1"/>
  <c r="H59" i="35"/>
  <c r="D121" i="29"/>
  <c r="I30" i="32"/>
  <c r="U32" i="35"/>
  <c r="H58" i="32"/>
  <c r="V30" i="35" s="1"/>
  <c r="D123" i="29"/>
  <c r="D130" i="29"/>
  <c r="Y10" i="35"/>
  <c r="F107" i="29"/>
  <c r="B30" i="30"/>
  <c r="B31" i="30" s="1"/>
  <c r="B32" i="30" s="1"/>
  <c r="B33" i="30" s="1"/>
  <c r="B34" i="30" s="1"/>
  <c r="B35" i="30" s="1"/>
  <c r="B36" i="30" s="1"/>
  <c r="B37" i="30" s="1"/>
  <c r="B38" i="30" s="1"/>
  <c r="H23" i="22"/>
  <c r="AK16" i="29"/>
  <c r="AM16" i="29" s="1"/>
  <c r="I56" i="27"/>
  <c r="M117" i="1"/>
  <c r="M87" i="1"/>
  <c r="O18" i="20"/>
  <c r="N62" i="35" s="1"/>
  <c r="AL16" i="29"/>
  <c r="AJ28" i="29"/>
  <c r="P30" i="20"/>
  <c r="O75" i="35" s="1"/>
  <c r="P29" i="20"/>
  <c r="O74" i="35" s="1"/>
  <c r="P24" i="20"/>
  <c r="O68" i="35" s="1"/>
  <c r="P23" i="20"/>
  <c r="O67" i="35" s="1"/>
  <c r="N24" i="20"/>
  <c r="M68" i="35" s="1"/>
  <c r="N30" i="20"/>
  <c r="M75" i="35" s="1"/>
  <c r="N29" i="20"/>
  <c r="M74" i="35" s="1"/>
  <c r="N23" i="20"/>
  <c r="M67" i="35" s="1"/>
  <c r="N58" i="35"/>
  <c r="H77" i="35"/>
  <c r="J77" i="35"/>
  <c r="L58" i="35"/>
  <c r="S18" i="30"/>
  <c r="K31" i="1"/>
  <c r="Q104" i="29"/>
  <c r="I67" i="32"/>
  <c r="W37" i="35"/>
  <c r="T14" i="27"/>
  <c r="U14" i="27"/>
  <c r="E102" i="29"/>
  <c r="W8" i="35"/>
  <c r="G56" i="32"/>
  <c r="Q76" i="27" s="1"/>
  <c r="Q37" i="27" s="1"/>
  <c r="I29" i="32"/>
  <c r="V12" i="35"/>
  <c r="I65" i="35"/>
  <c r="H65" i="35"/>
  <c r="J47" i="27"/>
  <c r="T44" i="27"/>
  <c r="G51" i="34" s="1"/>
  <c r="T11" i="27"/>
  <c r="G2" i="34" s="1"/>
  <c r="G26" i="34" s="1"/>
  <c r="AL14" i="29"/>
  <c r="AF31" i="29" s="1"/>
  <c r="AF37" i="29" s="1"/>
  <c r="M88" i="1"/>
  <c r="M83" i="1"/>
  <c r="L124" i="1"/>
  <c r="H50" i="26"/>
  <c r="H39" i="35" s="1"/>
  <c r="J50" i="26"/>
  <c r="M46" i="1"/>
  <c r="M86" i="1"/>
  <c r="M99" i="1"/>
  <c r="M107" i="1"/>
  <c r="M63" i="1"/>
  <c r="M104" i="1"/>
  <c r="M69" i="1"/>
  <c r="M121" i="1"/>
  <c r="M52" i="1"/>
  <c r="M94" i="1"/>
  <c r="M118" i="1"/>
  <c r="M74" i="1"/>
  <c r="M116" i="1"/>
  <c r="M112" i="1"/>
  <c r="H56" i="27"/>
  <c r="K44" i="32"/>
  <c r="Y19" i="35" s="1"/>
  <c r="J17" i="32"/>
  <c r="I38" i="30"/>
  <c r="M30" i="22" s="1"/>
  <c r="R38" i="30"/>
  <c r="V30" i="22" s="1"/>
  <c r="M38" i="30"/>
  <c r="Q30" i="22" s="1"/>
  <c r="L38" i="30"/>
  <c r="P30" i="22" s="1"/>
  <c r="G38" i="30"/>
  <c r="K30" i="22" s="1"/>
  <c r="N38" i="30"/>
  <c r="R30" i="22" s="1"/>
  <c r="K38" i="30"/>
  <c r="O30" i="22" s="1"/>
  <c r="Q38" i="30"/>
  <c r="U30" i="22" s="1"/>
  <c r="P38" i="30"/>
  <c r="T30" i="22" s="1"/>
  <c r="J38" i="30"/>
  <c r="N30" i="22" s="1"/>
  <c r="H38" i="30"/>
  <c r="L30" i="22" s="1"/>
  <c r="O38" i="30"/>
  <c r="S30" i="22" s="1"/>
  <c r="N24" i="28"/>
  <c r="AM44" i="35" s="1"/>
  <c r="AM59" i="35" s="1"/>
  <c r="AA28" i="29"/>
  <c r="AG16" i="29"/>
  <c r="AE28" i="29"/>
  <c r="AE33" i="29"/>
  <c r="AE37" i="29" s="1"/>
  <c r="AF28" i="29"/>
  <c r="H18" i="32"/>
  <c r="C114" i="29"/>
  <c r="K11" i="1"/>
  <c r="J124" i="1"/>
  <c r="G51" i="2"/>
  <c r="F58" i="2"/>
  <c r="G58" i="2" s="1"/>
  <c r="H58" i="2" s="1"/>
  <c r="L39" i="33"/>
  <c r="M40" i="33"/>
  <c r="P9" i="30"/>
  <c r="S2" i="22"/>
  <c r="K2" i="33"/>
  <c r="O21" i="30"/>
  <c r="O46" i="30" s="1"/>
  <c r="O95" i="30"/>
  <c r="J42" i="32"/>
  <c r="X18" i="35" s="1"/>
  <c r="P15" i="20"/>
  <c r="O59" i="35" s="1"/>
  <c r="O16" i="20"/>
  <c r="N60" i="35" s="1"/>
  <c r="AF62" i="29"/>
  <c r="AL56" i="29"/>
  <c r="K73" i="32" s="1"/>
  <c r="K71" i="32" s="1"/>
  <c r="Y40" i="35" s="1"/>
  <c r="J68" i="32"/>
  <c r="Z31" i="29"/>
  <c r="Z37" i="29" s="1"/>
  <c r="I28" i="33"/>
  <c r="I31" i="33"/>
  <c r="I32" i="33"/>
  <c r="I30" i="33"/>
  <c r="I33" i="33"/>
  <c r="I29" i="33"/>
  <c r="J20" i="33"/>
  <c r="N15" i="20"/>
  <c r="M59" i="35" s="1"/>
  <c r="M16" i="20"/>
  <c r="N18" i="20"/>
  <c r="M62" i="35" s="1"/>
  <c r="J34" i="33"/>
  <c r="J19" i="33"/>
  <c r="H10" i="33"/>
  <c r="H18" i="33" s="1"/>
  <c r="I3" i="33"/>
  <c r="C6" i="33" l="1"/>
  <c r="D6" i="33"/>
  <c r="C5" i="33"/>
  <c r="C7" i="33"/>
  <c r="D7" i="33" s="1"/>
  <c r="D18" i="33" s="1"/>
  <c r="H11" i="30" s="1"/>
  <c r="E7" i="33"/>
  <c r="E18" i="33" s="1"/>
  <c r="I11" i="30" s="1"/>
  <c r="L11" i="30"/>
  <c r="AO7" i="35"/>
  <c r="AM7" i="35"/>
  <c r="D113" i="29"/>
  <c r="K21" i="20"/>
  <c r="E105" i="29"/>
  <c r="S80" i="27"/>
  <c r="S86" i="27" s="1"/>
  <c r="R75" i="27"/>
  <c r="Q77" i="27"/>
  <c r="Q82" i="27" s="1"/>
  <c r="Q16" i="27" s="1"/>
  <c r="B39" i="30"/>
  <c r="B40" i="30" s="1"/>
  <c r="B41" i="30" s="1"/>
  <c r="B42" i="30" s="1"/>
  <c r="B43" i="30" s="1"/>
  <c r="H30" i="22"/>
  <c r="W36" i="35"/>
  <c r="S79" i="27"/>
  <c r="R81" i="27"/>
  <c r="AF65" i="29"/>
  <c r="AU19" i="35"/>
  <c r="I22" i="32"/>
  <c r="W11" i="35" s="1"/>
  <c r="I59" i="35"/>
  <c r="I60" i="27"/>
  <c r="AK18" i="35" s="1"/>
  <c r="P17" i="20"/>
  <c r="O61" i="35" s="1"/>
  <c r="D117" i="29"/>
  <c r="D125" i="29" s="1"/>
  <c r="L21" i="20"/>
  <c r="K65" i="35" s="1"/>
  <c r="P18" i="20"/>
  <c r="O62" i="35" s="1"/>
  <c r="I81" i="32"/>
  <c r="I80" i="32" s="1"/>
  <c r="W45" i="35" s="1"/>
  <c r="AK14" i="35"/>
  <c r="H81" i="32"/>
  <c r="H80" i="32" s="1"/>
  <c r="AI14" i="35"/>
  <c r="H39" i="32"/>
  <c r="AI7" i="35"/>
  <c r="I25" i="20"/>
  <c r="J25" i="20" s="1"/>
  <c r="I69" i="35" s="1"/>
  <c r="AG72" i="35"/>
  <c r="N39" i="28"/>
  <c r="N50" i="28" s="1"/>
  <c r="AJ72" i="35"/>
  <c r="W13" i="35"/>
  <c r="J33" i="32"/>
  <c r="D118" i="29"/>
  <c r="K77" i="32"/>
  <c r="K76" i="32" s="1"/>
  <c r="Y43" i="35" s="1"/>
  <c r="I26" i="32"/>
  <c r="W12" i="35" s="1"/>
  <c r="U28" i="35"/>
  <c r="N77" i="35"/>
  <c r="L77" i="35"/>
  <c r="G98" i="32"/>
  <c r="Q35" i="27" s="1"/>
  <c r="J67" i="32"/>
  <c r="X37" i="35"/>
  <c r="N17" i="20"/>
  <c r="M61" i="35" s="1"/>
  <c r="L61" i="35"/>
  <c r="B127" i="29"/>
  <c r="J56" i="27"/>
  <c r="AM14" i="35" s="1"/>
  <c r="L60" i="35"/>
  <c r="H13" i="32"/>
  <c r="V7" i="35" s="1"/>
  <c r="V9" i="35"/>
  <c r="O25" i="30"/>
  <c r="S14" i="22" s="1"/>
  <c r="S15" i="22" s="1"/>
  <c r="J14" i="32"/>
  <c r="K17" i="32" s="1"/>
  <c r="R25" i="30"/>
  <c r="V14" i="22" s="1"/>
  <c r="V15" i="22" s="1"/>
  <c r="Q25" i="30"/>
  <c r="U14" i="22" s="1"/>
  <c r="U15" i="22" s="1"/>
  <c r="M25" i="30"/>
  <c r="Q14" i="22" s="1"/>
  <c r="Q15" i="22" s="1"/>
  <c r="N25" i="30"/>
  <c r="R14" i="22" s="1"/>
  <c r="R15" i="22" s="1"/>
  <c r="L25" i="30"/>
  <c r="P14" i="22" s="1"/>
  <c r="P15" i="22" s="1"/>
  <c r="H25" i="30"/>
  <c r="L14" i="22" s="1"/>
  <c r="L15" i="22" s="1"/>
  <c r="G25" i="30"/>
  <c r="J25" i="30"/>
  <c r="N14" i="22" s="1"/>
  <c r="N15" i="22" s="1"/>
  <c r="K25" i="30"/>
  <c r="O14" i="22" s="1"/>
  <c r="O15" i="22" s="1"/>
  <c r="P25" i="30"/>
  <c r="T14" i="22" s="1"/>
  <c r="T15" i="22" s="1"/>
  <c r="K56" i="27"/>
  <c r="AO14" i="35" s="1"/>
  <c r="H60" i="27"/>
  <c r="AI18" i="35" s="1"/>
  <c r="C106" i="29"/>
  <c r="S38" i="30"/>
  <c r="T38" i="30" s="1"/>
  <c r="AK33" i="29"/>
  <c r="AL28" i="29"/>
  <c r="K68" i="32" s="1"/>
  <c r="Q24" i="28"/>
  <c r="AP44" i="35" s="1"/>
  <c r="AP59" i="35" s="1"/>
  <c r="AG28" i="29"/>
  <c r="F65" i="2"/>
  <c r="G65" i="2" s="1"/>
  <c r="H65" i="2" s="1"/>
  <c r="H51" i="2"/>
  <c r="K34" i="33"/>
  <c r="K19" i="33"/>
  <c r="M39" i="33"/>
  <c r="K20" i="33"/>
  <c r="J28" i="33"/>
  <c r="J32" i="33"/>
  <c r="J30" i="33"/>
  <c r="J29" i="33"/>
  <c r="J33" i="33"/>
  <c r="J31" i="33"/>
  <c r="L2" i="33"/>
  <c r="P95" i="30"/>
  <c r="Q9" i="30"/>
  <c r="T2" i="22"/>
  <c r="P21" i="30"/>
  <c r="P46" i="30" s="1"/>
  <c r="N40" i="33"/>
  <c r="J3" i="33"/>
  <c r="I11" i="33"/>
  <c r="I18" i="33" s="1"/>
  <c r="C18" i="33" l="1"/>
  <c r="G11" i="30" s="1"/>
  <c r="S11" i="30" s="1"/>
  <c r="V45" i="35"/>
  <c r="Q4" i="33"/>
  <c r="Q5" i="33" s="1"/>
  <c r="K39" i="32"/>
  <c r="Y16" i="35" s="1"/>
  <c r="J25" i="32"/>
  <c r="D110" i="29"/>
  <c r="S81" i="27"/>
  <c r="T79" i="27"/>
  <c r="T80" i="27"/>
  <c r="T86" i="27" s="1"/>
  <c r="X36" i="35"/>
  <c r="Q38" i="27"/>
  <c r="AU20" i="35" s="1"/>
  <c r="AT20" i="35"/>
  <c r="I39" i="32"/>
  <c r="K19" i="20" s="1"/>
  <c r="J63" i="35" s="1"/>
  <c r="AK7" i="35"/>
  <c r="V16" i="35"/>
  <c r="K81" i="32"/>
  <c r="K80" i="32" s="1"/>
  <c r="Y45" i="35" s="1"/>
  <c r="J81" i="32"/>
  <c r="J80" i="32" s="1"/>
  <c r="X45" i="35" s="1"/>
  <c r="I19" i="20"/>
  <c r="J19" i="20" s="1"/>
  <c r="I63" i="35" s="1"/>
  <c r="H69" i="35"/>
  <c r="Q39" i="28"/>
  <c r="Q50" i="28" s="1"/>
  <c r="K25" i="20"/>
  <c r="E121" i="29"/>
  <c r="J30" i="32"/>
  <c r="J29" i="32"/>
  <c r="D114" i="29"/>
  <c r="J65" i="35"/>
  <c r="I18" i="32"/>
  <c r="W9" i="35" s="1"/>
  <c r="D4" i="34"/>
  <c r="E113" i="29"/>
  <c r="Q25" i="27"/>
  <c r="D30" i="34" s="1"/>
  <c r="Q45" i="27"/>
  <c r="Q49" i="27" s="1"/>
  <c r="R50" i="27" s="1"/>
  <c r="U49" i="35"/>
  <c r="K67" i="32"/>
  <c r="Y37" i="35"/>
  <c r="F102" i="29"/>
  <c r="X8" i="35"/>
  <c r="D5" i="34"/>
  <c r="S25" i="30"/>
  <c r="T25" i="30" s="1"/>
  <c r="K14" i="22"/>
  <c r="K15" i="22" s="1"/>
  <c r="H61" i="27"/>
  <c r="I61" i="27"/>
  <c r="K14" i="32"/>
  <c r="Y8" i="35" s="1"/>
  <c r="F105" i="29"/>
  <c r="F79" i="2"/>
  <c r="G79" i="2" s="1"/>
  <c r="H79" i="2" s="1"/>
  <c r="F72" i="2"/>
  <c r="G72" i="2" s="1"/>
  <c r="H72" i="2" s="1"/>
  <c r="N39" i="33"/>
  <c r="Q95" i="30"/>
  <c r="Q21" i="30"/>
  <c r="Q46" i="30" s="1"/>
  <c r="U2" i="22"/>
  <c r="R9" i="30"/>
  <c r="M2" i="33"/>
  <c r="L19" i="33"/>
  <c r="L34" i="33"/>
  <c r="L20" i="33"/>
  <c r="K31" i="33"/>
  <c r="K30" i="33"/>
  <c r="K32" i="33"/>
  <c r="K33" i="33"/>
  <c r="K29" i="33"/>
  <c r="K28" i="33"/>
  <c r="K3" i="33"/>
  <c r="J12" i="33"/>
  <c r="J18" i="33" s="1"/>
  <c r="S7" i="33" l="1"/>
  <c r="S8" i="33" s="1"/>
  <c r="I23" i="30" s="1"/>
  <c r="R6" i="33"/>
  <c r="Q6" i="33"/>
  <c r="Q7" i="33"/>
  <c r="R7" i="33" s="1"/>
  <c r="O19" i="20"/>
  <c r="P19" i="20" s="1"/>
  <c r="O63" i="35" s="1"/>
  <c r="J22" i="32"/>
  <c r="M21" i="20"/>
  <c r="T81" i="27"/>
  <c r="U79" i="27"/>
  <c r="U80" i="27"/>
  <c r="Y36" i="35"/>
  <c r="AU17" i="35"/>
  <c r="Q42" i="27"/>
  <c r="L19" i="20"/>
  <c r="K63" i="35" s="1"/>
  <c r="K20" i="20"/>
  <c r="S18" i="27" s="1"/>
  <c r="W16" i="35"/>
  <c r="M19" i="20"/>
  <c r="Q36" i="27"/>
  <c r="AU18" i="35" s="1"/>
  <c r="H63" i="35"/>
  <c r="I20" i="20"/>
  <c r="J20" i="20" s="1"/>
  <c r="I64" i="35" s="1"/>
  <c r="E117" i="29"/>
  <c r="E125" i="29" s="1"/>
  <c r="I28" i="27"/>
  <c r="W63" i="35" s="1"/>
  <c r="AK19" i="35"/>
  <c r="H28" i="27"/>
  <c r="V63" i="35" s="1"/>
  <c r="AI19" i="35"/>
  <c r="J69" i="35"/>
  <c r="L25" i="20"/>
  <c r="K69" i="35" s="1"/>
  <c r="M25" i="20"/>
  <c r="AM72" i="35"/>
  <c r="AP72" i="35"/>
  <c r="K33" i="32"/>
  <c r="E118" i="29"/>
  <c r="X13" i="35"/>
  <c r="J26" i="32"/>
  <c r="E114" i="29" s="1"/>
  <c r="D106" i="29"/>
  <c r="I13" i="32"/>
  <c r="W7" i="35" s="1"/>
  <c r="D52" i="34"/>
  <c r="D54" i="34"/>
  <c r="H13" i="2"/>
  <c r="H14" i="2" s="1"/>
  <c r="G13" i="2"/>
  <c r="G14" i="2" s="1"/>
  <c r="F13" i="2"/>
  <c r="F14" i="2" s="1"/>
  <c r="R21" i="30"/>
  <c r="R46" i="30" s="1"/>
  <c r="V2" i="22"/>
  <c r="N2" i="33"/>
  <c r="R95" i="30"/>
  <c r="L29" i="33"/>
  <c r="M20" i="33"/>
  <c r="L31" i="33"/>
  <c r="L32" i="33"/>
  <c r="L30" i="33"/>
  <c r="L33" i="33"/>
  <c r="L28" i="33"/>
  <c r="M19" i="33"/>
  <c r="M34" i="33"/>
  <c r="L3" i="33"/>
  <c r="K13" i="33"/>
  <c r="K18" i="33" s="1"/>
  <c r="Q8" i="33" l="1"/>
  <c r="G23" i="30" s="1"/>
  <c r="R8" i="33"/>
  <c r="H23" i="30" s="1"/>
  <c r="O20" i="20"/>
  <c r="N64" i="35" s="1"/>
  <c r="N63" i="35"/>
  <c r="X11" i="35"/>
  <c r="K25" i="32"/>
  <c r="E110" i="29"/>
  <c r="S12" i="30"/>
  <c r="S14" i="30" s="1"/>
  <c r="U81" i="27"/>
  <c r="U86" i="27"/>
  <c r="L20" i="20"/>
  <c r="S19" i="27" s="1"/>
  <c r="F27" i="34" s="1"/>
  <c r="J64" i="35"/>
  <c r="K22" i="20"/>
  <c r="S20" i="27" s="1"/>
  <c r="N19" i="20"/>
  <c r="M63" i="35" s="1"/>
  <c r="M20" i="20"/>
  <c r="N20" i="20" s="1"/>
  <c r="L63" i="35"/>
  <c r="I22" i="20"/>
  <c r="J22" i="20" s="1"/>
  <c r="R18" i="27"/>
  <c r="H64" i="35"/>
  <c r="R19" i="27"/>
  <c r="E27" i="34" s="1"/>
  <c r="Q43" i="27"/>
  <c r="N21" i="20"/>
  <c r="M65" i="35" s="1"/>
  <c r="L69" i="35"/>
  <c r="N25" i="20"/>
  <c r="M69" i="35" s="1"/>
  <c r="O25" i="20"/>
  <c r="F121" i="29"/>
  <c r="K30" i="32"/>
  <c r="K29" i="32"/>
  <c r="J18" i="32"/>
  <c r="E106" i="29" s="1"/>
  <c r="X12" i="35"/>
  <c r="L65" i="35"/>
  <c r="H39" i="27"/>
  <c r="R51" i="27"/>
  <c r="J84" i="32"/>
  <c r="H84" i="32"/>
  <c r="H37" i="27" s="1"/>
  <c r="I84" i="32"/>
  <c r="S34" i="30"/>
  <c r="N20" i="33"/>
  <c r="M32" i="33"/>
  <c r="M31" i="33"/>
  <c r="M33" i="33"/>
  <c r="M28" i="33"/>
  <c r="M30" i="33"/>
  <c r="M29" i="33"/>
  <c r="N19" i="33"/>
  <c r="N34" i="33"/>
  <c r="M3" i="33"/>
  <c r="L14" i="33"/>
  <c r="L18" i="33" s="1"/>
  <c r="S23" i="30" l="1"/>
  <c r="U18" i="27"/>
  <c r="P20" i="20"/>
  <c r="U19" i="27" s="1"/>
  <c r="H27" i="34" s="1"/>
  <c r="K12" i="30"/>
  <c r="O3" i="22" s="1"/>
  <c r="O4" i="22" s="1"/>
  <c r="G12" i="30"/>
  <c r="K3" i="22" s="1"/>
  <c r="K4" i="22" s="1"/>
  <c r="M12" i="30"/>
  <c r="Q3" i="22" s="1"/>
  <c r="Q4" i="22" s="1"/>
  <c r="R12" i="30"/>
  <c r="V3" i="22" s="1"/>
  <c r="V4" i="22" s="1"/>
  <c r="O12" i="30"/>
  <c r="S3" i="22" s="1"/>
  <c r="S4" i="22" s="1"/>
  <c r="L12" i="30"/>
  <c r="P3" i="22" s="1"/>
  <c r="P4" i="22" s="1"/>
  <c r="H12" i="30"/>
  <c r="L3" i="22" s="1"/>
  <c r="L4" i="22" s="1"/>
  <c r="F113" i="29"/>
  <c r="O21" i="20"/>
  <c r="N65" i="35" s="1"/>
  <c r="K22" i="32"/>
  <c r="I12" i="30"/>
  <c r="M3" i="22" s="1"/>
  <c r="M4" i="22" s="1"/>
  <c r="N12" i="30"/>
  <c r="R3" i="22" s="1"/>
  <c r="R4" i="22" s="1"/>
  <c r="P12" i="30"/>
  <c r="T3" i="22" s="1"/>
  <c r="T4" i="22" s="1"/>
  <c r="J12" i="30"/>
  <c r="N3" i="22" s="1"/>
  <c r="N4" i="22" s="1"/>
  <c r="Q12" i="30"/>
  <c r="U3" i="22" s="1"/>
  <c r="U4" i="22" s="1"/>
  <c r="K64" i="35"/>
  <c r="L22" i="20"/>
  <c r="S21" i="27" s="1"/>
  <c r="K26" i="20"/>
  <c r="J70" i="35" s="1"/>
  <c r="J66" i="35"/>
  <c r="T19" i="27"/>
  <c r="G27" i="34" s="1"/>
  <c r="M64" i="35"/>
  <c r="L64" i="35"/>
  <c r="T18" i="27"/>
  <c r="M22" i="20"/>
  <c r="N22" i="20" s="1"/>
  <c r="T21" i="27" s="1"/>
  <c r="I26" i="20"/>
  <c r="I27" i="20" s="1"/>
  <c r="R20" i="27"/>
  <c r="I66" i="35"/>
  <c r="R21" i="27"/>
  <c r="H66" i="35"/>
  <c r="F117" i="29"/>
  <c r="N69" i="35"/>
  <c r="P25" i="20"/>
  <c r="O69" i="35" s="1"/>
  <c r="J13" i="32"/>
  <c r="X7" i="35" s="1"/>
  <c r="X9" i="35"/>
  <c r="Y13" i="35"/>
  <c r="F118" i="29"/>
  <c r="K26" i="32"/>
  <c r="Y12" i="35" s="1"/>
  <c r="H41" i="27"/>
  <c r="V74" i="35" s="1"/>
  <c r="J37" i="27"/>
  <c r="X70" i="35" s="1"/>
  <c r="W46" i="35"/>
  <c r="I37" i="27"/>
  <c r="W70" i="35" s="1"/>
  <c r="V46" i="35"/>
  <c r="J75" i="32"/>
  <c r="X46" i="35"/>
  <c r="H59" i="32"/>
  <c r="V72" i="35"/>
  <c r="C129" i="29"/>
  <c r="H75" i="32"/>
  <c r="I75" i="32"/>
  <c r="K14" i="30"/>
  <c r="K22" i="30" s="1"/>
  <c r="O10" i="22" s="1"/>
  <c r="O11" i="22" s="1"/>
  <c r="O25" i="22" s="1"/>
  <c r="R14" i="30"/>
  <c r="N14" i="30"/>
  <c r="M14" i="30"/>
  <c r="H14" i="30"/>
  <c r="Q14" i="30"/>
  <c r="L14" i="30"/>
  <c r="I14" i="30"/>
  <c r="O14" i="30"/>
  <c r="J14" i="30"/>
  <c r="G14" i="30"/>
  <c r="G22" i="30" s="1"/>
  <c r="P14" i="30"/>
  <c r="S32" i="30"/>
  <c r="N28" i="33"/>
  <c r="N32" i="33"/>
  <c r="N33" i="33"/>
  <c r="N29" i="33"/>
  <c r="N31" i="33"/>
  <c r="N30" i="33"/>
  <c r="M16" i="33"/>
  <c r="M15" i="33"/>
  <c r="N3" i="33"/>
  <c r="N16" i="33" s="1"/>
  <c r="N18" i="33" s="1"/>
  <c r="K10" i="22" l="1"/>
  <c r="K11" i="22" s="1"/>
  <c r="K25" i="22" s="1"/>
  <c r="O22" i="30"/>
  <c r="S10" i="22" s="1"/>
  <c r="S11" i="22" s="1"/>
  <c r="S25" i="22" s="1"/>
  <c r="H22" i="30"/>
  <c r="L10" i="22" s="1"/>
  <c r="L11" i="22" s="1"/>
  <c r="L25" i="22" s="1"/>
  <c r="M22" i="30"/>
  <c r="Q10" i="22" s="1"/>
  <c r="Q11" i="22" s="1"/>
  <c r="Q25" i="22" s="1"/>
  <c r="N22" i="30"/>
  <c r="R10" i="22" s="1"/>
  <c r="R11" i="22" s="1"/>
  <c r="R25" i="22" s="1"/>
  <c r="R22" i="30"/>
  <c r="V10" i="22" s="1"/>
  <c r="V11" i="22" s="1"/>
  <c r="V25" i="22" s="1"/>
  <c r="I22" i="30"/>
  <c r="M10" i="22" s="1"/>
  <c r="M11" i="22" s="1"/>
  <c r="M25" i="22" s="1"/>
  <c r="O64" i="35"/>
  <c r="P22" i="30"/>
  <c r="T10" i="22" s="1"/>
  <c r="T11" i="22" s="1"/>
  <c r="T25" i="22" s="1"/>
  <c r="L22" i="30"/>
  <c r="P10" i="22" s="1"/>
  <c r="P11" i="22" s="1"/>
  <c r="P25" i="22" s="1"/>
  <c r="Q22" i="30"/>
  <c r="U10" i="22" s="1"/>
  <c r="U11" i="22" s="1"/>
  <c r="U25" i="22" s="1"/>
  <c r="J22" i="30"/>
  <c r="N10" i="22" s="1"/>
  <c r="N11" i="22" s="1"/>
  <c r="N25" i="22" s="1"/>
  <c r="F125" i="29"/>
  <c r="Y11" i="35"/>
  <c r="F110" i="29"/>
  <c r="E28" i="34"/>
  <c r="R22" i="27"/>
  <c r="G28" i="34"/>
  <c r="T22" i="27"/>
  <c r="F28" i="34"/>
  <c r="S22" i="27"/>
  <c r="V31" i="35"/>
  <c r="K66" i="35"/>
  <c r="L26" i="20"/>
  <c r="K70" i="35" s="1"/>
  <c r="K27" i="20"/>
  <c r="R74" i="27"/>
  <c r="M66" i="35"/>
  <c r="M26" i="20"/>
  <c r="N26" i="20" s="1"/>
  <c r="M70" i="35" s="1"/>
  <c r="T20" i="27"/>
  <c r="L66" i="35"/>
  <c r="J26" i="20"/>
  <c r="I70" i="35" s="1"/>
  <c r="H70" i="35"/>
  <c r="P21" i="20"/>
  <c r="O65" i="35" s="1"/>
  <c r="O22" i="20"/>
  <c r="F114" i="29"/>
  <c r="K18" i="32"/>
  <c r="Y9" i="35" s="1"/>
  <c r="X42" i="35"/>
  <c r="T46" i="27"/>
  <c r="G53" i="34" s="1"/>
  <c r="V70" i="35"/>
  <c r="S46" i="27"/>
  <c r="F53" i="34" s="1"/>
  <c r="W42" i="35"/>
  <c r="R46" i="27"/>
  <c r="E53" i="34" s="1"/>
  <c r="V42" i="35"/>
  <c r="AM11" i="35"/>
  <c r="J41" i="32"/>
  <c r="X17" i="35" s="1"/>
  <c r="C21" i="33"/>
  <c r="K5" i="22"/>
  <c r="K6" i="22" s="1"/>
  <c r="K9" i="22" s="1"/>
  <c r="K26" i="22" s="1"/>
  <c r="J21" i="33"/>
  <c r="J26" i="33" s="1"/>
  <c r="J27" i="33" s="1"/>
  <c r="M38" i="33" s="1"/>
  <c r="R5" i="22"/>
  <c r="R6" i="22" s="1"/>
  <c r="R9" i="22" s="1"/>
  <c r="N5" i="22"/>
  <c r="N6" i="22" s="1"/>
  <c r="N9" i="22" s="1"/>
  <c r="F21" i="33"/>
  <c r="N21" i="33"/>
  <c r="N26" i="33" s="1"/>
  <c r="N27" i="33" s="1"/>
  <c r="V5" i="22"/>
  <c r="V6" i="22" s="1"/>
  <c r="V9" i="22" s="1"/>
  <c r="K21" i="33"/>
  <c r="S5" i="22"/>
  <c r="S6" i="22" s="1"/>
  <c r="S9" i="22" s="1"/>
  <c r="G21" i="33"/>
  <c r="O5" i="22"/>
  <c r="O6" i="22" s="1"/>
  <c r="O9" i="22" s="1"/>
  <c r="O26" i="22" s="1"/>
  <c r="M5" i="22"/>
  <c r="M6" i="22" s="1"/>
  <c r="M9" i="22" s="1"/>
  <c r="E21" i="33"/>
  <c r="P5" i="22"/>
  <c r="P6" i="22" s="1"/>
  <c r="P9" i="22" s="1"/>
  <c r="H21" i="33"/>
  <c r="H26" i="33" s="1"/>
  <c r="H27" i="33" s="1"/>
  <c r="K38" i="33" s="1"/>
  <c r="D21" i="33"/>
  <c r="D26" i="33" s="1"/>
  <c r="D27" i="33" s="1"/>
  <c r="G38" i="33" s="1"/>
  <c r="L5" i="22"/>
  <c r="L6" i="22" s="1"/>
  <c r="L9" i="22" s="1"/>
  <c r="M21" i="33"/>
  <c r="M26" i="33" s="1"/>
  <c r="M27" i="33" s="1"/>
  <c r="U5" i="22"/>
  <c r="U6" i="22" s="1"/>
  <c r="U9" i="22" s="1"/>
  <c r="L21" i="33"/>
  <c r="T5" i="22"/>
  <c r="T6" i="22" s="1"/>
  <c r="T9" i="22" s="1"/>
  <c r="I21" i="33"/>
  <c r="I26" i="33" s="1"/>
  <c r="I27" i="33" s="1"/>
  <c r="L38" i="33" s="1"/>
  <c r="Q5" i="22"/>
  <c r="Q6" i="22" s="1"/>
  <c r="Q9" i="22" s="1"/>
  <c r="M18" i="33"/>
  <c r="S33" i="30"/>
  <c r="G26" i="33" l="1"/>
  <c r="G27" i="33" s="1"/>
  <c r="J38" i="33" s="1"/>
  <c r="K24" i="33"/>
  <c r="K25" i="33" s="1"/>
  <c r="K26" i="33"/>
  <c r="K27" i="33" s="1"/>
  <c r="N38" i="33" s="1"/>
  <c r="C24" i="33"/>
  <c r="C25" i="33" s="1"/>
  <c r="C26" i="33"/>
  <c r="C27" i="33" s="1"/>
  <c r="F38" i="33" s="1"/>
  <c r="L24" i="33"/>
  <c r="L25" i="33" s="1"/>
  <c r="L26" i="33"/>
  <c r="L27" i="33" s="1"/>
  <c r="E24" i="33"/>
  <c r="E25" i="33" s="1"/>
  <c r="G37" i="33" s="1"/>
  <c r="E26" i="33"/>
  <c r="E27" i="33" s="1"/>
  <c r="H38" i="33" s="1"/>
  <c r="F24" i="33"/>
  <c r="F25" i="33" s="1"/>
  <c r="F26" i="33"/>
  <c r="F27" i="33" s="1"/>
  <c r="I38" i="33" s="1"/>
  <c r="Q26" i="22"/>
  <c r="R26" i="22"/>
  <c r="P30" i="30" s="1"/>
  <c r="V26" i="22"/>
  <c r="M26" i="22"/>
  <c r="K30" i="30" s="1"/>
  <c r="T26" i="22"/>
  <c r="R30" i="30" s="1"/>
  <c r="U26" i="22"/>
  <c r="S22" i="30"/>
  <c r="T22" i="30" s="1"/>
  <c r="M30" i="30"/>
  <c r="O30" i="30"/>
  <c r="I30" i="30"/>
  <c r="J72" i="35"/>
  <c r="S74" i="27"/>
  <c r="H72" i="35"/>
  <c r="U39" i="30"/>
  <c r="P39" i="30" s="1"/>
  <c r="I15" i="27"/>
  <c r="S31" i="27" s="1"/>
  <c r="AW13" i="35" s="1"/>
  <c r="L27" i="20"/>
  <c r="K72" i="35" s="1"/>
  <c r="H15" i="27"/>
  <c r="V54" i="35" s="1"/>
  <c r="K31" i="20"/>
  <c r="D128" i="29" s="1"/>
  <c r="I31" i="20"/>
  <c r="R52" i="27" s="1"/>
  <c r="J27" i="20"/>
  <c r="I72" i="35" s="1"/>
  <c r="L70" i="35"/>
  <c r="M27" i="20"/>
  <c r="N27" i="20" s="1"/>
  <c r="M72" i="35" s="1"/>
  <c r="M24" i="33"/>
  <c r="M25" i="33" s="1"/>
  <c r="N22" i="33"/>
  <c r="N35" i="33" s="1"/>
  <c r="N24" i="33"/>
  <c r="N25" i="33" s="1"/>
  <c r="D24" i="33"/>
  <c r="D25" i="33" s="1"/>
  <c r="F37" i="33" s="1"/>
  <c r="I24" i="33"/>
  <c r="I25" i="33" s="1"/>
  <c r="K37" i="33" s="1"/>
  <c r="G24" i="33"/>
  <c r="G25" i="33" s="1"/>
  <c r="I37" i="33" s="1"/>
  <c r="J24" i="33"/>
  <c r="J25" i="33" s="1"/>
  <c r="L37" i="33" s="1"/>
  <c r="H24" i="33"/>
  <c r="H25" i="33" s="1"/>
  <c r="J37" i="33" s="1"/>
  <c r="P22" i="20"/>
  <c r="U20" i="27"/>
  <c r="J60" i="27"/>
  <c r="AM18" i="35" s="1"/>
  <c r="K13" i="32"/>
  <c r="Y7" i="35" s="1"/>
  <c r="F106" i="29"/>
  <c r="N66" i="35"/>
  <c r="O26" i="20"/>
  <c r="N70" i="35" s="1"/>
  <c r="P26" i="22"/>
  <c r="L26" i="22"/>
  <c r="H22" i="33"/>
  <c r="H35" i="33" s="1"/>
  <c r="I22" i="33"/>
  <c r="I35" i="33" s="1"/>
  <c r="F22" i="33"/>
  <c r="F35" i="33" s="1"/>
  <c r="D22" i="33"/>
  <c r="D35" i="33" s="1"/>
  <c r="L22" i="33"/>
  <c r="L35" i="33" s="1"/>
  <c r="S26" i="22"/>
  <c r="G22" i="33"/>
  <c r="G35" i="33" s="1"/>
  <c r="E22" i="33"/>
  <c r="E35" i="33" s="1"/>
  <c r="J22" i="33"/>
  <c r="J35" i="33" s="1"/>
  <c r="K22" i="33"/>
  <c r="K35" i="33" s="1"/>
  <c r="M22" i="33"/>
  <c r="M35" i="33" s="1"/>
  <c r="N26" i="22"/>
  <c r="C22" i="33"/>
  <c r="C35" i="33" s="1"/>
  <c r="C42" i="33" s="1"/>
  <c r="S31" i="30"/>
  <c r="H37" i="33" l="1"/>
  <c r="M37" i="33"/>
  <c r="N37" i="33"/>
  <c r="E37" i="33"/>
  <c r="P44" i="30"/>
  <c r="Q30" i="30"/>
  <c r="L30" i="30"/>
  <c r="N30" i="30"/>
  <c r="G16" i="30"/>
  <c r="G19" i="30" s="1"/>
  <c r="J30" i="30"/>
  <c r="S32" i="27"/>
  <c r="AW14" i="35" s="1"/>
  <c r="R32" i="27"/>
  <c r="AV14" i="35" s="1"/>
  <c r="T74" i="27"/>
  <c r="N23" i="33"/>
  <c r="N39" i="30"/>
  <c r="H39" i="30"/>
  <c r="H44" i="30" s="1"/>
  <c r="Q39" i="30"/>
  <c r="J39" i="30"/>
  <c r="H21" i="27"/>
  <c r="V60" i="35" s="1"/>
  <c r="W54" i="35"/>
  <c r="R31" i="27"/>
  <c r="AV13" i="35" s="1"/>
  <c r="I21" i="27"/>
  <c r="W60" i="35" s="1"/>
  <c r="K39" i="30"/>
  <c r="K44" i="30" s="1"/>
  <c r="R23" i="27"/>
  <c r="H60" i="32"/>
  <c r="J31" i="20"/>
  <c r="R24" i="27" s="1"/>
  <c r="E29" i="34" s="1"/>
  <c r="C128" i="29"/>
  <c r="C127" i="29" s="1"/>
  <c r="O39" i="30"/>
  <c r="O44" i="30" s="1"/>
  <c r="G39" i="30"/>
  <c r="G44" i="30" s="1"/>
  <c r="L39" i="30"/>
  <c r="R39" i="30"/>
  <c r="R44" i="30" s="1"/>
  <c r="I39" i="30"/>
  <c r="I44" i="30" s="1"/>
  <c r="M39" i="30"/>
  <c r="M44" i="30" s="1"/>
  <c r="H75" i="35"/>
  <c r="I60" i="32"/>
  <c r="W32" i="35" s="1"/>
  <c r="J75" i="35"/>
  <c r="S23" i="27"/>
  <c r="L31" i="20"/>
  <c r="S24" i="27" s="1"/>
  <c r="F29" i="34" s="1"/>
  <c r="L72" i="35"/>
  <c r="J15" i="27"/>
  <c r="T32" i="27" s="1"/>
  <c r="AX14" i="35" s="1"/>
  <c r="M31" i="20"/>
  <c r="O66" i="35"/>
  <c r="U21" i="27"/>
  <c r="J61" i="27"/>
  <c r="AM19" i="35" s="1"/>
  <c r="P26" i="20"/>
  <c r="O70" i="35" s="1"/>
  <c r="O27" i="20"/>
  <c r="O31" i="20" s="1"/>
  <c r="K84" i="32"/>
  <c r="E23" i="33"/>
  <c r="F36" i="33" s="1"/>
  <c r="F42" i="33" s="1"/>
  <c r="M23" i="33"/>
  <c r="N36" i="33" s="1"/>
  <c r="N42" i="33" s="1"/>
  <c r="I23" i="33"/>
  <c r="J36" i="33" s="1"/>
  <c r="J42" i="33" s="1"/>
  <c r="G23" i="33"/>
  <c r="H36" i="33" s="1"/>
  <c r="H42" i="33" s="1"/>
  <c r="H23" i="33"/>
  <c r="I36" i="33" s="1"/>
  <c r="I42" i="33" s="1"/>
  <c r="K23" i="33"/>
  <c r="L36" i="33" s="1"/>
  <c r="L42" i="33" s="1"/>
  <c r="J23" i="33"/>
  <c r="K36" i="33" s="1"/>
  <c r="K42" i="33" s="1"/>
  <c r="L23" i="33"/>
  <c r="M36" i="33" s="1"/>
  <c r="M42" i="33" s="1"/>
  <c r="C23" i="33"/>
  <c r="D36" i="33" s="1"/>
  <c r="D42" i="33" s="1"/>
  <c r="D23" i="33"/>
  <c r="E36" i="33" s="1"/>
  <c r="E42" i="33" s="1"/>
  <c r="F23" i="33"/>
  <c r="G36" i="33" s="1"/>
  <c r="G42" i="33" s="1"/>
  <c r="G55" i="30" l="1"/>
  <c r="L44" i="30"/>
  <c r="S30" i="30"/>
  <c r="J44" i="30"/>
  <c r="Q44" i="30"/>
  <c r="N44" i="30"/>
  <c r="N16" i="30"/>
  <c r="N19" i="30" s="1"/>
  <c r="K16" i="30"/>
  <c r="K19" i="30" s="1"/>
  <c r="R16" i="30"/>
  <c r="R19" i="30" s="1"/>
  <c r="I16" i="30"/>
  <c r="I19" i="30" s="1"/>
  <c r="H16" i="30"/>
  <c r="H19" i="30" s="1"/>
  <c r="J16" i="30"/>
  <c r="J19" i="30" s="1"/>
  <c r="O16" i="30"/>
  <c r="O19" i="30" s="1"/>
  <c r="Q16" i="30"/>
  <c r="Q19" i="30" s="1"/>
  <c r="L16" i="30"/>
  <c r="L19" i="30" s="1"/>
  <c r="P16" i="30"/>
  <c r="P19" i="30" s="1"/>
  <c r="M16" i="30"/>
  <c r="M19" i="30" s="1"/>
  <c r="S33" i="27"/>
  <c r="AW15" i="35" s="1"/>
  <c r="R33" i="27"/>
  <c r="AV15" i="35" s="1"/>
  <c r="U74" i="27"/>
  <c r="H28" i="34"/>
  <c r="U22" i="27"/>
  <c r="V32" i="35"/>
  <c r="I58" i="32"/>
  <c r="W30" i="35" s="1"/>
  <c r="H42" i="27"/>
  <c r="H43" i="27" s="1"/>
  <c r="V76" i="35" s="1"/>
  <c r="H56" i="32"/>
  <c r="R76" i="27" s="1"/>
  <c r="R77" i="27" s="1"/>
  <c r="T33" i="27"/>
  <c r="AX15" i="35" s="1"/>
  <c r="S39" i="30"/>
  <c r="T39" i="30" s="1"/>
  <c r="N31" i="20"/>
  <c r="T24" i="27" s="1"/>
  <c r="G29" i="34" s="1"/>
  <c r="J60" i="32"/>
  <c r="X32" i="35" s="1"/>
  <c r="L75" i="35"/>
  <c r="E128" i="29"/>
  <c r="T23" i="27"/>
  <c r="T31" i="27"/>
  <c r="AX13" i="35" s="1"/>
  <c r="X54" i="35"/>
  <c r="J21" i="27"/>
  <c r="X60" i="35" s="1"/>
  <c r="J28" i="27"/>
  <c r="X63" i="35" s="1"/>
  <c r="P27" i="20"/>
  <c r="O72" i="35" s="1"/>
  <c r="K15" i="27"/>
  <c r="U31" i="27" s="1"/>
  <c r="AY13" i="35" s="1"/>
  <c r="N72" i="35"/>
  <c r="N75" i="35"/>
  <c r="P31" i="20"/>
  <c r="U24" i="27" s="1"/>
  <c r="H29" i="34" s="1"/>
  <c r="Y46" i="35"/>
  <c r="K37" i="27"/>
  <c r="Y70" i="35" s="1"/>
  <c r="K75" i="32"/>
  <c r="AO11" i="35"/>
  <c r="K41" i="32"/>
  <c r="Y17" i="35" s="1"/>
  <c r="U23" i="27"/>
  <c r="K60" i="32"/>
  <c r="Y32" i="35" s="1"/>
  <c r="S44" i="30" l="1"/>
  <c r="S16" i="30"/>
  <c r="S75" i="27"/>
  <c r="R82" i="27"/>
  <c r="R16" i="27" s="1"/>
  <c r="R25" i="27" s="1"/>
  <c r="E30" i="34" s="1"/>
  <c r="H44" i="27"/>
  <c r="V77" i="35" s="1"/>
  <c r="V75" i="35"/>
  <c r="V28" i="35"/>
  <c r="H98" i="32"/>
  <c r="R35" i="27" s="1"/>
  <c r="K60" i="27"/>
  <c r="AO18" i="35" s="1"/>
  <c r="U32" i="27"/>
  <c r="AY14" i="35" s="1"/>
  <c r="Y54" i="35"/>
  <c r="K21" i="27"/>
  <c r="Y60" i="35" s="1"/>
  <c r="U46" i="27"/>
  <c r="H53" i="34" s="1"/>
  <c r="Y42" i="35"/>
  <c r="S19" i="30"/>
  <c r="E5" i="34" l="1"/>
  <c r="V49" i="35"/>
  <c r="H49" i="32"/>
  <c r="G10" i="30" s="1"/>
  <c r="R45" i="27"/>
  <c r="E52" i="34" s="1"/>
  <c r="AV17" i="35"/>
  <c r="E4" i="34"/>
  <c r="K61" i="27"/>
  <c r="AO19" i="35" s="1"/>
  <c r="U33" i="27"/>
  <c r="AY15" i="35" s="1"/>
  <c r="G56" i="30" l="1"/>
  <c r="R87" i="27"/>
  <c r="R37" i="27" s="1"/>
  <c r="R38" i="27" s="1"/>
  <c r="AV20" i="35" s="1"/>
  <c r="R49" i="27"/>
  <c r="E54" i="34" s="1"/>
  <c r="R36" i="27"/>
  <c r="AV18" i="35" s="1"/>
  <c r="H38" i="32"/>
  <c r="H51" i="32" s="1"/>
  <c r="V24" i="35" s="1"/>
  <c r="V23" i="35"/>
  <c r="K28" i="27"/>
  <c r="Y63" i="35" s="1"/>
  <c r="R29" i="27" l="1"/>
  <c r="R30" i="27" s="1"/>
  <c r="AV12" i="35" s="1"/>
  <c r="R27" i="27"/>
  <c r="R42" i="27" s="1"/>
  <c r="S50" i="27"/>
  <c r="S52" i="27" s="1"/>
  <c r="AV19" i="35"/>
  <c r="V15" i="35"/>
  <c r="R55" i="30"/>
  <c r="R96" i="30" s="1"/>
  <c r="L55" i="30"/>
  <c r="L96" i="30" s="1"/>
  <c r="N55" i="30"/>
  <c r="N96" i="30" s="1"/>
  <c r="Q55" i="30"/>
  <c r="Q96" i="30" s="1"/>
  <c r="J55" i="30"/>
  <c r="J96" i="30" s="1"/>
  <c r="K55" i="30"/>
  <c r="K96" i="30" s="1"/>
  <c r="H55" i="30"/>
  <c r="H96" i="30" s="1"/>
  <c r="I55" i="30"/>
  <c r="I96" i="30" s="1"/>
  <c r="P55" i="30"/>
  <c r="P96" i="30" s="1"/>
  <c r="M55" i="30"/>
  <c r="M96" i="30" s="1"/>
  <c r="O55" i="30"/>
  <c r="O96" i="30" s="1"/>
  <c r="R28" i="27" l="1"/>
  <c r="AV10" i="35" s="1"/>
  <c r="AV9" i="35"/>
  <c r="AV11" i="35"/>
  <c r="S51" i="27"/>
  <c r="I39" i="27"/>
  <c r="D129" i="29" s="1"/>
  <c r="D127" i="29" s="1"/>
  <c r="R43" i="27"/>
  <c r="S50" i="30"/>
  <c r="S53" i="30" s="1"/>
  <c r="I59" i="32" l="1"/>
  <c r="I56" i="32" s="1"/>
  <c r="S76" i="27" s="1"/>
  <c r="W72" i="35"/>
  <c r="I41" i="27"/>
  <c r="W74" i="35" s="1"/>
  <c r="G96" i="30"/>
  <c r="S96" i="30" s="1"/>
  <c r="S55" i="30"/>
  <c r="J58" i="32" l="1"/>
  <c r="X30" i="35" s="1"/>
  <c r="W31" i="35"/>
  <c r="T75" i="27"/>
  <c r="S77" i="27"/>
  <c r="S82" i="27" s="1"/>
  <c r="S16" i="27" s="1"/>
  <c r="S25" i="27" s="1"/>
  <c r="F30" i="34" s="1"/>
  <c r="I42" i="27"/>
  <c r="I43" i="27" s="1"/>
  <c r="W76" i="35" s="1"/>
  <c r="I98" i="32"/>
  <c r="S35" i="27" s="1"/>
  <c r="W28" i="35"/>
  <c r="H10" i="30"/>
  <c r="H56" i="30" s="1"/>
  <c r="G97" i="30"/>
  <c r="I44" i="27" l="1"/>
  <c r="W77" i="35" s="1"/>
  <c r="W75" i="35"/>
  <c r="S45" i="27"/>
  <c r="F52" i="34" s="1"/>
  <c r="AW17" i="35"/>
  <c r="I49" i="32"/>
  <c r="F4" i="34"/>
  <c r="W49" i="35"/>
  <c r="F5" i="34"/>
  <c r="I10" i="30"/>
  <c r="I56" i="30" s="1"/>
  <c r="H97" i="30"/>
  <c r="I38" i="32" l="1"/>
  <c r="W15" i="35" s="1"/>
  <c r="S87" i="27"/>
  <c r="S37" i="27" s="1"/>
  <c r="S38" i="27" s="1"/>
  <c r="AW20" i="35" s="1"/>
  <c r="S49" i="27"/>
  <c r="F54" i="34" s="1"/>
  <c r="S36" i="27"/>
  <c r="AW18" i="35" s="1"/>
  <c r="W23" i="35"/>
  <c r="J10" i="30"/>
  <c r="J56" i="30" s="1"/>
  <c r="I97" i="30"/>
  <c r="I51" i="32" l="1"/>
  <c r="W24" i="35" s="1"/>
  <c r="S29" i="27"/>
  <c r="S27" i="27"/>
  <c r="S42" i="27" s="1"/>
  <c r="S43" i="27" s="1"/>
  <c r="AW19" i="35"/>
  <c r="T50" i="27"/>
  <c r="T52" i="27" s="1"/>
  <c r="J97" i="30"/>
  <c r="K10" i="30"/>
  <c r="K56" i="30" s="1"/>
  <c r="S40" i="27"/>
  <c r="S41" i="27" s="1"/>
  <c r="AW9" i="35" l="1"/>
  <c r="S28" i="27"/>
  <c r="AW10" i="35" s="1"/>
  <c r="AW11" i="35"/>
  <c r="S30" i="27"/>
  <c r="AW12" i="35" s="1"/>
  <c r="J39" i="27"/>
  <c r="E129" i="29" s="1"/>
  <c r="E127" i="29" s="1"/>
  <c r="T51" i="27"/>
  <c r="K97" i="30"/>
  <c r="L10" i="30"/>
  <c r="L56" i="30" s="1"/>
  <c r="J59" i="32" l="1"/>
  <c r="J56" i="32" s="1"/>
  <c r="J98" i="32" s="1"/>
  <c r="T35" i="27" s="1"/>
  <c r="AX17" i="35" s="1"/>
  <c r="X72" i="35"/>
  <c r="J41" i="27"/>
  <c r="J42" i="27" s="1"/>
  <c r="J43" i="27" s="1"/>
  <c r="X76" i="35" s="1"/>
  <c r="M10" i="30"/>
  <c r="M56" i="30" s="1"/>
  <c r="L97" i="30"/>
  <c r="J44" i="27" l="1"/>
  <c r="X77" i="35" s="1"/>
  <c r="T76" i="27"/>
  <c r="U75" i="27" s="1"/>
  <c r="X28" i="35"/>
  <c r="K58" i="32"/>
  <c r="Y30" i="35" s="1"/>
  <c r="X31" i="35"/>
  <c r="X49" i="35"/>
  <c r="T45" i="27"/>
  <c r="G52" i="34" s="1"/>
  <c r="J49" i="32"/>
  <c r="J38" i="32" s="1"/>
  <c r="J51" i="32" s="1"/>
  <c r="X24" i="35" s="1"/>
  <c r="G4" i="34"/>
  <c r="X74" i="35"/>
  <c r="X75" i="35"/>
  <c r="T36" i="27"/>
  <c r="AX18" i="35" s="1"/>
  <c r="M97" i="30"/>
  <c r="N10" i="30"/>
  <c r="N56" i="30" s="1"/>
  <c r="T77" i="27" l="1"/>
  <c r="T82" i="27" s="1"/>
  <c r="T16" i="27" s="1"/>
  <c r="G5" i="34" s="1"/>
  <c r="T49" i="27"/>
  <c r="G54" i="34" s="1"/>
  <c r="X23" i="35"/>
  <c r="T87" i="27"/>
  <c r="T37" i="27" s="1"/>
  <c r="T27" i="27"/>
  <c r="T42" i="27" s="1"/>
  <c r="T29" i="27"/>
  <c r="X15" i="35"/>
  <c r="O10" i="30"/>
  <c r="O56" i="30" s="1"/>
  <c r="N97" i="30"/>
  <c r="U50" i="27" l="1"/>
  <c r="U52" i="27" s="1"/>
  <c r="T25" i="27"/>
  <c r="G30" i="34" s="1"/>
  <c r="T38" i="27"/>
  <c r="AX20" i="35" s="1"/>
  <c r="AX19" i="35"/>
  <c r="AX11" i="35"/>
  <c r="T30" i="27"/>
  <c r="AX12" i="35" s="1"/>
  <c r="AX9" i="35"/>
  <c r="T28" i="27"/>
  <c r="AX10" i="35" s="1"/>
  <c r="P10" i="30"/>
  <c r="P56" i="30" s="1"/>
  <c r="O97" i="30"/>
  <c r="U51" i="27" l="1"/>
  <c r="K39" i="27"/>
  <c r="K41" i="27" s="1"/>
  <c r="Y74" i="35" s="1"/>
  <c r="T43" i="27"/>
  <c r="P97" i="30"/>
  <c r="Q10" i="30"/>
  <c r="Q56" i="30" s="1"/>
  <c r="Y72" i="35" l="1"/>
  <c r="K59" i="32"/>
  <c r="Y31" i="35" s="1"/>
  <c r="K42" i="27"/>
  <c r="K43" i="27" s="1"/>
  <c r="R10" i="30"/>
  <c r="Q97" i="30"/>
  <c r="K56" i="32" l="1"/>
  <c r="U76" i="27" s="1"/>
  <c r="U77" i="27" s="1"/>
  <c r="U82" i="27" s="1"/>
  <c r="U16" i="27" s="1"/>
  <c r="U25" i="27" s="1"/>
  <c r="H30" i="34" s="1"/>
  <c r="R56" i="30"/>
  <c r="R97" i="30" s="1"/>
  <c r="Y75" i="35"/>
  <c r="Y76" i="35"/>
  <c r="K44" i="27"/>
  <c r="Y77" i="35" s="1"/>
  <c r="K98" i="32" l="1"/>
  <c r="U35" i="27" s="1"/>
  <c r="AY17" i="35" s="1"/>
  <c r="Y28" i="35"/>
  <c r="H5" i="34"/>
  <c r="H4" i="34" l="1"/>
  <c r="Y49" i="35"/>
  <c r="U45" i="27"/>
  <c r="U49" i="27" s="1"/>
  <c r="H54" i="34" s="1"/>
  <c r="K49" i="32"/>
  <c r="U87" i="27" s="1"/>
  <c r="U37" i="27" s="1"/>
  <c r="U38" i="27" s="1"/>
  <c r="U36" i="27"/>
  <c r="AY18" i="35" s="1"/>
  <c r="H52" i="34" l="1"/>
  <c r="K38" i="32"/>
  <c r="U27" i="27" s="1"/>
  <c r="U42" i="27" s="1"/>
  <c r="Y23" i="35"/>
  <c r="AY19" i="35"/>
  <c r="AY20" i="35"/>
  <c r="U29" i="27" l="1"/>
  <c r="U30" i="27" s="1"/>
  <c r="AY12" i="35" s="1"/>
  <c r="U28" i="27"/>
  <c r="AY10" i="35" s="1"/>
  <c r="Y15" i="35"/>
  <c r="AY9" i="35"/>
  <c r="K51" i="32"/>
  <c r="Y24" i="35" s="1"/>
  <c r="U43" i="27"/>
  <c r="M98" i="32" l="1"/>
  <c r="M51" i="32" s="1"/>
  <c r="AY11" i="3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Jadelcons</author>
  </authors>
  <commentList>
    <comment ref="A3" authorId="0" shapeId="0" xr:uid="{431C8219-73E7-41A3-A1BE-A7C6B3C5307F}">
      <text>
        <r>
          <rPr>
            <b/>
            <sz val="10"/>
            <color indexed="81"/>
            <rFont val="Tahoma"/>
            <family val="2"/>
          </rPr>
          <t>TÄYTÄ TAULUKOT NUMEROJÄRJESTYKSESSÄ</t>
        </r>
        <r>
          <rPr>
            <sz val="10"/>
            <color indexed="81"/>
            <rFont val="Tahoma"/>
            <family val="2"/>
          </rPr>
          <t xml:space="preserve">, JÄRJESTYSNUMERONAPPULAT VASEMMALLA!
INVESTOINNIT TEHDÄÄN YLEENSÄ ALV-HINNOIN! </t>
        </r>
        <r>
          <rPr>
            <b/>
            <sz val="10"/>
            <color indexed="81"/>
            <rFont val="Tahoma"/>
            <family val="2"/>
          </rPr>
          <t xml:space="preserve"> KIRJOITA LUVUT ILMAN SENTTEJÄ KOKONAISLUKUINA! </t>
        </r>
        <r>
          <rPr>
            <sz val="10"/>
            <color indexed="81"/>
            <rFont val="Tahoma"/>
            <family val="2"/>
          </rPr>
          <t xml:space="preserve">
Laskentaohjelmassa täytetään vain keltaisia ruutuja (soluja). Muut solut ovat tarkoituksella lukittu. Laskennan edetessä ohjelma laskee lukittuihin soluihin arvoja. Täytä sivu kerrallaan seuraamalla vasemman reunan numerointia.
</t>
        </r>
        <r>
          <rPr>
            <b/>
            <sz val="10"/>
            <color indexed="81"/>
            <rFont val="Tahoma"/>
            <family val="2"/>
          </rPr>
          <t>Mikäli investointeja ei tehdä voit siirtyä suoraan kohtaan 2. T2 TULOSSUUNNNITELMA</t>
        </r>
        <r>
          <rPr>
            <sz val="10"/>
            <color indexed="81"/>
            <rFont val="Tahoma"/>
            <family val="2"/>
          </rPr>
          <t xml:space="preserve"> 
Rivit 1 - 7: Investoinnit on arvioitava toteutumisajankohdan mukaisesti.
Rivi 9: Käyttöpääoman lisäyksellä tarkoitetaan investoinnin aiheuttamaa pysyvää käyttöpääoman lisätarvetta. 
          Käyttöpääoma = Vaihto-omaisuus + myyntisaamiset - ostovelat - saadut ennakkomaksut.
Rivi 10: Liiketoimintakaupan tavaravarasto ja/tai alkuvaraston hankintahinta 
Rivi 12: Oman pääoman lisäykset.
Rivi 13: Tulorahoitus, joka voidaan käyttää tähän investointiin.
Rivi 14: Pääomalainan lisäys.
Rivi 15: Omistajien antamat velkakirjalainat, omaisuuden ja sijoitusten myynnistä saadut rahat, oman työn ja materiaalin osuus.
</t>
        </r>
        <r>
          <rPr>
            <b/>
            <sz val="10"/>
            <color indexed="81"/>
            <rFont val="Tahoma"/>
            <family val="2"/>
          </rPr>
          <t xml:space="preserve">
Huomioi laskennassa investoinnin vaikutukset kustannuksiin tuleville vuosille: </t>
        </r>
        <r>
          <rPr>
            <sz val="10"/>
            <color indexed="81"/>
            <rFont val="Tahoma"/>
            <family val="2"/>
          </rPr>
          <t xml:space="preserve">
Kone-/laiteinvestoinnit: - raaka-aineet, työvoimakulut, sähkö, vesi, polttoaine, vakuutus, huolto, korjaus, ohjelmat jne...
Kiinteistöinvestoinnit: - lämmitys, sähkö, vesi, kiinteistövero, vakuutus, siivous, vartiointi, jäte jne... 
</t>
        </r>
      </text>
    </comment>
    <comment ref="D16" authorId="1" shapeId="0" xr:uid="{00000000-0006-0000-0100-000001000000}">
      <text>
        <r>
          <rPr>
            <sz val="9"/>
            <color indexed="81"/>
            <rFont val="Tahoma"/>
            <family val="2"/>
          </rPr>
          <t>Tilikauden päättymisvuosi.</t>
        </r>
      </text>
    </comment>
    <comment ref="C20" authorId="0" shapeId="0" xr:uid="{1DEAF4A4-C657-46A8-8340-26A99E72E7B5}">
      <text>
        <r>
          <rPr>
            <b/>
            <sz val="10"/>
            <color indexed="81"/>
            <rFont val="Tahoma"/>
            <family val="2"/>
          </rPr>
          <t xml:space="preserve">Investoinnit, joista voidaan tehdä poistoja ja vähentää arvonlisävero! 
</t>
        </r>
        <r>
          <rPr>
            <sz val="10"/>
            <color indexed="81"/>
            <rFont val="Tahoma"/>
            <family val="2"/>
          </rPr>
          <t>Sosiaali- ja terveyspalvelukäytön investoinneista ei voida vähentää arvonlisäveroa. Kohtaan 3 merkitään investoinnit, joista ei voida vähentää arvonlisäveroa</t>
        </r>
        <r>
          <rPr>
            <b/>
            <sz val="10"/>
            <color indexed="81"/>
            <rFont val="Tahoma"/>
            <family val="2"/>
          </rPr>
          <t xml:space="preserve">. </t>
        </r>
      </text>
    </comment>
    <comment ref="C24" authorId="0" shapeId="0" xr:uid="{10715ED7-5126-4C64-8C42-E4E52737B939}">
      <text>
        <r>
          <rPr>
            <sz val="10"/>
            <color indexed="81"/>
            <rFont val="Tahoma"/>
            <family val="2"/>
          </rPr>
          <t>Rakennukset, kiinteistöt ja rakennelmat, joista voidaan tehdä poistoja, mutta ei voida vähentää arvonlisäveroa.</t>
        </r>
      </text>
    </comment>
    <comment ref="C27" authorId="1" shapeId="0" xr:uid="{E0EF0475-A53B-45B7-9E72-EE2A869A921C}">
      <text>
        <r>
          <rPr>
            <b/>
            <sz val="10"/>
            <color indexed="81"/>
            <rFont val="Tahoma"/>
            <family val="2"/>
          </rPr>
          <t>Investoinnit, joista voidaan vähentää arvonlisävero</t>
        </r>
        <r>
          <rPr>
            <sz val="10"/>
            <color indexed="81"/>
            <rFont val="Tahoma"/>
            <family val="2"/>
          </rPr>
          <t>! Kohtaan 5 ei-vähennyskelpoiset ostot. Niitä ovat sosiaali- ja terveyspalvelualan, yrityskaupan ja yksityiskäytön hankinnat sekä hankinnat ulkomailta ja yksityishenkilöiltä. KIRJOITA LUVUT ILMAN SENTTEJÄ KOKONAISLUKUINA!</t>
        </r>
      </text>
    </comment>
    <comment ref="D27" authorId="1" shapeId="0" xr:uid="{CC087BE0-2ACB-4FF7-B2C6-69ABE0489B40}">
      <text>
        <r>
          <rPr>
            <sz val="10"/>
            <color indexed="81"/>
            <rFont val="Tahoma"/>
            <family val="2"/>
          </rPr>
          <t>Vaihtokaupassa käytä välirahan määrää!</t>
        </r>
      </text>
    </comment>
    <comment ref="C30" authorId="1" shapeId="0" xr:uid="{5AB4698A-8DE1-4859-B9C9-6476E31AF4DF}">
      <text>
        <r>
          <rPr>
            <sz val="10"/>
            <color indexed="81"/>
            <rFont val="Tahoma"/>
            <family val="2"/>
          </rPr>
          <t xml:space="preserve">Investoinnit, joista </t>
        </r>
        <r>
          <rPr>
            <b/>
            <sz val="10"/>
            <color indexed="81"/>
            <rFont val="Tahoma"/>
            <family val="2"/>
          </rPr>
          <t>ei voida vähentää arvonlisäveroa.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Esim. lomamökki henkilökunnan käyttöön tai yrityskaupassa siirtyvä kalusto, osto ulkomailta, osto yksityishenkilöltä ja/tai esim. työsuhdeauto henkilökunnan käyttöön. KIRJOITA LUVUT ILMAN SENTTEJÄ KOKONAISLUKUINA!</t>
        </r>
      </text>
    </comment>
    <comment ref="D30" authorId="1" shapeId="0" xr:uid="{1531E7E3-72A8-489B-883B-BD8D3693EC50}">
      <text>
        <r>
          <rPr>
            <sz val="10"/>
            <color indexed="81"/>
            <rFont val="Tahoma"/>
            <family val="2"/>
          </rPr>
          <t>Vaihtokaupassa käytä välirahan määrää!</t>
        </r>
      </text>
    </comment>
    <comment ref="C32" authorId="1" shapeId="0" xr:uid="{588C156B-7F9F-45E2-A6F7-C48CB7901441}">
      <text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 xml:space="preserve">itse omistetun </t>
        </r>
        <r>
          <rPr>
            <sz val="10"/>
            <color indexed="81"/>
            <rFont val="Tahoma"/>
            <family val="2"/>
          </rPr>
          <t>tontin asfaltointi, salaojitus tms. (sis. alv)
- soranottopaikat, turvesuot tms. (poisto kulutuksen mukaan</t>
        </r>
      </text>
    </comment>
    <comment ref="D32" authorId="1" shapeId="0" xr:uid="{00000000-0006-0000-0100-000011000000}">
      <text>
        <r>
          <rPr>
            <sz val="10"/>
            <color indexed="81"/>
            <rFont val="Tahoma"/>
            <family val="2"/>
          </rPr>
          <t>Vaihtokaupassa käytä välirahan määrää!</t>
        </r>
      </text>
    </comment>
    <comment ref="C35" authorId="0" shapeId="0" xr:uid="{EB98F272-C13B-4F50-A753-0F7C6632D21B}">
      <text>
        <r>
          <rPr>
            <b/>
            <sz val="10"/>
            <color indexed="81"/>
            <rFont val="Tahoma"/>
            <family val="2"/>
          </rPr>
          <t>Aineettoman hyödykkeet, tasapoisto esim. 5 vuotta</t>
        </r>
        <r>
          <rPr>
            <sz val="10"/>
            <color indexed="81"/>
            <rFont val="Tahoma"/>
            <family val="2"/>
          </rPr>
          <t xml:space="preserve">
- Aineettomat oikeudet (patentti, goodwill-arvo, tavaramerkki,
  ostetut atk-ohjelmat tms.)  
- Alv-verollisen liiketoiminnan käytössä olevan vuokra-asunnon 
  ja osakehuoneiston perusparannukseen sis. työt ja tarvikkeet.
- Yrityskaupassa alv 0 % 
- Pitkävaikutteiset kehittämismenot (tuotekehityskustannuksiin 
  sisältyvät ainekulut alv 0 %-hinnoin. Vastaava summa 
  vähennetään 4. E2 LIIKEVAIHTO-  taulukossa.
- Tuotekehityskustannuksiin sisältyvät palkat sotu-maksuineen 
  alv 0 %. Vastaavat summat vähennetään 3. E1 KUSTANNUKSET-
  taulukossa. 
- Pitkävaikutteiset markkinointimenot. Vastaavat summat 
  vähennetään 3. E1 KUSTANNUKSET-  taulukossa. 
- Alv-% painotettu keskiarvo, jos tuotekehityskustannuksia.</t>
        </r>
      </text>
    </comment>
    <comment ref="C38" authorId="0" shapeId="0" xr:uid="{BE10664B-CCF8-4BEB-8B8F-DCF13FEB2029}">
      <text>
        <r>
          <rPr>
            <sz val="10"/>
            <color indexed="81"/>
            <rFont val="Tahoma"/>
            <family val="2"/>
          </rPr>
          <t>Liikehuoneiston ja toimitilojen osakkeiden ja muun sijoitusomaisuuden hankintahinta, joista ei voida vähentää arvonlisäveroa.</t>
        </r>
      </text>
    </comment>
    <comment ref="D40" authorId="0" shapeId="0" xr:uid="{E506E951-9046-4F03-A6F9-AFB355AA1BCC}">
      <text>
        <r>
          <rPr>
            <sz val="10"/>
            <color indexed="81"/>
            <rFont val="Tahoma"/>
            <family val="2"/>
          </rPr>
          <t>Yrityskaupassa ja uuden tuotemyynnin käynnistämiseksi ostettava vaihto-omaisuus "alkuvarasto".</t>
        </r>
      </text>
    </comment>
    <comment ref="D41" authorId="2" shapeId="0" xr:uid="{6CA442C1-DFC1-46F4-A4A8-A966C31E045D}">
      <text>
        <r>
          <rPr>
            <sz val="10"/>
            <color indexed="81"/>
            <rFont val="Tahoma"/>
            <family val="2"/>
          </rPr>
          <t xml:space="preserve">- Liiketoimintakaupan tavaravarasto alv 0 %
- Alkuvarasto sisältää arvonlisäveron. Jos useita eri alv-kantoja, 
  aseta painotettu keskiarvo.
- 0 %, jos yrityksen vuosiliikevaihto alle 15 000 €/ vuosi </t>
        </r>
      </text>
    </comment>
    <comment ref="D48" authorId="1" shapeId="0" xr:uid="{00000000-0006-0000-0100-00001B000000}">
      <text>
        <r>
          <rPr>
            <sz val="10"/>
            <color indexed="81"/>
            <rFont val="Tahoma"/>
            <family val="2"/>
          </rPr>
          <t>Lisää vain osakepääoman korotus! Osakepääomaa voidaan maksaa myös apporttiomaisuutena (esim. koneet ja rakennukset). Omaisuuden arvo merkitään tähän ja samansuuruisena taulukon yläosaan PÄÄOMANTARVE - valitse oikea nimike (alv 0 %).</t>
        </r>
      </text>
    </comment>
    <comment ref="E48" authorId="1" shapeId="0" xr:uid="{00000000-0006-0000-0100-00001C000000}">
      <text>
        <r>
          <rPr>
            <sz val="10"/>
            <color indexed="81"/>
            <rFont val="Tahoma"/>
            <family val="2"/>
          </rPr>
          <t>Lisää vain osakepääoman korotus!</t>
        </r>
      </text>
    </comment>
    <comment ref="F48" authorId="1" shapeId="0" xr:uid="{00000000-0006-0000-0100-00001D000000}">
      <text>
        <r>
          <rPr>
            <sz val="10"/>
            <color indexed="81"/>
            <rFont val="Tahoma"/>
            <family val="2"/>
          </rPr>
          <t>Lisää vain osakepääoman korotus!</t>
        </r>
      </text>
    </comment>
    <comment ref="G48" authorId="1" shapeId="0" xr:uid="{00000000-0006-0000-0100-00001E000000}">
      <text>
        <r>
          <rPr>
            <sz val="10"/>
            <color indexed="81"/>
            <rFont val="Tahoma"/>
            <family val="2"/>
          </rPr>
          <t>Lisää vain osakepääoman korotus!</t>
        </r>
      </text>
    </comment>
    <comment ref="C49" authorId="1" shapeId="0" xr:uid="{00000000-0006-0000-0100-00001F000000}">
      <text>
        <r>
          <rPr>
            <sz val="10"/>
            <color indexed="81"/>
            <rFont val="Tahoma"/>
            <family val="2"/>
          </rPr>
          <t>- Osakepääoman lisäksi voidaan sijoittaa Sijoitetun vapaan pääoman rahastoon (SVOP) oman pääoman ehtoisesti. 
 - Lahjoitukset</t>
        </r>
      </text>
    </comment>
    <comment ref="D49" authorId="1" shapeId="0" xr:uid="{21769E1E-5E71-4D80-BB40-14862E22A3BB}">
      <text>
        <r>
          <rPr>
            <sz val="10"/>
            <color indexed="81"/>
            <rFont val="Tahoma"/>
            <family val="2"/>
          </rPr>
          <t>Vain SVOP-rahaston lisäys! Vähennys merkitään 3. T3 TASEen riville 61.</t>
        </r>
      </text>
    </comment>
    <comment ref="E49" authorId="1" shapeId="0" xr:uid="{D2A96AEC-33D1-499D-9BAE-8E65ADD04D9A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F49" authorId="1" shapeId="0" xr:uid="{00000000-0006-0000-0100-00002200000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G49" authorId="1" shapeId="0" xr:uid="{C3188EBE-BDD9-46E7-B9D6-3A897D802F7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C51" authorId="1" shapeId="0" xr:uid="{399772A3-9EAC-4DA7-9103-20E82E938377}">
      <text>
        <r>
          <rPr>
            <b/>
            <sz val="10"/>
            <color indexed="81"/>
            <rFont val="Tahoma"/>
            <family val="2"/>
          </rPr>
          <t>Pääomalainat merkitään vain tähän, ei taulukkoon 
4. T7 LAINAT</t>
        </r>
        <r>
          <rPr>
            <sz val="10"/>
            <color indexed="81"/>
            <rFont val="Tahoma"/>
            <family val="2"/>
          </rPr>
          <t xml:space="preserve">. 
</t>
        </r>
        <r>
          <rPr>
            <b/>
            <sz val="10"/>
            <color indexed="81"/>
            <rFont val="Tahoma"/>
            <family val="2"/>
          </rPr>
          <t>Omistajalta  saadun velkakirjalainan</t>
        </r>
        <r>
          <rPr>
            <sz val="10"/>
            <color indexed="81"/>
            <rFont val="Tahoma"/>
            <family val="2"/>
          </rPr>
          <t xml:space="preserve"> ehdot määritellään velkakirjassa ja merkitään 4. T7 LAINAT-taulukkoon.</t>
        </r>
      </text>
    </comment>
    <comment ref="D51" authorId="1" shapeId="0" xr:uid="{00000000-0006-0000-0100-000024000000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E51" authorId="1" shapeId="0" xr:uid="{7949653D-E3AA-454F-8F97-79FC76F1D65C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F51" authorId="1" shapeId="0" xr:uid="{5D76C880-E2FA-4276-8B73-59469245499F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G51" authorId="1" shapeId="0" xr:uid="{E5CC1F66-D4AC-4C2F-A150-BE286B8F12BE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C52" authorId="1" shapeId="0" xr:uid="{C79F165B-D418-4A9A-9311-65EEE69D6DF7}">
      <text>
        <r>
          <rPr>
            <sz val="10"/>
            <color indexed="81"/>
            <rFont val="Tahoma"/>
            <family val="2"/>
          </rPr>
          <t xml:space="preserve">Yleisesti rahoittajat edellyttävät, että investointisuunnitelmassa on osoitettu tulorahoituksesta hankkeeseen kohdistettu rahoitus. Oman rahoituksen määrä on oltava yleensä vähintään 20 %. 
</t>
        </r>
        <r>
          <rPr>
            <b/>
            <sz val="10"/>
            <color indexed="81"/>
            <rFont val="Tahoma"/>
            <family val="2"/>
          </rPr>
          <t xml:space="preserve">
Tulorahoituksen lisäksi tähän merkitään yhteissumma näistä oman rahan lähteistä:</t>
        </r>
        <r>
          <rPr>
            <sz val="10"/>
            <color indexed="81"/>
            <rFont val="Tahoma"/>
            <family val="2"/>
          </rPr>
          <t xml:space="preserve">
1) Omistajan antama pitkäaikainen velkakirjalaina, joka merkitään taulukkoon 4. T7 LAINAT.
2) Omaisuuden myynti: Mitä myydään? Lisää summa taulukkoon 3. T3 TASE Vastaavaa/Pysyvät 
    vastaavat riville "Vähennykset tilikaudella".
3) Sijoitusten myynti (jos on TASEessa): Lisää summa myös taulukkoon 3. T3 TASEen soluihin 
    solut H36 - K36. Lisätään vain muistiinpanoalueelle selite kohtaan 12 Tulorahoitus 
    (raha sisältyy tulorahoitusosuuteen). Esim. oman työn ja materiaalin osuus, 
    pankkitalletuksen purkaminen.</t>
        </r>
      </text>
    </comment>
    <comment ref="J53" authorId="1" shapeId="0" xr:uid="{1EA0CFA5-59EC-4902-8179-76212D7AE774}">
      <text>
        <r>
          <rPr>
            <sz val="10"/>
            <color indexed="81"/>
            <rFont val="Tahoma"/>
            <family val="2"/>
          </rPr>
          <t>Informatiivinen taulukko, joka näkyy tulostussivulla. Ei vaikuta laskentaan.</t>
        </r>
      </text>
    </comment>
    <comment ref="M54" authorId="1" shapeId="0" xr:uid="{00000000-0006-0000-0100-00002C000000}">
      <text>
        <r>
          <rPr>
            <sz val="10"/>
            <color indexed="81"/>
            <rFont val="Tahoma"/>
            <family val="2"/>
          </rPr>
          <t>Lyhennysvapaat vuodet + lyhennysvuodet, esim. 1+5.</t>
        </r>
      </text>
    </comment>
    <comment ref="M56" authorId="1" shapeId="0" xr:uid="{BC5B3EA4-6034-42EC-B5E4-616D7AD44F8D}">
      <text>
        <r>
          <rPr>
            <sz val="10"/>
            <color indexed="81"/>
            <rFont val="Tahoma"/>
            <family val="2"/>
          </rPr>
          <t>Lyhennysvapaat vuodet + lyhennysvuodet, esim. 1+5.</t>
        </r>
      </text>
    </comment>
    <comment ref="D58" authorId="1" shapeId="0" xr:uid="{00000000-0006-0000-0100-000030000000}">
      <text>
        <r>
          <rPr>
            <sz val="10"/>
            <color indexed="81"/>
            <rFont val="Tahoma"/>
            <family val="2"/>
          </rPr>
          <t>Leasing-rahoituksen määrä enintään 80 % investoinnista. Merkitään koko rahoitussumma, ei maksuerän suuruutta! Leasingvuokrien vuosikulut merkitään taulukkoon 
5. E1 KUSTANNUKSET riville 75 (Laite- ja kalustovuokrat, leasingvuokrat).</t>
        </r>
      </text>
    </comment>
    <comment ref="M58" authorId="1" shapeId="0" xr:uid="{7EBD64F0-D33C-4809-A293-4BE9A5D23E28}">
      <text>
        <r>
          <rPr>
            <sz val="10"/>
            <color indexed="81"/>
            <rFont val="Tahoma"/>
            <family val="2"/>
          </rPr>
          <t>Osamaksurahoituksessa ei ole lyhennysvapaita vuosia. Muissa lainoissa on mahdollista. Lyhennysvapaat vuodet + lyhennysvuodet, esim.  1 + 5.</t>
        </r>
      </text>
    </comment>
    <comment ref="D59" authorId="1" shapeId="0" xr:uid="{00000000-0006-0000-0100-000034000000}">
      <text>
        <r>
          <rPr>
            <sz val="10"/>
            <color indexed="81"/>
            <rFont val="Tahoma"/>
            <family val="2"/>
          </rPr>
          <t>Leasing-rahoituksen määrä enintään 80 % investoinnista. Merkitään koko rahoitussumma, ei maksuerän suuruutta! Leasingvuokrien vuosikulut merkitään taulukkoon
5. E1 KUSTANNUKSET riville 119 (Leasingkulut alv 0 %).</t>
        </r>
      </text>
    </comment>
    <comment ref="M60" authorId="1" shapeId="0" xr:uid="{273C8823-DC63-4578-8D06-57F0794D1C52}">
      <text>
        <r>
          <rPr>
            <sz val="10"/>
            <color indexed="81"/>
            <rFont val="Tahoma"/>
            <family val="2"/>
          </rPr>
          <t>Lyhennysvapaat vuodet + lyhennysvuodet, esim. 1+5.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Henri Järvinen</author>
  </authors>
  <commentList>
    <comment ref="A2" authorId="0" shapeId="0" xr:uid="{75151B2C-9F9D-42CA-9A04-82107BCDF14C}">
      <text>
        <r>
          <rPr>
            <b/>
            <sz val="10"/>
            <color indexed="81"/>
            <rFont val="Tahoma"/>
            <family val="2"/>
          </rPr>
          <t xml:space="preserve">KIRJOITA RAHASUMMAT ILMAN SENTTEJÄ KOKONAISLUKUINA keltaisiin soluihin! Huomaa etumerkki! 
</t>
        </r>
        <r>
          <rPr>
            <sz val="10"/>
            <color indexed="81"/>
            <rFont val="Tahoma"/>
            <family val="2"/>
          </rPr>
          <t>Voit sijoittaa yksi tai kaksi toteutunutta tilikautta ohjelmaan. Sijoita viimeinen toteutunut tilikausi tai meneillään olevan tilikauden ennuste sarakkeeseen G.</t>
        </r>
      </text>
    </comment>
    <comment ref="I10" authorId="1" shapeId="0" xr:uid="{75D31834-4CA5-4A62-9A3B-4FCEE8A0F68B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E11" authorId="1" shapeId="0" xr:uid="{CB2EF9EA-25F8-406C-9CB7-FEE302320E1E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G11" authorId="1" shapeId="0" xr:uid="{DC8216DD-0121-40F3-8657-EAFBB721665D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1" authorId="2" shapeId="0" xr:uid="{00000000-0006-0000-0200-000001000000}">
      <text>
        <r>
          <rPr>
            <b/>
            <sz val="9"/>
            <color indexed="81"/>
            <rFont val="Tahoma"/>
            <family val="2"/>
          </rPr>
          <t>Ennustevuosien liikevaihdot ennustetaan taulukossa
E2 LIIKEVAIHTO ja täyttöjärjestyksen kohdassa 5.</t>
        </r>
      </text>
    </comment>
    <comment ref="C12" authorId="1" shapeId="0" xr:uid="{00000000-0006-0000-0200-000002000000}">
      <text>
        <r>
          <rPr>
            <sz val="10"/>
            <color indexed="81"/>
            <rFont val="Tahoma"/>
            <family val="2"/>
          </rPr>
          <t xml:space="preserve">Tuotot eivät kuulu varsinaiseen liiketoimintaan, esim. vuokratuotot asunnoista, työllistämis- ja oppisopimustuet, vahinkovakuutuskorvaukset, rojaltit jne. </t>
        </r>
      </text>
    </comment>
    <comment ref="E12" authorId="1" shapeId="0" xr:uid="{837E761D-8A1E-48B1-B127-231FD65100BF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G12" authorId="1" shapeId="0" xr:uid="{7B4E88AE-FBC5-4707-A55D-0D67FA294FB2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2" authorId="1" shapeId="0" xr:uid="{00000000-0006-0000-0200-000003000000}">
      <text>
        <r>
          <rPr>
            <sz val="10"/>
            <color indexed="81"/>
            <rFont val="Tahoma"/>
            <family val="2"/>
          </rPr>
          <t>Muut tuotot voidaan kirjoittaa suoraan soluun tai lisää viereisen Muistiinpanoja-alueen taulukkoon %-kasvu!</t>
        </r>
      </text>
    </comment>
    <comment ref="E13" authorId="1" shapeId="0" xr:uid="{416F0108-61A0-48FD-A1F8-8B543B8F9DCD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G13" authorId="1" shapeId="0" xr:uid="{147DFF83-234B-4A11-9199-7E7CFD111132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E15" authorId="1" shapeId="0" xr:uid="{EB07C40C-8DBC-4460-A301-A396EAB8C43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5" authorId="1" shapeId="0" xr:uid="{5D695AA5-46BB-47FA-82CA-8EEB044F8B6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C16" authorId="1" shapeId="0" xr:uid="{C12F2B10-191B-4E4A-A3C1-CE1F82FAEAD1}">
      <text>
        <r>
          <rPr>
            <sz val="10"/>
            <color indexed="81"/>
            <rFont val="Tahoma"/>
            <family val="2"/>
          </rPr>
          <t>Liikevaihtoon liittyvät esim. alihankinnat, tuotannon vuokratyövoima.</t>
        </r>
      </text>
    </comment>
    <comment ref="E16" authorId="1" shapeId="0" xr:uid="{844E3601-020F-4DF1-A1C1-16CC229DA71C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6" authorId="1" shapeId="0" xr:uid="{57C83A57-4D1F-4445-9937-25CA57A07803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E17" authorId="1" shapeId="0" xr:uid="{27F04433-7CB2-4158-8004-D2DFF45F3C5D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7" authorId="1" shapeId="0" xr:uid="{F4F1EFEB-B609-49DB-BAD7-26DAA36D7045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I17" authorId="1" shapeId="0" xr:uid="{00000000-0006-0000-0200-00000E000000}">
      <text>
        <r>
          <rPr>
            <sz val="10"/>
            <color indexed="81"/>
            <rFont val="Tahoma"/>
            <family val="2"/>
          </rPr>
          <t>Sisältää myös lomapalkan sivukuluineen! Mikäli lomapalkkoja ei makseta, voit poistaa ne kohdassa 2. T3 TASE -&gt; 5. Siirtovelat -&gt; Lomapalkkavelat.
Kirjanpidossa henkilöstökuluihin on lisättävä työntekijän ansaitsemat laskennalliset lomarahat, jonka vuoksi solun luku on suurempi kuin henkilöstökulut 5. E1 KUSTANNUKSET-taulukossa.</t>
        </r>
      </text>
    </comment>
    <comment ref="E18" authorId="1" shapeId="0" xr:uid="{CC220CB2-4B46-47A5-924B-C517F8EA24E4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8" authorId="1" shapeId="0" xr:uid="{9D912D4F-667E-40CE-85AC-82B5C14E0677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C19" authorId="0" shapeId="0" xr:uid="{C9E79BB0-F68E-4D31-9D7E-360C518228A6}">
      <text>
        <r>
          <rPr>
            <sz val="10"/>
            <color indexed="81"/>
            <rFont val="Tahoma"/>
            <family val="2"/>
          </rPr>
          <t>Varaston muutos eli vaihto-omaisuuden muutos edelliseen tilikauteen (T3 Tase, rivi 39).</t>
        </r>
      </text>
    </comment>
    <comment ref="E21" authorId="1" shapeId="0" xr:uid="{00000000-0006-0000-0200-000014000000}">
      <text>
        <r>
          <rPr>
            <sz val="10"/>
            <color indexed="81"/>
            <rFont val="Tahoma"/>
            <family val="2"/>
          </rPr>
          <t xml:space="preserve">Kirjoita etumerkki miinukseksi kokonaislukuina ilman senttejä!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G21" authorId="1" shapeId="0" xr:uid="{5D86D8C5-BF41-4260-86CF-F0F481ACEA3F}">
      <text>
        <r>
          <rPr>
            <sz val="10"/>
            <color indexed="81"/>
            <rFont val="Tahoma"/>
            <family val="2"/>
          </rPr>
          <t xml:space="preserve">Kirjoita etumerkki miinukseksi!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E25" authorId="1" shapeId="0" xr:uid="{6F4C6428-87B1-4091-BF8D-D8309E8B630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25" authorId="1" shapeId="0" xr:uid="{CCDA6E1E-020F-40A1-956F-F5506A595955}">
      <text>
        <r>
          <rPr>
            <sz val="10"/>
            <color indexed="81"/>
            <rFont val="Tahoma"/>
            <family val="2"/>
          </rPr>
          <t>Kirjoita etumerkki miinukseksi!</t>
        </r>
      </text>
    </comment>
    <comment ref="I27" authorId="1" shapeId="0" xr:uid="{00000000-0006-0000-0200-000018000000}">
      <text>
        <r>
          <rPr>
            <sz val="10"/>
            <color indexed="81"/>
            <rFont val="Tahoma"/>
            <family val="2"/>
          </rPr>
          <t>Kaava laskee verot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alla olevan veroprosentin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mukaan huomioiden edustusmenojen 50 %:n verovähennyksen. Henkilöyhtiöissä voidaan nollata. Edellisen vuoden tappiot voit vähentää itse.
</t>
        </r>
        <r>
          <rPr>
            <b/>
            <sz val="10"/>
            <color indexed="81"/>
            <rFont val="Tahoma"/>
            <family val="2"/>
          </rPr>
          <t>Osakkeita tai kiinteistöä myytäessä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>ota huomioon luovutusvoiton vero ja hankintameno-olettama.</t>
        </r>
      </text>
    </comment>
    <comment ref="I28" authorId="1" shapeId="0" xr:uid="{00000000-0006-0000-0200-000019000000}">
      <text>
        <r>
          <rPr>
            <sz val="10"/>
            <color indexed="81"/>
            <rFont val="Tahoma"/>
            <family val="2"/>
          </rPr>
          <t>Osakeyhtiön ja osuuskunnan tulovero on 20 %. Jos nollataan, on kohta 20 TILIKAUDEN VOITTO/TAPPIO verotettavan tulon määrä.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2" authorId="0" shapeId="0" xr:uid="{CA6E38D8-BFB5-45D1-A853-DF5891828723}">
      <text>
        <r>
          <rPr>
            <b/>
            <sz val="10"/>
            <color indexed="81"/>
            <rFont val="Tahoma"/>
            <family val="2"/>
          </rPr>
          <t>1. KIRJOITA RAHASUMMAT ILMAN SENTTEJÄ KOKONAISLUKUINA!</t>
        </r>
        <r>
          <rPr>
            <sz val="10"/>
            <color indexed="81"/>
            <rFont val="Tahoma"/>
            <family val="2"/>
          </rPr>
          <t xml:space="preserve">
2. Täytä ensimmäisellä kerralla (vaihe 3 ) vain toteutuneet tilikaudet.
3. Tarkista erityisesti solujen H86, H89 ja H95 prosenttiluvut!
4. Lisää lyhytaikaiset rahalaitoslainat soluihin H78 - K78.
5. </t>
        </r>
        <r>
          <rPr>
            <b/>
            <sz val="10"/>
            <color indexed="81"/>
            <rFont val="Tahoma"/>
            <family val="2"/>
          </rPr>
          <t xml:space="preserve">Tärkeää! </t>
        </r>
        <r>
          <rPr>
            <sz val="10"/>
            <color indexed="81"/>
            <rFont val="Tahoma"/>
            <family val="2"/>
          </rPr>
          <t>Lisää toteutuneiden kausien tilinpäätöksistä "Taseen liitetiedot" 
   luvut kohtaan "G.4 Muut lyhytaikaiset velat"</t>
        </r>
      </text>
    </comment>
    <comment ref="F14" authorId="1" shapeId="0" xr:uid="{0FD55740-37BE-4422-8F6E-B58AD41DEFE3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14" authorId="1" shapeId="0" xr:uid="{FF80C1C6-9BF9-4E33-8027-D1DF49E72E64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H15" authorId="1" shapeId="0" xr:uid="{00000000-0006-0000-0300-000001000000}">
      <text>
        <r>
          <rPr>
            <sz val="10"/>
            <color indexed="81"/>
            <rFont val="Tahoma"/>
            <family val="2"/>
          </rPr>
          <t>1. T1 INVESTOINTISUUNNITELMA-taulukon kohdasta 7. Aineettomat hyödykkeet. Summasta vähennetty avustus.</t>
        </r>
      </text>
    </comment>
    <comment ref="M15" authorId="1" shapeId="0" xr:uid="{00000000-0006-0000-0300-000002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16" authorId="1" shapeId="0" xr:uid="{00409523-3F19-4E03-8154-981183CE84AF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17" authorId="1" shapeId="0" xr:uid="{00000000-0006-0000-0300-000007000000}">
      <text>
        <r>
          <rPr>
            <b/>
            <sz val="10"/>
            <color indexed="81"/>
            <rFont val="Tahoma"/>
            <family val="2"/>
          </rPr>
          <t>Enimmäispoistot verotuksessa:
-</t>
        </r>
        <r>
          <rPr>
            <sz val="10"/>
            <color indexed="81"/>
            <rFont val="Tahoma"/>
            <family val="2"/>
          </rPr>
          <t xml:space="preserve"> patentit, liikearvo, tavaramerkki yms. 10 - 25 %
- vuokra- ja osakehuoneiston perusparannus 10 - 25 %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17" authorId="1" shapeId="0" xr:uid="{2981C1F1-BCE0-4878-857D-21AF97DEBE84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17" authorId="1" shapeId="0" xr:uid="{00000000-0006-0000-0300-000009000000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20" authorId="1" shapeId="0" xr:uid="{00000000-0006-0000-0300-00000A000000}">
      <text>
        <r>
          <rPr>
            <sz val="10"/>
            <color indexed="81"/>
            <rFont val="Tahoma"/>
            <family val="2"/>
          </rPr>
          <t>1. T1 INVESTOINTISUUNNITELMA-taulukon kohdasta 1. Maa-alueet. Summasta vähennetty avustus.</t>
        </r>
      </text>
    </comment>
    <comment ref="H21" authorId="1" shapeId="0" xr:uid="{1E30CE4F-FF14-409F-BC8A-93A180C7F4BA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H23" authorId="1" shapeId="0" xr:uid="{00000000-0006-0000-0300-00000F000000}">
      <text>
        <r>
          <rPr>
            <sz val="10"/>
            <color indexed="81"/>
            <rFont val="Tahoma"/>
            <family val="2"/>
          </rPr>
          <t xml:space="preserve">1. T1 INVESTOINTISUUNNITELMA-taulukon kohdasta 2. ja 3. Rakennukset ja rakennelmat. Summasta vähennetty avustukset ja alv-palautus. </t>
        </r>
      </text>
    </comment>
    <comment ref="M23" authorId="1" shapeId="0" xr:uid="{00000000-0006-0000-0300-000010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4" authorId="1" shapeId="0" xr:uid="{E2ACE110-ACA1-4E03-BC79-05792E0F1690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25" authorId="1" shapeId="0" xr:uid="{00000000-0006-0000-0300-000015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tuotantotilat, myymälät 7 %
- asuin-, toimisto- tms. tilat 4 %
- säiliöt, kevyet rakennelmat 20 %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25" authorId="1" shapeId="0" xr:uid="{39EF7283-25D7-4CBC-9736-CFAAAA4D2919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5" authorId="1" shapeId="0" xr:uid="{60200956-1AFA-405A-BBAB-E89B4E741D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27" authorId="1" shapeId="0" xr:uid="{00000000-0006-0000-0300-000018000000}">
      <text>
        <r>
          <rPr>
            <sz val="10"/>
            <color indexed="81"/>
            <rFont val="Tahoma"/>
            <family val="2"/>
          </rPr>
          <t>1. T1 INVESTOINTISUUNNITELMA-taulukon kohdasta 4. ja 5. Koneet ja kalusto. Summasta vähennetty leasingrahoitus, avustukset ja alv-palautus.</t>
        </r>
      </text>
    </comment>
    <comment ref="M27" authorId="1" shapeId="0" xr:uid="{00000000-0006-0000-0300-00001C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8" authorId="1" shapeId="0" xr:uid="{97064766-B2DF-4DC4-BE29-7E39C43F1FEF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29" authorId="1" shapeId="0" xr:uid="{00000000-0006-0000-0300-000021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koneet ja kalusto 25 % (50 % eli kaksinkertaiset poistot
  uusiin kone- ja laiteinvestointeihin vuosina 2024–2025). 
  Koskee vain uutta kalustoa, joten laske keskimääräinen 
  poistoprosentti.
- poikkeus ammattiliikenteen ajoneuvot 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 xml:space="preserve">on mahdollista, kun kirjoitat vuosipoistoprosentin nollaksi ja kirjoitat tasapoiston suoraan soluun oikealla.
</t>
        </r>
      </text>
    </comment>
    <comment ref="H29" authorId="1" shapeId="0" xr:uid="{BF74860F-841C-407F-89A3-E7EE3072A958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9" authorId="1" shapeId="0" xr:uid="{F5CFD511-74B8-4A87-A31A-74F410057C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F30" authorId="1" shapeId="0" xr:uid="{00000000-0006-0000-0300-000024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0" authorId="1" shapeId="0" xr:uid="{4F7F22CD-5A66-4612-A4F8-4BC54D806A08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1" authorId="1" shapeId="0" xr:uid="{00000000-0006-0000-0300-000026000000}">
      <text>
        <r>
          <rPr>
            <sz val="10"/>
            <color indexed="81"/>
            <rFont val="Tahoma"/>
            <family val="2"/>
          </rPr>
          <t>1. T1 INVESTOINTISUUNNITELMA-taulukon kohdasta 6. Muut aineelliset hyödykkeet. Summasta vähennetty avustukset ja alv-palautus.</t>
        </r>
      </text>
    </comment>
    <comment ref="M31" authorId="1" shapeId="0" xr:uid="{00000000-0006-0000-0300-000027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32" authorId="1" shapeId="0" xr:uid="{8F9FF387-F78A-4C59-92A2-A8D22C736D48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33" authorId="1" shapeId="0" xr:uid="{00000000-0006-0000-0300-00002C000000}">
      <text>
        <r>
          <rPr>
            <sz val="10"/>
            <color indexed="81"/>
            <rFont val="Tahoma"/>
            <family val="2"/>
          </rPr>
          <t>-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asfaltointimeno 10 - 25 %
- soranottopaikat tms. kulutuksen mukaan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Tasapoiston käyttö on mahdollista, kun kirjoitat vuosipoistoprosentin nollaksi ja kirjoitat tasapoiston suoraan soluun oikealla.</t>
        </r>
      </text>
    </comment>
    <comment ref="H33" authorId="1" shapeId="0" xr:uid="{A225D948-55C9-49E7-90B6-57207B35B817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33" authorId="1" shapeId="0" xr:uid="{77037BBF-D0B9-4C71-84DD-C5C38195C745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35" authorId="1" shapeId="0" xr:uid="{00000000-0006-0000-0300-00002F000000}">
      <text>
        <r>
          <rPr>
            <sz val="10"/>
            <color indexed="81"/>
            <rFont val="Tahoma"/>
            <family val="2"/>
          </rPr>
          <t>Luku siirtynyt 1. T1 INVESTOINTISUUNNITELMAn kohdasta 8. Sijoitukset. Voidaan muuttaa.</t>
        </r>
      </text>
    </comment>
    <comment ref="F39" authorId="1" shapeId="0" xr:uid="{E7D47286-C58A-49A3-AE88-D6F909DB1F6C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39" authorId="1" shapeId="0" xr:uid="{41A23FD1-8650-4FAC-A880-6DB0F5BCC76E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C40" authorId="1" shapeId="0" xr:uid="{2DCBA766-B1A5-4713-BCD8-89833A20509C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 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F40" authorId="1" shapeId="0" xr:uid="{00000000-0006-0000-0300-000034000000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G40" authorId="1" shapeId="0" xr:uid="{1F597A18-9E30-4AF6-99D8-BC8C3AD75CDD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H40" authorId="1" shapeId="0" xr:uid="{2C42EE1B-388B-4C25-9148-A04FD97B0FDF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C43" authorId="1" shapeId="0" xr:uid="{00000000-0006-0000-0300-00003A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43" authorId="1" shapeId="0" xr:uid="{00000000-0006-0000-0300-00003B000000}">
      <text>
        <r>
          <rPr>
            <sz val="10"/>
            <color indexed="81"/>
            <rFont val="Tahoma"/>
            <family val="2"/>
          </rPr>
          <t>Luku siirtyy 8. T4 RAHOITUSSUUNNITELMA-taulukosta soluista H52 - K52.</t>
        </r>
      </text>
    </comment>
    <comment ref="H45" authorId="1" shapeId="0" xr:uid="{00000000-0006-0000-0300-00003F000000}">
      <text>
        <r>
          <rPr>
            <sz val="10"/>
            <color indexed="81"/>
            <rFont val="Tahoma"/>
            <family val="2"/>
          </rPr>
          <t>Luku siirtyy 8. T4 RAHOITUSSUUNNITELMA-taulukosta soluista H55 - K55.</t>
        </r>
      </text>
    </comment>
    <comment ref="F46" authorId="1" shapeId="0" xr:uid="{00000000-0006-0000-0300-000043000000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ELY-keskuksen
  avustus kuin investointiavustus </t>
        </r>
      </text>
    </comment>
    <comment ref="G46" authorId="1" shapeId="0" xr:uid="{BA681B3E-5379-4208-88B9-57353077DE82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ELY-keskuksen
  avustus kuin investointiavustus </t>
        </r>
      </text>
    </comment>
    <comment ref="F47" authorId="1" shapeId="0" xr:uid="{00000000-0006-0000-0300-000045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G47" authorId="1" shapeId="0" xr:uid="{00000000-0006-0000-0300-000046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H49" authorId="1" shapeId="0" xr:uid="{00000000-0006-0000-0300-000047000000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I49" authorId="1" shapeId="0" xr:uid="{B0ED23CD-C446-488D-AA92-1BA0B4F0929B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9. T4 RAHOITUSSUUNNITELMAn solut H43 - K43.</t>
        </r>
      </text>
    </comment>
    <comment ref="J49" authorId="1" shapeId="0" xr:uid="{BFB1C2DA-AB54-4F72-812A-BBCC92229C66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9. T4 RAHOITUSSUUNNITELMAn solut H43 - K43.</t>
        </r>
      </text>
    </comment>
    <comment ref="K49" authorId="1" shapeId="0" xr:uid="{73DD1601-8FAA-469A-8D85-3AEC4EA81403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9. T4 RAHOITUSSUUNNITELMAn solut H43 - K43.</t>
        </r>
      </text>
    </comment>
    <comment ref="F57" authorId="1" shapeId="0" xr:uid="{D6D0E1CA-FB51-44C2-8325-AEE02F48BC03}">
      <text>
        <r>
          <rPr>
            <sz val="10"/>
            <color indexed="81"/>
            <rFont val="Tahoma"/>
            <family val="2"/>
          </rPr>
          <t>Kirjoita taulukon luvut kokonaislukuna ilman senttejä! Toiminimi-, avoin- ja kommandiittiyhtiössä luku voi sisältää yksityisotot, ja luku voi olla negatiivinen.</t>
        </r>
      </text>
    </comment>
    <comment ref="G57" authorId="1" shapeId="0" xr:uid="{1A20528F-9A4D-492C-9473-89C04E134830}">
      <text>
        <r>
          <rPr>
            <sz val="10"/>
            <color indexed="81"/>
            <rFont val="Tahoma"/>
            <family val="2"/>
          </rPr>
          <t>Kirjoita taulukon luvut kokonaislukuna ilman senttejä! Toiminimi-, avoin- ja kommandiittiyhtiössä luku voi sisältää yksityisotot, ja luku voi olla negatiivinen.</t>
        </r>
      </text>
    </comment>
    <comment ref="H57" authorId="1" shapeId="0" xr:uid="{0CC86F6B-6472-4D54-A4C1-BF3035DCC379}">
      <text>
        <r>
          <rPr>
            <sz val="10"/>
            <color indexed="81"/>
            <rFont val="Tahoma"/>
            <family val="2"/>
          </rPr>
          <t>Lukuun sisältyy myös pääomalainan akordi.</t>
        </r>
      </text>
    </comment>
    <comment ref="F59" authorId="1" shapeId="0" xr:uid="{98EF3938-A323-450C-8374-90917B4398B0}">
      <text>
        <r>
          <rPr>
            <sz val="10"/>
            <color indexed="81"/>
            <rFont val="Tahoma"/>
            <family val="2"/>
          </rPr>
          <t>Jos yksityisottoja ei ole vähennetty valmiiksi kohdasta C. 1 tai C. 2, voidaan ne vähentää tilikauden "C. 2 Edellisten tilikausien voitot"-luvusta.</t>
        </r>
      </text>
    </comment>
    <comment ref="G59" authorId="1" shapeId="0" xr:uid="{15ACA460-BA14-4EF7-BFAA-FB3DB7940043}">
      <text>
        <r>
          <rPr>
            <sz val="10"/>
            <color indexed="81"/>
            <rFont val="Tahoma"/>
            <family val="2"/>
          </rPr>
          <t>Jos yksityisottoja ei ole vähennetty, kohdasta C. 1 tai C. 2, voidaan ne vähentää tilikauden "C. 2 Edellisten tilikausien voitot"-luvusta.</t>
        </r>
      </text>
    </comment>
    <comment ref="H59" authorId="1" shapeId="0" xr:uid="{D20370AA-B840-4639-B9F6-BA30C6F027A5}">
      <text>
        <r>
          <rPr>
            <sz val="10"/>
            <color indexed="81"/>
            <rFont val="Tahoma"/>
            <family val="2"/>
          </rPr>
          <t xml:space="preserve">Luku siirtyy 8. T4 RAHOITUSSUUNNITELMA-taulukosta kohdasta 23. Osingonjako/yksityisotot.  </t>
        </r>
        <r>
          <rPr>
            <b/>
            <sz val="10"/>
            <color indexed="81"/>
            <rFont val="Tahoma"/>
            <family val="2"/>
          </rPr>
          <t>Osingon nosto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
C.4 Tilikauden voitto/tappio)</t>
        </r>
      </text>
    </comment>
    <comment ref="F61" authorId="1" shapeId="0" xr:uid="{436436EA-53EA-4B56-AB08-7E6CBE62ADDC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G61" authorId="1" shapeId="0" xr:uid="{00000000-0006-0000-0300-000054000000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H61" authorId="1" shapeId="0" xr:uid="{ABD9E467-B74B-4D60-977F-D83919F49BD1}">
      <text>
        <r>
          <rPr>
            <sz val="10"/>
            <color indexed="81"/>
            <rFont val="Tahoma"/>
            <family val="2"/>
          </rPr>
          <t xml:space="preserve">Sidotun vapaan pääoman rahaston (SVOP) lisäys siirtyy tähän 1. T1 INVESTOINTISUUNN.-taulukon kohdasta 
12. SVOP-sijoituksen palautus merkitään soluun lukua pienentämällä. 
</t>
        </r>
        <r>
          <rPr>
            <b/>
            <sz val="10"/>
            <color indexed="81"/>
            <rFont val="Tahoma"/>
            <family val="2"/>
          </rPr>
          <t>SVOP-palautus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voitot+C.4 Tilikauden voitto/tappio)</t>
        </r>
      </text>
    </comment>
    <comment ref="H63" authorId="1" shapeId="0" xr:uid="{5300171B-E7BA-4A4D-871F-E80EE37ABECF}">
      <text>
        <r>
          <rPr>
            <sz val="10"/>
            <color indexed="81"/>
            <rFont val="Tahoma"/>
            <family val="2"/>
          </rPr>
          <t>Korjaa poistoeron määrän 
2. T2 TULOSSUUNNITELMAn kohdan 18. mukaan.</t>
        </r>
      </text>
    </comment>
    <comment ref="F64" authorId="1" shapeId="0" xr:uid="{00000000-0006-0000-0300-000055000000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G64" authorId="1" shapeId="0" xr:uid="{824FCA8F-C8BA-4D00-B006-33E86726CC48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F66" authorId="1" shapeId="0" xr:uid="{00000000-0006-0000-0300-00005B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Tuleva todennäköinen menetys, esim. luottotappio, joka ei vielä varmistunut.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6" authorId="1" shapeId="0" xr:uid="{00000000-0006-0000-0300-00005C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Tuleva todennäköinen menetys, esim. luottotappio, joka ei vielä varmistunut.
</t>
        </r>
      </text>
    </comment>
    <comment ref="F67" authorId="1" shapeId="0" xr:uid="{00000000-0006-0000-0300-00005D0000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G67" authorId="1" shapeId="0" xr:uid="{00000000-0006-0000-0300-00005E0000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F68" authorId="1" shapeId="0" xr:uid="{FC563078-E4EB-4CF8-8F36-BB639CD371EB}">
      <text>
        <r>
          <rPr>
            <sz val="10"/>
            <color indexed="81"/>
            <rFont val="Tahoma"/>
            <family val="2"/>
          </rPr>
          <t>Sisältää myös eläkelainat ja omistajilta saadut velkakirjalainat.
(Varmista, että luku on ilman seuraavan vuoden lyhennystä.)</t>
        </r>
      </text>
    </comment>
    <comment ref="G68" authorId="1" shapeId="0" xr:uid="{29100D3B-F6A1-4A00-9323-FEF6D162E0FA}">
      <text>
        <r>
          <rPr>
            <sz val="10"/>
            <color indexed="81"/>
            <rFont val="Tahoma"/>
            <family val="2"/>
          </rPr>
          <t>Sisältää myös eläkelainat ja omistajilta saadut velkakirjalainat.
(Varmista, että luku on ilman seuraavan vuoden lyhennystä.)</t>
        </r>
      </text>
    </comment>
    <comment ref="H69" authorId="0" shapeId="0" xr:uid="{895B5C5C-28C0-4BF9-B0F2-A97DD7B45050}">
      <text>
        <r>
          <rPr>
            <sz val="10"/>
            <color indexed="81"/>
            <rFont val="Tahoma"/>
            <family val="2"/>
          </rPr>
          <t>Laskee pääomalainan lisäyksen taulukosta
1. T1 INVESTOINTISUUNNITELMA kohdasta 14. 
Lisää korkoprosentti taulukkoon 4. T7 LAINAT, rivi 47 "Pääomalainojen korot".</t>
        </r>
      </text>
    </comment>
    <comment ref="I69" authorId="0" shapeId="0" xr:uid="{C2039FDE-48BD-4255-B49F-9F6D55B3ABD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J69" authorId="0" shapeId="0" xr:uid="{7080C849-5F2A-41C5-BE56-2A6CB09C1C3F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K69" authorId="0" shapeId="0" xr:uid="{09A89F00-FBC2-4B10-B8BA-1BB1649D0AC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H70" authorId="1" shapeId="0" xr:uid="{00000000-0006-0000-0300-000065000000}">
      <text>
        <r>
          <rPr>
            <sz val="10"/>
            <color indexed="81"/>
            <rFont val="Tahoma"/>
            <family val="2"/>
          </rPr>
          <t>Tarkoitetaan pääomalainan konvertointia/muuttamista  osakepääomaksi (akordi).</t>
        </r>
      </text>
    </comment>
    <comment ref="F72" authorId="1" shapeId="0" xr:uid="{00000000-0006-0000-0300-000069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G72" authorId="1" shapeId="0" xr:uid="{00000000-0006-0000-0300-00006A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F73" authorId="1" shapeId="0" xr:uid="{00000000-0006-0000-0300-00006B000000}">
      <text>
        <r>
          <rPr>
            <sz val="10"/>
            <color indexed="81"/>
            <rFont val="Tahoma"/>
            <family val="2"/>
          </rPr>
          <t>Pitkäaikainen osamaksuvelka ilman seuraavan vuoden lyhennystä.</t>
        </r>
      </text>
    </comment>
    <comment ref="G73" authorId="1" shapeId="0" xr:uid="{00000000-0006-0000-0300-00006C000000}">
      <text>
        <r>
          <rPr>
            <sz val="10"/>
            <color indexed="81"/>
            <rFont val="Tahoma"/>
            <family val="2"/>
          </rPr>
          <t>Nykyinen pitkäaikainen (päättyy yli vuoden päästä) osamaksuvelka ilman seuraavan vuoden lyhennystä.</t>
        </r>
      </text>
    </comment>
    <comment ref="F74" authorId="1" shapeId="0" xr:uid="{46B9F8CB-1296-4F4C-AB08-56DB4F60FA6D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G74" authorId="1" shapeId="0" xr:uid="{099D5E12-AE5E-4DF9-B18F-2AC681059D3F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H74" authorId="1" shapeId="0" xr:uid="{3E663865-D600-4FF2-8881-C8D53D058874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tilikauden lopussa merkitään tähän. Lisää korkoprosentti taulukkoon 4. T7 LAINAT, rivi 48 . Velkakirjalainat merkitään taulukkoon 4. T7 LAINAT kohtaan "Uudet pitkäaikaiset lainat". </t>
        </r>
      </text>
    </comment>
    <comment ref="I74" authorId="1" shapeId="0" xr:uid="{82C8CBBD-FCFA-48C4-97B2-AFD7111B372D}">
      <text>
        <r>
          <rPr>
            <sz val="10"/>
            <color indexed="81"/>
            <rFont val="Tahoma"/>
            <family val="2"/>
          </rPr>
          <t>Lainaa lyhennetään pienentämällä saldoa.</t>
        </r>
      </text>
    </comment>
    <comment ref="F75" authorId="1" shapeId="0" xr:uid="{00000000-0006-0000-0300-000073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G75" authorId="1" shapeId="0" xr:uid="{00000000-0006-0000-0300-000074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F77" authorId="1" shapeId="0" xr:uid="{B782669E-057C-44FB-84EC-7B78F504C378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G77" authorId="1" shapeId="0" xr:uid="{00000000-0006-0000-0300-000076000000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H77" authorId="1" shapeId="0" xr:uid="{FE0C652C-51E3-4F36-BFD9-A3A86B7C47D9}">
      <text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F78" authorId="1" shapeId="0" xr:uid="{6FB7A8A1-D219-4566-816C-C475D5C66EB9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G78" authorId="1" shapeId="0" xr:uid="{0B8C4660-2AE6-468A-A9D7-EEFC3310DC15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8" authorId="1" shapeId="0" xr:uid="{B43E217D-F601-47AD-91D6-C08F98F66A67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9" authorId="1" shapeId="0" xr:uid="{BC49FD22-6348-4718-978F-A9E7ECCF097C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Pääoman muutokset siirtyvät
8. T4 RAHOITUSSUUNNITELMAan. Lisää korkoprosentti 
4. T7 LAINAT riville 47.</t>
        </r>
      </text>
    </comment>
    <comment ref="C82" authorId="1" shapeId="0" xr:uid="{00000000-0006-0000-0300-000084000000}">
      <text>
        <r>
          <rPr>
            <sz val="10"/>
            <color indexed="81"/>
            <rFont val="Tahoma"/>
            <family val="2"/>
          </rPr>
          <t xml:space="preserve">Luku kertoo kuinka nopeasti yritys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F82" authorId="1" shapeId="0" xr:uid="{1D28703A-5319-4CA6-8AD9-A409E243EA26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G82" authorId="1" shapeId="0" xr:uid="{89A9BDE0-9760-4407-AB6B-D982CFF304CA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H82" authorId="1" shapeId="0" xr:uid="{00000000-0006-0000-0300-000087000000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F83" authorId="1" shapeId="0" xr:uid="{E322A128-B678-48C0-8693-5E90BC048A5D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G83" authorId="1" shapeId="0" xr:uid="{F898550C-9BFD-4285-97EE-EA92BEF7235E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F85" authorId="1" shapeId="0" xr:uid="{419C68AE-71FF-4721-B908-65E26C349641}">
      <text>
        <r>
          <rPr>
            <sz val="10"/>
            <color indexed="81"/>
            <rFont val="Tahoma"/>
            <family val="2"/>
          </rPr>
          <t>Jos on maksettu palkkoja tilinpäätöskuukautena, on ennakonpidätykset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5" authorId="1" shapeId="0" xr:uid="{D0478551-8154-4FFD-9CEB-B1E53BEA7925}">
      <text>
        <r>
          <rPr>
            <sz val="10"/>
            <color indexed="81"/>
            <rFont val="Tahoma"/>
            <family val="2"/>
          </rPr>
          <t>Jos on maksettu palkkoja tilinpäätöskuukautena, on ennakonpidätykset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H85" authorId="1" shapeId="0" xr:uid="{C576EB39-2817-42E7-B138-27FE729052AE}">
      <text>
        <r>
          <rPr>
            <sz val="10"/>
            <color indexed="81"/>
            <rFont val="Tahoma"/>
            <family val="2"/>
          </rPr>
          <t>Luku sisältää vain ennakonpidätysvelan tilikauden lopussa.</t>
        </r>
      </text>
    </comment>
    <comment ref="H86" authorId="1" shapeId="0" xr:uid="{00000000-0006-0000-0300-00008D000000}">
      <text>
        <r>
          <rPr>
            <sz val="10"/>
            <color indexed="81"/>
            <rFont val="Tahoma"/>
            <family val="2"/>
          </rPr>
          <t>Kaikkien palkkaa saavien keskim. veronpidätysprosentti.</t>
        </r>
      </text>
    </comment>
    <comment ref="F87" authorId="1" shapeId="0" xr:uid="{E82A45E8-E4EF-4439-8C32-E23CA9AFA9E0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7" authorId="1" shapeId="0" xr:uid="{DC7743CF-A7F2-405C-A4A0-B95D76E0C486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88" authorId="1" shapeId="0" xr:uid="{D7F3DA00-7BED-426F-91A0-4B983BC8CB94}">
      <text>
        <r>
          <rPr>
            <sz val="10"/>
            <color indexed="81"/>
            <rFont val="Tahoma"/>
            <family val="2"/>
          </rPr>
          <t xml:space="preserve">Tilinpäätöshetkellä yrityksellä on 2 kuukauden arvonlisäverot maksamatta. 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yrityksen vuosiliikevaihto alle 15 000 euroa
- jos yritys on käännetyn arvonlisäveron piirissä 
 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G88" authorId="1" shapeId="0" xr:uid="{CD921EEE-C991-4453-8503-8B090A2304BF}">
      <text>
        <r>
          <rPr>
            <sz val="10"/>
            <color indexed="81"/>
            <rFont val="Tahoma"/>
            <family val="2"/>
          </rPr>
          <t xml:space="preserve">Tilinpäätöshetkellä yrityksellä on 2 kuukauden arvonlisäverot maksamatta. 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yrityksen vuosiliikevaihto alle 15 000 euroa
- jos yritys on käännetyn arvonlisäveron piirissä 
 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H88" authorId="1" shapeId="0" xr:uid="{00000000-0006-0000-0300-00008E000000}">
      <text>
        <r>
          <rPr>
            <sz val="10"/>
            <color indexed="81"/>
            <rFont val="Tahoma"/>
            <family val="2"/>
          </rPr>
          <t xml:space="preserve">Tilinpäätöshetkellä yrityksellä on 2 kuukauden arvonlisäverot maksamatta. 
</t>
        </r>
        <r>
          <rPr>
            <b/>
            <sz val="10"/>
            <color indexed="81"/>
            <rFont val="Tahoma"/>
            <family val="2"/>
          </rPr>
          <t>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yrityksen vuosiliikevaihto alle 15 000 euroa
- jos yritys on käännetyn arvonlisäveron piirissä 
  (rakennusalan aliurakoitsija)</t>
        </r>
      </text>
    </comment>
    <comment ref="F89" authorId="1" shapeId="0" xr:uid="{00000000-0006-0000-0300-00008F000000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ALV-rästejä. </t>
        </r>
      </text>
    </comment>
    <comment ref="G89" authorId="1" shapeId="0" xr:uid="{EAD38B45-DC5A-4AD1-BCE9-65728A59114F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ALV-rästejä. </t>
        </r>
      </text>
    </comment>
    <comment ref="F90" authorId="1" shapeId="0" xr:uid="{7E77E037-BCBC-402D-8E5D-4C41CE3C0C4A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>Lukuun voi sisältyä myös luvut 
- ennakonpidätysvelka (tai ennakonpidätys- ja
  sotumaksuvelka verotilillä/OmaVerossa)
- sosiaaliturvamaksuvelka
- arvonlisäverovelka
- lomapalkkavelat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90" authorId="1" shapeId="0" xr:uid="{026F77DE-69EB-4F4E-8127-4BBE3B05A783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 xml:space="preserve">Lukuun voi sisältyä myös luvut 
</t>
        </r>
        <r>
          <rPr>
            <sz val="10"/>
            <color indexed="81"/>
            <rFont val="Tahoma"/>
            <family val="2"/>
          </rPr>
          <t>- ennakonpidätysvelka (tai ennakonpidätys- ja
  sotumaksuvelka verotilillä/OmaVerossa)
- sosiaaliturvamaksuvelka
- arvonlisäverovelka
- lomapalkkavelat</t>
        </r>
        <r>
          <rPr>
            <b/>
            <sz val="10"/>
            <color indexed="81"/>
            <rFont val="Tahoma"/>
            <family val="2"/>
          </rPr>
          <t xml:space="preserve">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92" authorId="1" shapeId="0" xr:uid="{4169BC08-DCC2-465C-B51F-7266B7F3A82A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G92" authorId="1" shapeId="0" xr:uid="{088404A8-3FBE-4DF3-A181-72288F5F52FC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H92" authorId="1" shapeId="0" xr:uid="{CB09DB64-272E-4C66-A238-C42574606486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F93" authorId="1" shapeId="0" xr:uid="{52847CB8-FE5F-459B-B608-766B1F720D0F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G93" authorId="1" shapeId="0" xr:uid="{EBC55736-B117-487B-8D7E-804FFC347BF8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H93" authorId="1" shapeId="0" xr:uid="{00000000-0006-0000-0300-00009500000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I93" authorId="1" shapeId="0" xr:uid="{9C6AD58C-EE92-443C-B6FA-A252AA87DFA4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J93" authorId="1" shapeId="0" xr:uid="{D2520E2D-F04C-44CF-B7D4-156A8BF20D1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K93" authorId="1" shapeId="0" xr:uid="{69FA6FFF-95B6-457F-9358-8915981D5342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H95" authorId="1" shapeId="0" xr:uid="{00000000-0006-0000-0300-000099000000}">
      <text>
        <r>
          <rPr>
            <sz val="10"/>
            <color indexed="81"/>
            <rFont val="Tahoma"/>
            <family val="2"/>
          </rPr>
          <t>YEL-palkoista syntyvistä lomapalkoista ei makseta eläkemaksua, mutta muita sosiaalimaksuja 3 %.
Työntekijäpalkoista yritys maksaa sivukuluja 
- TyEL-maksua 17,34 % 
- Sairausvakuutusmaksua 1,16 %
- Työttömyysvakuutusmaksua 0,27 %
- Tapaturma- ja henkivakuutusmaksua 0,62 %
Yhteensä 19,34 %
Jos molempia palkkoja, arvioi painotettu keskiarvo.</t>
        </r>
      </text>
    </comment>
    <comment ref="F96" authorId="1" shapeId="0" xr:uid="{58DFB113-BC87-4F18-A214-1DF7F8779FD2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  <comment ref="G96" authorId="1" shapeId="0" xr:uid="{DA0563EE-C6CA-4D7D-843D-040D93A7E531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BB2A8F0C-C6C2-415D-A086-7081831C09A2}">
      <text>
        <r>
          <rPr>
            <sz val="10"/>
            <color indexed="81"/>
            <rFont val="Tahoma"/>
            <family val="2"/>
          </rPr>
          <t xml:space="preserve">VAIN ALKUPERÄISEN SUUNNITELMAN MUKAISET LAINANLYHENNYKSET!
Ylimääräiset lainanlyhennykset / lyhennyserien muutokset merkitään taulukkoon 8. T4 RAHOITUSSUUNNITELMA -taulukon kohtaan 19.
- TARKISTA RIVIT 46, 47 ja 48 KORKOPROSENTIT!
</t>
        </r>
        <r>
          <rPr>
            <b/>
            <sz val="10"/>
            <color indexed="81"/>
            <rFont val="Tahoma"/>
            <family val="2"/>
          </rPr>
          <t>Kirjoita luvut ilman senttejä kokonaislukuina.</t>
        </r>
      </text>
    </comment>
    <comment ref="B7" authorId="1" shapeId="0" xr:uid="{39D4E12F-3F93-412D-9BA2-121961ECDF26}">
      <text>
        <r>
          <rPr>
            <sz val="10"/>
            <color indexed="81"/>
            <rFont val="Tahoma"/>
            <family val="2"/>
          </rPr>
          <t>Velka tai sen osa,</t>
        </r>
        <r>
          <rPr>
            <b/>
            <sz val="10"/>
            <color indexed="81"/>
            <rFont val="Tahoma"/>
            <family val="2"/>
          </rPr>
          <t xml:space="preserve"> joka erääntyy maksettavaksi yhtä vuotta pidempänä aikana</t>
        </r>
        <r>
          <rPr>
            <sz val="10"/>
            <color indexed="81"/>
            <rFont val="Tahoma"/>
            <family val="2"/>
          </rPr>
          <t>. Sisältää myös eläkelainat ja omistajilta saadut velkakirjalainat. Luku löytyy tilinpäätöksen kohdasta Tase / Vastaavaa / Pitkäaikainen vieras pääoma, kohta "Lainat rahalaitoksilta". (Varmista, että luvut eivät sisällä ennuste 1-vuoden lyhennystä.)</t>
        </r>
      </text>
    </comment>
    <comment ref="C7" authorId="1" shapeId="0" xr:uid="{802EC2A4-134E-4497-A4D4-217A225D273E}">
      <text>
        <r>
          <rPr>
            <sz val="10"/>
            <color indexed="81"/>
            <rFont val="Tahoma"/>
            <family val="2"/>
          </rPr>
          <t xml:space="preserve">Velka tai sen osa, joka erääntyy maksettavaksi </t>
        </r>
        <r>
          <rPr>
            <b/>
            <sz val="10"/>
            <color indexed="81"/>
            <rFont val="Tahoma"/>
            <family val="2"/>
          </rPr>
          <t>yhtä vuotta pidempänä aikana</t>
        </r>
        <r>
          <rPr>
            <sz val="10"/>
            <color indexed="81"/>
            <rFont val="Tahoma"/>
            <family val="2"/>
          </rPr>
          <t xml:space="preserve">.
Esim. 5 vuoden laina 100 000 €. Lainasta on neljä vuotta pitkäaikaista ja yksi vuosi lyhytaikaista lainaa eli merkitään tähän lainamääräksi 80 000 €. </t>
        </r>
      </text>
    </comment>
    <comment ref="B11" authorId="1" shapeId="0" xr:uid="{00000000-0006-0000-0800-000001000000}">
      <text>
        <r>
          <rPr>
            <sz val="10"/>
            <color indexed="81"/>
            <rFont val="Tahoma"/>
            <family val="2"/>
          </rPr>
          <t>Kirjoita rahoittaja/rahoitettava kohde.
Pääomalaina merkitään 
1. T1 INVESTOINTISUUNNITELMA kohtaan 14.</t>
        </r>
      </text>
    </comment>
    <comment ref="C11" authorId="1" shapeId="0" xr:uid="{635F9DF6-C722-4578-828A-BEFA8B20C815}">
      <text>
        <r>
          <rPr>
            <sz val="10"/>
            <color indexed="81"/>
            <rFont val="Tahoma"/>
            <family val="2"/>
          </rPr>
          <t>Luku löytyy tilinpäätöksen TASE-ERITTELYSTÄ, jossa kaikki pitkäaikaiset lainat ovat eritelty. Varmista</t>
        </r>
        <r>
          <rPr>
            <b/>
            <sz val="10"/>
            <color indexed="81"/>
            <rFont val="Tahoma"/>
            <family val="2"/>
          </rPr>
          <t>, että lukuun ei sisälly Ennuste 1-vuoden lyhennystä. 
Jos lainan takaisinmaksuaika on 1 vuosi, on laina lyhytaikainen,</t>
        </r>
        <r>
          <rPr>
            <sz val="10"/>
            <color indexed="81"/>
            <rFont val="Tahoma"/>
            <family val="2"/>
          </rPr>
          <t xml:space="preserve"> joka merkitään taulukkoon 3. T3 TASE -&gt; soluun G78.
</t>
        </r>
        <r>
          <rPr>
            <b/>
            <sz val="10"/>
            <color indexed="81"/>
            <rFont val="Tahoma"/>
            <family val="2"/>
          </rPr>
          <t>Esimerkki</t>
        </r>
        <r>
          <rPr>
            <sz val="10"/>
            <color indexed="81"/>
            <rFont val="Tahoma"/>
            <family val="2"/>
          </rPr>
          <t xml:space="preserve">
Lainaa aikaa jäljellä 5 vuotta = Pitkäaikaista lainaa 4 vuotta ja lyhytaikaista lainaa 1 vuosi.</t>
        </r>
      </text>
    </comment>
    <comment ref="D11" authorId="1" shapeId="0" xr:uid="{00000000-0006-0000-0800-000003000000}">
      <text>
        <r>
          <rPr>
            <sz val="10"/>
            <color indexed="81"/>
            <rFont val="Tahoma"/>
            <family val="2"/>
          </rPr>
          <t>Laina-aikaa jäljellä (vuotta) sisältää myös 1. ennustevuoden.</t>
        </r>
        <r>
          <rPr>
            <b/>
            <sz val="10"/>
            <color indexed="81"/>
            <rFont val="Tahoma"/>
            <family val="2"/>
          </rPr>
          <t xml:space="preserve"> Kirjoita kokonaislukuna!</t>
        </r>
        <r>
          <rPr>
            <sz val="10"/>
            <color indexed="81"/>
            <rFont val="Tahoma"/>
            <family val="2"/>
          </rPr>
          <t xml:space="preserve"> Jos lainan takaisinmaksuaika on 1 vuosi, on laina lyhytaikainen. Summa merkitään T3 TASE soluun G78.</t>
        </r>
      </text>
    </comment>
    <comment ref="E11" authorId="1" shapeId="0" xr:uid="{00000000-0006-0000-0800-000004000000}">
      <text>
        <r>
          <rPr>
            <sz val="10"/>
            <color indexed="81"/>
            <rFont val="Tahoma"/>
            <family val="2"/>
          </rPr>
          <t>Lyhytaikaisen lainan korko merkitään taulukon alareunaan kohtaan "Lyhytaikaisten lainojen korot".</t>
        </r>
      </text>
    </comment>
    <comment ref="F11" authorId="1" shapeId="0" xr:uid="{00000000-0006-0000-0800-000005000000}">
      <text>
        <r>
          <rPr>
            <sz val="10"/>
            <color indexed="81"/>
            <rFont val="Tahoma"/>
            <family val="2"/>
          </rPr>
          <t>Luku löytyy tilinpäätöksen TASE-ERITTELYSTÄ, jossa on eritelty kaikkien pitkäaikaisten lainojen seuraavan vuoden lyhennys. Tulevien vuosien lyhennys voi poiketa tästä luvusta.</t>
        </r>
      </text>
    </comment>
    <comment ref="B17" authorId="1" shapeId="0" xr:uid="{023FD2B8-A4A2-47ED-82F8-7A476DEAC776}">
      <text>
        <r>
          <rPr>
            <sz val="10"/>
            <color indexed="81"/>
            <rFont val="Tahoma"/>
            <family val="2"/>
          </rPr>
          <t>Luotollinen tili merkitään pitkäaikaisena lainana. Laina-ajaksi esim. 20 vuotta, jos luottolimiitti on yleensä kokonaan käytössä.</t>
        </r>
      </text>
    </comment>
    <comment ref="C18" authorId="1" shapeId="0" xr:uid="{27177A07-4724-4A2A-8C4A-1754651044A0}">
      <text>
        <r>
          <rPr>
            <sz val="10"/>
            <color indexed="81"/>
            <rFont val="Tahoma"/>
            <family val="2"/>
          </rPr>
          <t>Varmista, että luku on sama kuin solu G68 3. T3 TASEessa !! Jos lainan takaisinmaksuaika on 1 vuosi, on laina lyhytaikainen ja summa merkitään 3. T3 TASE soluun G78.</t>
        </r>
      </text>
    </comment>
    <comment ref="F18" authorId="1" shapeId="0" xr:uid="{425DE09F-D8D3-4753-9BE0-43D2C7DB31A4}">
      <text>
        <r>
          <rPr>
            <sz val="10"/>
            <color indexed="81"/>
            <rFont val="Tahoma"/>
            <family val="2"/>
          </rPr>
          <t>Varmista, että luku on sama kuin solu 3. G77 T3 TASEessa !! Jos lainan takaisinmaksuaika on 1 vuosi, on laina lyhytaikainen ja summa merkitään 3. T3 TASE soluun G78.</t>
        </r>
      </text>
    </comment>
    <comment ref="D19" authorId="1" shapeId="0" xr:uid="{00000000-0006-0000-0800-000007000000}">
      <text>
        <r>
          <rPr>
            <b/>
            <sz val="10"/>
            <color indexed="81"/>
            <rFont val="Tahoma"/>
            <family val="2"/>
          </rPr>
          <t xml:space="preserve">Osamaksuvelan taikaisinmaksuaika on oltava kokonaisluku. </t>
        </r>
        <r>
          <rPr>
            <sz val="10"/>
            <color indexed="81"/>
            <rFont val="Tahoma"/>
            <family val="2"/>
          </rPr>
          <t>Pyöristetään alaspäin. Jos lainan takaisinmaksuaika on 1 vuosi, on laina lyhytaikainen. Summa merkitään 3. T3 TASE soluun G78.</t>
        </r>
      </text>
    </comment>
    <comment ref="B24" authorId="1" shapeId="0" xr:uid="{00000000-0006-0000-0800-000009000000}">
      <text>
        <r>
          <rPr>
            <sz val="10"/>
            <color indexed="81"/>
            <rFont val="Tahoma"/>
            <family val="2"/>
          </rPr>
          <t>Pääomalaina merkitään
1. T1 INVESTOINTISUUNNITELMA kohtaan 14.</t>
        </r>
      </text>
    </comment>
    <comment ref="D24" authorId="1" shapeId="0" xr:uid="{00000000-0006-0000-0800-00000A000000}">
      <text>
        <r>
          <rPr>
            <sz val="10"/>
            <color indexed="81"/>
            <rFont val="Tahoma"/>
            <family val="2"/>
          </rPr>
          <t>Laina-aika (vuotta)
Jos lainan takaisinmaksuaika on 1 vuosi, on laina lyhytaikainen. Summa merkitään 3. T3 TASE soluun H78.</t>
        </r>
      </text>
    </comment>
    <comment ref="G24" authorId="1" shapeId="0" xr:uid="{00000000-0006-0000-0800-00000B000000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J24" authorId="1" shapeId="0" xr:uid="{AA102D90-A90F-4DC7-8B4C-1D3AD08BDE86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J28" authorId="1" shapeId="0" xr:uid="{65F35E4F-D174-4D25-8B65-48B4750142DA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M28" authorId="1" shapeId="0" xr:uid="{078ECF23-6CEB-437B-A13B-9E0F1166715B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M32" authorId="1" shapeId="0" xr:uid="{48F7B332-AAEF-4ECE-9730-C1D5E2B67D7A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2" authorId="1" shapeId="0" xr:uid="{9A926849-6BE1-4DF4-A8F7-39A9BEFB64F0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P36" authorId="1" shapeId="0" xr:uid="{F7DFF66D-6A9C-4688-B2D9-FF8AA4513847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41" authorId="1" shapeId="0" xr:uid="{00000000-0006-0000-0800-000015000000}">
      <text>
        <r>
          <rPr>
            <sz val="10"/>
            <color indexed="81"/>
            <rFont val="Tahoma"/>
            <family val="2"/>
          </rPr>
          <t>Voit kirjoittaa rahoittajan nimen ja mitä osamaksulla on rahoitettu.</t>
        </r>
      </text>
    </comment>
    <comment ref="D41" authorId="1" shapeId="0" xr:uid="{00000000-0006-0000-0800-000016000000}">
      <text>
        <r>
          <rPr>
            <b/>
            <sz val="10"/>
            <color indexed="81"/>
            <rFont val="Tahoma"/>
            <family val="2"/>
          </rPr>
          <t xml:space="preserve">Luvun on oltava kokonaisluku. </t>
        </r>
        <r>
          <rPr>
            <sz val="10"/>
            <color indexed="81"/>
            <rFont val="Tahoma"/>
            <family val="2"/>
          </rPr>
          <t>Osamaksuvelan lyhin laina-aika on 2 vuotta.</t>
        </r>
      </text>
    </comment>
    <comment ref="C46" authorId="1" shapeId="0" xr:uid="{7CEFFA36-6A97-4AF4-9055-0C8D773FD112}">
      <text>
        <r>
          <rPr>
            <sz val="10"/>
            <color indexed="81"/>
            <rFont val="Tahoma"/>
            <family val="2"/>
          </rPr>
          <t>Siirtyy taulukosta 3. T3 TASE, solu G78</t>
        </r>
      </text>
    </comment>
    <comment ref="E46" authorId="0" shapeId="0" xr:uid="{9048E873-AC6A-4BDA-9BD6-3C42CEBFE123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7" authorId="1" shapeId="0" xr:uid="{00E3B892-4C0C-41BF-95E0-A429B58CAB09}">
      <text>
        <r>
          <rPr>
            <sz val="10"/>
            <color indexed="81"/>
            <rFont val="Tahoma"/>
            <family val="2"/>
          </rPr>
          <t>Siirtyy 3. T3 TASEen soluista G69 ja G79.</t>
        </r>
      </text>
    </comment>
    <comment ref="E47" authorId="0" shapeId="0" xr:uid="{8A7C6F8C-F55D-46C9-8F42-F0C6C74803D0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8" authorId="1" shapeId="0" xr:uid="{386DBB12-AF0C-45E8-AE24-391B293099DF}">
      <text>
        <r>
          <rPr>
            <sz val="10"/>
            <color indexed="81"/>
            <rFont val="Tahoma"/>
            <family val="2"/>
          </rPr>
          <t>Siirtyy 3. T3 TASEen solusta G74.</t>
        </r>
      </text>
    </comment>
    <comment ref="E48" authorId="0" shapeId="0" xr:uid="{D669020F-4DB5-47F4-8039-7FDBA056C3FF}">
      <text>
        <r>
          <rPr>
            <sz val="10"/>
            <color indexed="81"/>
            <rFont val="Tahoma"/>
            <family val="2"/>
          </rPr>
          <t>Lisää korko-%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A3" authorId="0" shapeId="0" xr:uid="{00E52F5C-0A3B-4CDA-9C5F-40440B365A76}">
      <text>
        <r>
          <rPr>
            <b/>
            <sz val="10"/>
            <color indexed="81"/>
            <rFont val="Tahoma"/>
            <family val="2"/>
          </rPr>
          <t>KAIKKI LUVUT + MERKKISINÄ!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Aloita sarakkeesta D toteutuneen tilikauden tiedoilla kohdasta 3. LIIKETOIMINNAN MUUT KULUT. </t>
        </r>
        <r>
          <rPr>
            <sz val="10"/>
            <color indexed="81"/>
            <rFont val="Tahoma"/>
            <family val="2"/>
          </rPr>
          <t xml:space="preserve">
Jos Ennuste 1 - tilikauden pituus on muu kuin 12 kk, muuta kulut vastaavasti. 
</t>
        </r>
        <r>
          <rPr>
            <b/>
            <sz val="10"/>
            <color indexed="81"/>
            <rFont val="Tahoma"/>
            <family val="2"/>
          </rPr>
          <t>Kirjoita luvut ilman senttejä kokonaislukuina.</t>
        </r>
      </text>
    </comment>
    <comment ref="F10" authorId="0" shapeId="0" xr:uid="{7F8E3DDC-8ED3-41C4-8E63-B39E85F1D49C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F13" authorId="0" shapeId="0" xr:uid="{FB96E913-AA63-4DAF-B170-8D0E61561208}">
      <text>
        <r>
          <rPr>
            <b/>
            <sz val="10"/>
            <color indexed="81"/>
            <rFont val="Tahoma"/>
            <family val="2"/>
          </rPr>
          <t>YKSITYISOTTO (Tmi, Ky, Ay) merkitään taulukkoon 
8. T4 RAHOITUSSUUNNITELMAn soluun H39 - K39.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Muista lisätä/tarkistaa YEL-työtulon määrä solussa F35!
Toiminimiyrittäjä, liikkeenharjoittaja
</t>
        </r>
        <r>
          <rPr>
            <sz val="10"/>
            <color indexed="81"/>
            <rFont val="Tahoma"/>
            <family val="2"/>
          </rPr>
          <t xml:space="preserve">ei voi maksaa palkkaa itselleen, puolisolleen tai alle 14-vuotiaalle lapselleen. Yrittäjä nostaa itselleen rahaa yrityksen tililtä yksityisottona. 
</t>
        </r>
        <r>
          <rPr>
            <b/>
            <sz val="10"/>
            <color indexed="81"/>
            <rFont val="Tahoma"/>
            <family val="2"/>
          </rPr>
          <t xml:space="preserve">Avoimen ja kommandiittiyhtiön
</t>
        </r>
        <r>
          <rPr>
            <sz val="10"/>
            <color indexed="81"/>
            <rFont val="Tahoma"/>
            <family val="2"/>
          </rPr>
          <t xml:space="preserve">yhtiömies voi maksaa itselleen palkkaa ja/tai tehdä yksityisottoja.
</t>
        </r>
        <r>
          <rPr>
            <b/>
            <sz val="10"/>
            <color indexed="81"/>
            <rFont val="Tahoma"/>
            <family val="2"/>
          </rPr>
          <t xml:space="preserve">Osakeyhtiö
</t>
        </r>
        <r>
          <rPr>
            <sz val="10"/>
            <color indexed="81"/>
            <rFont val="Tahoma"/>
            <family val="2"/>
          </rPr>
          <t>normaalisti yrittäjä maksaa itselleen palkkaa, mutta palkanmaksu ei ole pakollista. Yksityisottoja ei voi nostaa osakeyhtiössä.</t>
        </r>
      </text>
    </comment>
    <comment ref="P13" authorId="0" shapeId="0" xr:uid="{F582E6ED-2EFC-4415-87C1-A9636AF977D7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14" authorId="0" shapeId="0" xr:uid="{8C983D83-D768-4C6E-9D74-C7A4534581B3}">
      <text>
        <r>
          <rPr>
            <sz val="10"/>
            <color indexed="81"/>
            <rFont val="Tahoma"/>
            <family val="2"/>
          </rPr>
          <t>Luontoisetuja ei voi antaa toiminimiyrittäjälle. Avoimessa ja kommandiittiyhtiössä mahdollista, jos yhtiömiehille maksetaan palkkaa.</t>
        </r>
      </text>
    </comment>
    <comment ref="F15" authorId="0" shapeId="0" xr:uid="{00000000-0006-0000-0900-000002000000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16" authorId="0" shapeId="0" xr:uid="{2DE7EBBE-2D7C-441C-86F6-C80075D86C00}">
      <text>
        <r>
          <rPr>
            <sz val="10"/>
            <color indexed="81"/>
            <rFont val="Tahoma"/>
            <family val="2"/>
          </rPr>
          <t>Kaikkien YEL-yrittäjien keskimääräinen ennakkoveron pidätys-%.</t>
        </r>
      </text>
    </comment>
    <comment ref="C17" authorId="0" shapeId="0" xr:uid="{F2FDFAB8-4B50-4DB3-A7E3-E724011AA160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19" authorId="0" shapeId="0" xr:uid="{00000000-0006-0000-0900-000008000000}">
      <text>
        <r>
          <rPr>
            <sz val="10"/>
            <color indexed="81"/>
            <rFont val="Tahoma"/>
            <family val="2"/>
          </rPr>
          <t>Työtunnit kuukaudessa
- 8 h päivässä = 172 h/kk
- 7,6 h päivässä = 162 h/kk
- 7,5 h päivässä = 150 h/kk</t>
        </r>
      </text>
    </comment>
    <comment ref="F21" authorId="0" shapeId="0" xr:uid="{589107FF-CB45-493B-BB80-62CA2E36D616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23" authorId="0" shapeId="0" xr:uid="{2BE058F1-0DCB-4039-BF72-E821501970A1}">
      <text>
        <r>
          <rPr>
            <sz val="10"/>
            <color indexed="81"/>
            <rFont val="Tahoma"/>
            <family val="2"/>
          </rPr>
          <t>Kaikkien ryhmään 1.2 kuuluvien henkilöiden  keskimääräinen ennakkoveron pidätys-%.</t>
        </r>
      </text>
    </comment>
    <comment ref="C24" authorId="0" shapeId="0" xr:uid="{1A22485A-0EDF-4C34-ABA6-17566841E9F4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27" authorId="0" shapeId="0" xr:uid="{6C61E533-8DCA-49A9-9DDC-6080D6920075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29" authorId="0" shapeId="0" xr:uid="{C805A720-8CE1-44C8-BBE2-7FBF0C6D20FC}">
      <text>
        <r>
          <rPr>
            <sz val="10"/>
            <color indexed="81"/>
            <rFont val="Tahoma"/>
            <family val="2"/>
          </rPr>
          <t>Kaikkien ryhmään 1.3 kuuluvien henkilöiden  keskimääräinen ennakkoveron pidätys-%.</t>
        </r>
      </text>
    </comment>
    <comment ref="F33" authorId="1" shapeId="0" xr:uid="{B3A4EC67-1E1E-4ECA-AF84-60B42BE72146}">
      <text>
        <r>
          <rPr>
            <sz val="10"/>
            <color indexed="81"/>
            <rFont val="Tahoma"/>
            <family val="2"/>
          </rPr>
          <t>Yritys maksaa vakuutusyhtiölle TyEL-maksua keskimäärin 17,34 % palkoista.</t>
        </r>
      </text>
    </comment>
    <comment ref="F35" authorId="0" shapeId="0" xr:uid="{07A9474B-C226-4645-BB40-F9120011EA4C}">
      <text>
        <r>
          <rPr>
            <sz val="10"/>
            <color indexed="81"/>
            <rFont val="Tahoma"/>
            <family val="2"/>
          </rPr>
          <t>Kaikkien YEL-yrittäjien työtulo kohdan 1 palkkatulon mukaan yhteensä. YEL-työtulon tulisi vastata työstä saatavaa palkkaa. Lukua voidaan muuttaa.
Työtulo voi olla nolla vain, jos yrittäjän eläketurva on järjestetty toisessa yrityksessä.</t>
        </r>
      </text>
    </comment>
    <comment ref="F36" authorId="1" shapeId="0" xr:uid="{9665CEB6-1564-4C81-942F-526B8EC9FC3D}">
      <text>
        <r>
          <rPr>
            <b/>
            <sz val="10"/>
            <color indexed="81"/>
            <rFont val="Tahoma"/>
            <family val="2"/>
          </rPr>
          <t>YEL-vakuutusmaksut keskimäärin</t>
        </r>
        <r>
          <rPr>
            <sz val="10"/>
            <color indexed="81"/>
            <rFont val="Tahoma"/>
            <family val="2"/>
          </rPr>
          <t xml:space="preserve">
- 18-52 -vuotiailla 24,10 % vahvistetusta YEL-työtulosta. 
- 53-62 -vuotiailla 25,60 % vahvistetusta YEL-työtulosta.
- 63-68 -vuotiailla 24,10 % YEL-työtulosta
Aloittava yritys saa 22 % alennuksen eläkemaksuista ensimmäiset neljä vuotta.
- 18 - 52 -vuotiaan alennettu 18,8 %
- 53 - 62 -vuotiaan alennettu 19,9 %
- 63 - 68 -vuotiaan alennettu 18,8 %</t>
        </r>
      </text>
    </comment>
    <comment ref="F40" authorId="1" shapeId="0" xr:uid="{6A3CA459-D85E-4E7F-92B1-F95BC2FDBB05}">
      <text>
        <r>
          <rPr>
            <b/>
            <sz val="10"/>
            <color indexed="81"/>
            <rFont val="Tahoma"/>
            <family val="2"/>
          </rPr>
          <t xml:space="preserve">Yritys maksaa  
</t>
        </r>
        <r>
          <rPr>
            <sz val="10"/>
            <color indexed="81"/>
            <rFont val="Tahoma"/>
            <family val="2"/>
          </rPr>
          <t>- valtiolle sairausvakuutusmaksua 1,16 %
- vakuutusyhtiölle Tapaturmavakuutusta 0,57 % (tapaturma-alttiilla 
  aloilla jopa 7 %) ja henkivakuutusta 0,06 % 
- Työttömyysvakuutusta 0,27 %
Yhteensä 2,06 %, korota tapaturma-alttiilla aloilla.</t>
        </r>
      </text>
    </comment>
    <comment ref="F41" authorId="1" shapeId="0" xr:uid="{566FC3FB-C35C-4B4D-BD66-F15D2B4B9861}">
      <text>
        <r>
          <rPr>
            <sz val="10"/>
            <color indexed="81"/>
            <rFont val="Tahoma"/>
            <family val="2"/>
          </rPr>
          <t>- vapaaehtoinen tapaturma- ja ammattitautivakuutus 
  1,7 % YEL-työtulosta
- sairausvakuutusmaksu 1,16 % palkkatulosta</t>
        </r>
      </text>
    </comment>
    <comment ref="C43" authorId="0" shapeId="0" xr:uid="{00000000-0006-0000-0900-000020000000}">
      <text>
        <r>
          <rPr>
            <sz val="10"/>
            <color indexed="81"/>
            <rFont val="Tahoma"/>
            <family val="2"/>
          </rPr>
          <t>Henkivakuutusmaksut, sairaskuluvakuutus, matkavakuutus mm.</t>
        </r>
      </text>
    </comment>
    <comment ref="O47" authorId="0" shapeId="0" xr:uid="{56AD32A6-EE1B-4F20-9AC3-AD0E6299C10A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C51" authorId="0" shapeId="0" xr:uid="{F6D54711-EA16-4B94-88B3-497A475FF644}">
      <text>
        <r>
          <rPr>
            <sz val="10"/>
            <color indexed="81"/>
            <rFont val="Tahoma"/>
            <family val="2"/>
          </rPr>
          <t>Henkilökunnan ruokailu, lounasetu, henkilöstön hankinta, sisäiset palaverit, lahjat henkilökunnalle mm.</t>
        </r>
      </text>
    </comment>
    <comment ref="D53" authorId="1" shapeId="0" xr:uid="{98AF8ED4-1974-4531-AA97-D052A4F9D426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F53" authorId="1" shapeId="0" xr:uid="{60263D49-CB0C-4C2D-A76F-89114F71D503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D61" authorId="0" shapeId="0" xr:uid="{00000000-0006-0000-0900-000027000000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F61" authorId="0" shapeId="0" xr:uid="{140B1ED6-07C3-48B1-9857-8C9F7655FBC8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C63" authorId="0" shapeId="0" xr:uid="{C7DF4865-8814-4C50-8BFC-D90DF860FAAB}">
      <text>
        <r>
          <rPr>
            <sz val="10"/>
            <color indexed="81"/>
            <rFont val="Tahoma"/>
            <family val="2"/>
          </rPr>
          <t>Alv 0 % ajoneuvokulut kohtaan 
3.18 Ajoneuvo- ja konekulut, yksityiskäyttö</t>
        </r>
      </text>
    </comment>
    <comment ref="F64" authorId="0" shapeId="0" xr:uid="{A7833D0B-1E72-47AD-B026-BEBD4BE647AB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64" authorId="0" shapeId="0" xr:uid="{9B2815F2-B935-4FE4-89E5-60DFC2617B2C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64" authorId="0" shapeId="0" xr:uid="{64298609-B241-4071-B350-D508F87BB745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64" authorId="0" shapeId="0" xr:uid="{B0E4E293-C691-48A8-A6BB-17FBCBDD361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0" authorId="0" shapeId="0" xr:uid="{6DFD2BA9-374E-464C-8C2D-05E61CC94E4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H70" authorId="0" shapeId="0" xr:uid="{7D99E347-9ACF-43B2-AD52-215A28EEC48F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0" authorId="0" shapeId="0" xr:uid="{10AF408E-B77D-47C7-931B-71E2C5EB7262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0" authorId="0" shapeId="0" xr:uid="{7FD7730E-3D81-41CB-BE1B-F9A2450994F8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2" authorId="1" shapeId="0" xr:uid="{A6FE83CB-89AF-4CF7-B0E4-DE00CB9A5C21}">
      <text>
        <r>
          <rPr>
            <sz val="10"/>
            <color indexed="81"/>
            <rFont val="Tahoma"/>
            <family val="2"/>
          </rPr>
          <t>Kaikki tavanomaiset Atk-laitteet kuuluvat tähän ryhmään.</t>
        </r>
      </text>
    </comment>
    <comment ref="C74" authorId="0" shapeId="0" xr:uid="{833A0A11-779F-47CB-9EDA-58808675C78E}">
      <text>
        <r>
          <rPr>
            <sz val="10"/>
            <color indexed="81"/>
            <rFont val="Tahoma"/>
            <family val="2"/>
          </rPr>
          <t>Ei liikekäyttö -koneiden kulut kohtaan 
3.18 Ajoneuvo- ja konekulut, yksityiskäyttö.</t>
        </r>
      </text>
    </comment>
    <comment ref="F75" authorId="0" shapeId="0" xr:uid="{CAF62E18-ADEF-4C47-ABB5-C0E7A52623B6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75" authorId="0" shapeId="0" xr:uid="{57DB587E-4E7E-4D80-9544-37C0D798012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5" authorId="0" shapeId="0" xr:uid="{C8BFDD0F-0B4C-4519-B511-8B05E07E70B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5" authorId="0" shapeId="0" xr:uid="{94766098-A4B8-48B0-9AF9-826444E411B4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O75" authorId="0" shapeId="0" xr:uid="{57694E72-4DAE-491F-BEBB-279A0AB295DD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77" authorId="1" shapeId="0" xr:uid="{1E1550BD-6B14-4C5B-9F03-83C3193E903C}">
      <text>
        <r>
          <rPr>
            <b/>
            <sz val="10"/>
            <color indexed="81"/>
            <rFont val="Tahoma"/>
            <family val="2"/>
          </rPr>
          <t>Pienhankinnat ja hankinnat, joiden käyttöikä on alle 3 vuotta</t>
        </r>
        <r>
          <rPr>
            <sz val="10"/>
            <color indexed="81"/>
            <rFont val="Tahoma"/>
            <family val="2"/>
          </rPr>
          <t xml:space="preserve">
eli voidaan vähentää verotuksessa kuluna yhdellä kerralla</t>
        </r>
      </text>
    </comment>
    <comment ref="F81" authorId="0" shapeId="0" xr:uid="{46CB95CA-F421-4A45-B2CB-A8AB59438FCF}">
      <text>
        <r>
          <rPr>
            <sz val="10"/>
            <color indexed="81"/>
            <rFont val="Tahoma"/>
            <family val="2"/>
          </rPr>
          <t>Yritys voi maksaa palkansaajalleen  yhden ruokailun/kokopäiväraha.</t>
        </r>
      </text>
    </comment>
    <comment ref="D86" authorId="0" shapeId="0" xr:uid="{00000000-0006-0000-0900-00002D000000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F86" authorId="0" shapeId="0" xr:uid="{C156D1AC-6162-4A1B-BDB5-D763E6B736EF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O89" authorId="0" shapeId="0" xr:uid="{56728908-99AF-44BC-8DF6-4757020F72E0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00" authorId="0" shapeId="0" xr:uid="{894BF4F4-1797-47F2-B342-8A13D7BC5B55}">
      <text>
        <r>
          <rPr>
            <sz val="10"/>
            <color indexed="81"/>
            <rFont val="Tahoma"/>
            <family val="2"/>
          </rPr>
          <t>Tuotannon vuokratyövoima taulukkoon
2. T2 TULOSSUUNNITELMA, kohta 6. Ulkopuoliset palvelut</t>
        </r>
      </text>
    </comment>
    <comment ref="O113" authorId="0" shapeId="0" xr:uid="{F136A4FF-713B-40D5-88AB-81346739D1DB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17" authorId="0" shapeId="0" xr:uid="{00000000-0006-0000-0900-00002F000000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F117" authorId="0" shapeId="0" xr:uid="{EFBA5DD7-92F2-4989-AC9E-14C31D45C108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D118" authorId="0" shapeId="0" xr:uid="{00000000-0006-0000-0900-000032000000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F118" authorId="0" shapeId="0" xr:uid="{88C26940-58EF-4202-9572-42EB26103B28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D119" authorId="0" shapeId="0" xr:uid="{05F87063-AA2F-479E-8BD5-F8FB70D33C61}">
      <text>
        <r>
          <rPr>
            <sz val="10"/>
            <color indexed="81"/>
            <rFont val="Tahoma"/>
            <family val="2"/>
          </rPr>
          <t>Tarkoittaa ei-liiketoiminnan käytön investointien leasingrahoituksen vuosikustannuksia. Kuluista ei voida vähentää arvonlisäveroa.</t>
        </r>
      </text>
    </comment>
    <comment ref="F119" authorId="0" shapeId="0" xr:uid="{16BFFF15-F7C3-4776-961B-811297230590}">
      <text>
        <r>
          <rPr>
            <sz val="10"/>
            <color indexed="81"/>
            <rFont val="Tahoma"/>
            <family val="2"/>
          </rPr>
          <t>Tarkoittaa ei-liiketoiminnan käytön investointien leasingrahoituksen vuosikustannuksia. Kuluista ei voida vähentää arvonlisäveroa.</t>
        </r>
      </text>
    </comment>
    <comment ref="H119" authorId="0" shapeId="0" xr:uid="{BDC72CAF-7BBD-4F6D-9151-D6D8CAB95E67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J119" authorId="0" shapeId="0" xr:uid="{189D283F-8639-4532-8F76-9DD544AF3EF7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L119" authorId="0" shapeId="0" xr:uid="{9DAA700A-9803-4AA6-AE38-4D9946BD0062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D120" authorId="0" shapeId="0" xr:uid="{062B4A90-2DDD-43F5-B50F-B81CAE95C95A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F120" authorId="0" shapeId="0" xr:uid="{D3BFB842-9328-4318-984F-AAEDDD580408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D121" authorId="1" shapeId="0" xr:uid="{10D8ACE8-BF50-49B2-B75C-CC0F66BDD914}">
      <text>
        <r>
          <rPr>
            <sz val="10"/>
            <color indexed="81"/>
            <rFont val="Tahoma"/>
            <family val="2"/>
          </rPr>
          <t xml:space="preserve">Asuntojen vuokraus on aina verotonta. Asuntojen vuokraukseen liittyvät kaikki kulut (esim. sähkö, korjaus) ovat alv-vähennyskelvottomia ja kirjoitetaan sis. alv.   </t>
        </r>
      </text>
    </comment>
    <comment ref="F121" authorId="0" shapeId="0" xr:uid="{CAC5E4E4-54E8-440C-941C-20DCABD1DA20}">
      <text>
        <r>
          <rPr>
            <sz val="10"/>
            <color indexed="81"/>
            <rFont val="Tahoma"/>
            <family val="2"/>
          </rPr>
          <t xml:space="preserve">Alv 0 %-toimitilavuokrat/hoitovastikkeet ja korjauskulut kirjoitetaan sis. alv. Muut kulut, esim. sähkö, kohtaan 
3.2 Toimitilakustannukset. 
Asuntojen vuokraukseen liittyvät kaikki kulut (esim. sähkö) ovat alv-vähennyskelvottomia ja kirjoitetaan sis. alv.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Jadelcons</author>
    <author>Yritystulkki</author>
  </authors>
  <commentList>
    <comment ref="A3" authorId="0" shapeId="0" xr:uid="{1C0873A2-67F1-4CAD-AB5D-84095477707B}">
      <text>
        <r>
          <rPr>
            <sz val="10"/>
            <color indexed="81"/>
            <rFont val="Tahoma"/>
            <family val="2"/>
          </rPr>
          <t xml:space="preserve">Laske toteutuneen tilikauden avulla tuotteen yksikköhinta, ellei ole tiedossa. Toteutuneen tilikauden tiedot muissa taulukoissa eivät muutu! Valitse alv-% tuotekohtaisesti! Huomioi tilikauden pituus!  </t>
        </r>
        <r>
          <rPr>
            <b/>
            <sz val="10"/>
            <color indexed="81"/>
            <rFont val="Tahoma"/>
            <family val="2"/>
          </rPr>
          <t>AINEKÄYTTÖ/HANKINNAT MERKITÄÄN +MERKKISINÄ!</t>
        </r>
      </text>
    </comment>
    <comment ref="E9" authorId="0" shapeId="0" xr:uid="{329BB6EF-9D6E-4BF9-99F2-563BB37152D7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E16" authorId="1" shapeId="0" xr:uid="{730ED6A2-C01D-4E4B-9DB7-EC7F879CDAE5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</t>
        </r>
      </text>
    </comment>
    <comment ref="D17" authorId="2" shapeId="0" xr:uid="{A5D8ABEA-FF93-463C-B6B0-06A5B626FCC4}">
      <text>
        <r>
          <rPr>
            <sz val="10"/>
            <color indexed="81"/>
            <rFont val="Tahoma"/>
            <family val="2"/>
          </rPr>
          <t>Tuotteen tai palvelun liikevaihto vuodessa</t>
        </r>
      </text>
    </comment>
    <comment ref="D18" authorId="2" shapeId="0" xr:uid="{235CC61C-D17D-4213-9502-2E6385A49E51}">
      <text>
        <r>
          <rPr>
            <sz val="10"/>
            <color indexed="81"/>
            <rFont val="Tahoma"/>
            <family val="2"/>
          </rPr>
          <t>Jos ei tiedetä myyntimäärää niin merkitse 1.</t>
        </r>
      </text>
    </comment>
    <comment ref="E18" authorId="2" shapeId="0" xr:uid="{203B7149-BAFA-4F9B-8ED1-A6260F4EF22E}">
      <text>
        <r>
          <rPr>
            <sz val="10"/>
            <color indexed="81"/>
            <rFont val="Tahoma"/>
            <family val="2"/>
          </rPr>
          <t>Vuosimyynti voidaan kirjoittaa suoraan soluun tai lisätä viereisen Muistiinpanoja-alueen taulukkoon vuosimuutos-%.</t>
        </r>
      </text>
    </comment>
    <comment ref="J18" authorId="0" shapeId="0" xr:uid="{60C120C1-250F-4AFF-A055-AB410BB5B503}">
      <text>
        <r>
          <rPr>
            <sz val="10"/>
            <color indexed="81"/>
            <rFont val="Tahoma"/>
            <family val="2"/>
          </rPr>
          <t>Ennustevuosien myyntimäärää voit muuttaa tästä prosenteilla tai kirjoittamalla luku suoraan soluun.</t>
        </r>
      </text>
    </comment>
    <comment ref="D21" authorId="0" shapeId="0" xr:uid="{00000000-0006-0000-0A00-000003000000}">
      <text>
        <r>
          <rPr>
            <sz val="10"/>
            <color indexed="81"/>
            <rFont val="Tahoma"/>
            <family val="2"/>
          </rPr>
          <t xml:space="preserve">Paljonko tähän tuotteeseen tai palveluun on kohdistunut ainekäyttöä eli ostoja?
Huomioi mahdollinen varaston muutos ja yrityskaupan yhteydessä ostettu vaihto-omaisuus.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H16" authorId="0" shapeId="0" xr:uid="{00000000-0006-0000-0500-000001000000}">
      <text>
        <r>
          <rPr>
            <sz val="10"/>
            <color indexed="81"/>
            <rFont val="Tahoma"/>
            <family val="2"/>
          </rPr>
          <t>1. T1 INVESTOINTISUUNNITELMAn kohta 11</t>
        </r>
      </text>
    </comment>
    <comment ref="M16" authorId="1" shapeId="0" xr:uid="{00963218-C825-441F-9538-BF4889E65EC6}">
      <text>
        <r>
          <rPr>
            <b/>
            <sz val="10"/>
            <color indexed="81"/>
            <rFont val="Tahoma"/>
            <family val="2"/>
          </rPr>
          <t xml:space="preserve">Sijoitettu pääoma = </t>
        </r>
        <r>
          <rPr>
            <sz val="10"/>
            <color indexed="81"/>
            <rFont val="Tahoma"/>
            <family val="2"/>
          </rPr>
          <t xml:space="preserve">
Oikaistu oma pääoma + sijoitettu korollinen vieras pääoma.
Sijoitettu pääoma lasketaan tilikauden alun ja lopun keskiarvona. Jos tilikauden oikaistu oma pääoma on negatiivinen, on sijoitettu pääoma kuitenkin sijoitetun vieraan pääoman suuruinen.</t>
        </r>
      </text>
    </comment>
    <comment ref="M19" authorId="1" shapeId="0" xr:uid="{493B67DB-9657-439C-B89B-410F7494FBCF}">
      <text>
        <r>
          <rPr>
            <b/>
            <sz val="10"/>
            <color indexed="81"/>
            <rFont val="Tahoma"/>
            <family val="2"/>
          </rPr>
          <t xml:space="preserve">Käyttökate-% = </t>
        </r>
        <r>
          <rPr>
            <sz val="10"/>
            <color indexed="81"/>
            <rFont val="Tahoma"/>
            <family val="2"/>
          </rPr>
          <t xml:space="preserve">
100 x Käyttökate / Liiketoiminnan tuotot yhteensä.
Käyttökateprosentti kertoo liiketoiminnan tuloksen ennen poistoja ja rahoituseriä. Kateprosenttia verrataan toisiin saman toimialan yrityksiin.</t>
        </r>
      </text>
    </comment>
    <comment ref="C20" authorId="0" shapeId="0" xr:uid="{00000000-0006-0000-0500-000007000000}">
      <text>
        <r>
          <rPr>
            <sz val="10"/>
            <color indexed="81"/>
            <rFont val="Tahoma"/>
            <family val="2"/>
          </rPr>
          <t>Osakepääoman konvertoinnissa pääomalainaa muutetaan osakepääomaksi.</t>
        </r>
      </text>
    </comment>
    <comment ref="M21" authorId="1" shapeId="0" xr:uid="{AF732FE1-A632-4820-A679-E60F90419E41}">
      <text>
        <r>
          <rPr>
            <b/>
            <sz val="10"/>
            <color indexed="81"/>
            <rFont val="Tahoma"/>
            <family val="2"/>
          </rPr>
          <t xml:space="preserve">Liiketulos (EBIT)-% = </t>
        </r>
        <r>
          <rPr>
            <sz val="10"/>
            <color indexed="81"/>
            <rFont val="Tahoma"/>
            <family val="2"/>
          </rPr>
          <t xml:space="preserve">
100 x Liiketulos / Liiketoiminnan tuotot yhteensä.
Ohjearvoja: Hyvä yli 10 %, tyydyttävä 5 -10 %, heikko alle 5 %.
Liiketulos kertoo, kuinka paljon varsinaisen liiketoiminnan tuotoista on jäljellä ennen rahoituseriä ja veroja. Liiketulosprosenttia verrataan toisiin saman toimialan yrityksiin.
</t>
        </r>
      </text>
    </comment>
    <comment ref="M25" authorId="1" shapeId="0" xr:uid="{98162E43-4A4D-4832-8695-DA11C9E9F234}">
      <text>
        <r>
          <rPr>
            <b/>
            <sz val="10"/>
            <color indexed="81"/>
            <rFont val="Tahoma"/>
            <family val="2"/>
          </rPr>
          <t>Sijoitetun pääoman tuotto-% =</t>
        </r>
        <r>
          <rPr>
            <sz val="10"/>
            <color indexed="81"/>
            <rFont val="Tahoma"/>
            <family val="2"/>
          </rPr>
          <t xml:space="preserve">
100 x (Nettotulos + rahoituskulut + verot) / Sijoitettu pääoma keskimäärin.
Tuottoprosentti mittaa suhteellista kannattavuutta eli sitä tuottoa, joka on saatu yritykseen sijoitetulle, korkoa tai muuta tuottoa vaativalle pääomalle.</t>
        </r>
      </text>
    </comment>
    <comment ref="M27" authorId="1" shapeId="0" xr:uid="{713C13E2-A087-4542-8751-9EE12A55CFF5}">
      <text>
        <r>
          <rPr>
            <b/>
            <sz val="10"/>
            <color indexed="81"/>
            <rFont val="Tahoma"/>
            <family val="2"/>
          </rPr>
          <t>Lyhytaikainen maksuvalmius =</t>
        </r>
        <r>
          <rPr>
            <sz val="10"/>
            <color indexed="81"/>
            <rFont val="Tahoma"/>
            <family val="2"/>
          </rPr>
          <t xml:space="preserve">
Rahoitusomaisuus (= lyhytaik. saamiset + rahat + rahoitusarvopaperit) / Lyhytaikainen vieras pääoma
Ohjearvoja: yli 1 hyvä, 0,5 - 1 tyydyttävä ja alle 0,5 heikko
Luku mittaa yrityksen mahdollisuutta selviytyä lyhytaikaisista veloistaan pelkällä rahoitusomaisuudellaan.</t>
        </r>
      </text>
    </comment>
    <comment ref="H29" authorId="0" shapeId="0" xr:uid="{00000000-0006-0000-0500-00000C000000}">
      <text>
        <r>
          <rPr>
            <sz val="10"/>
            <color indexed="81"/>
            <rFont val="Tahoma"/>
            <family val="2"/>
          </rPr>
          <t>3. T3 TASEesta siirtynyt
- Rahoitusarvopapereiden lisäys tai vähennys</t>
        </r>
      </text>
    </comment>
    <comment ref="M29" authorId="1" shapeId="0" xr:uid="{E099CD0E-3B4E-4AAE-B27F-97C6372BE6DF}">
      <text>
        <r>
          <rPr>
            <b/>
            <sz val="10"/>
            <color indexed="81"/>
            <rFont val="Tahoma"/>
            <family val="2"/>
          </rPr>
          <t>Pitkäaikainen maksuvalmius =</t>
        </r>
        <r>
          <rPr>
            <sz val="10"/>
            <color indexed="81"/>
            <rFont val="Tahoma"/>
            <family val="2"/>
          </rPr>
          <t xml:space="preserve">
Vaihto-omaisuus + rahoitusomaisuus  / Lyhytaikainen vieras pääoma
</t>
        </r>
        <r>
          <rPr>
            <b/>
            <sz val="10"/>
            <color indexed="81"/>
            <rFont val="Tahoma"/>
            <family val="2"/>
          </rPr>
          <t>Ohjearvoja: yli 2 on hyvä, 1 - 2 tyydyttävä ja alle 1 heikko</t>
        </r>
        <r>
          <rPr>
            <sz val="10"/>
            <color indexed="81"/>
            <rFont val="Tahoma"/>
            <family val="2"/>
          </rPr>
          <t xml:space="preserve">
Current ratiossa ajatellaan, että myös vaihto-omaisuus voidaan realisoida lyhytaikaisten velkojen maksamiseen.</t>
        </r>
      </text>
    </comment>
    <comment ref="M31" authorId="1" shapeId="0" xr:uid="{255E9A4B-83CC-4141-B282-9A3AA750D282}">
      <text>
        <r>
          <rPr>
            <b/>
            <sz val="10"/>
            <color indexed="81"/>
            <rFont val="Tahoma"/>
            <family val="2"/>
          </rPr>
          <t xml:space="preserve">Vieraan pääoman takaisinmaksuaika = </t>
        </r>
        <r>
          <rPr>
            <sz val="10"/>
            <color indexed="81"/>
            <rFont val="Tahoma"/>
            <family val="2"/>
          </rPr>
          <t xml:space="preserve">
Sijoitettu vieras pääoma tilikauden lopussa / rahoitustulos
Ohjearvoja: Luku pienempi kuin pitkäaikaisten lainojen keskimääräinen takaisinmaksuaika.</t>
        </r>
      </text>
    </comment>
    <comment ref="M32" authorId="1" shapeId="0" xr:uid="{74F484BF-4E9B-40C9-94DB-F07F7C6FFCAD}">
      <text>
        <r>
          <rPr>
            <b/>
            <sz val="10"/>
            <color indexed="81"/>
            <rFont val="Tahoma"/>
            <family val="2"/>
          </rPr>
          <t xml:space="preserve">Lainojen hoitokate = </t>
        </r>
        <r>
          <rPr>
            <sz val="10"/>
            <color indexed="81"/>
            <rFont val="Tahoma"/>
            <family val="2"/>
          </rPr>
          <t xml:space="preserve">
(rahoituskulut + rahoitustulos) / (Rahoituskulut + pitkäaikaisten lainojen lyhennykset) 
</t>
        </r>
        <r>
          <rPr>
            <b/>
            <sz val="10"/>
            <color indexed="81"/>
            <rFont val="Tahoma"/>
            <family val="2"/>
          </rPr>
          <t xml:space="preserve">Ohjearvoja: yli 2 on hyvä, 1 - 2 tyydyttävä ja alle 1 heikko
</t>
        </r>
        <r>
          <rPr>
            <sz val="10"/>
            <color indexed="81"/>
            <rFont val="Tahoma"/>
            <family val="2"/>
          </rPr>
          <t xml:space="preserve">
Hoitokate vertaa tuloksen rahoituksellista riittävyyttä vieraan pääoman velvoitteiden hoitamiseen.</t>
        </r>
      </text>
    </comment>
    <comment ref="H35" authorId="0" shapeId="0" xr:uid="{00000000-0006-0000-0500-000012000000}">
      <text>
        <r>
          <rPr>
            <sz val="10"/>
            <color indexed="81"/>
            <rFont val="Tahoma"/>
            <family val="2"/>
          </rPr>
          <t>Lisälyhennys + merkkinen.
Lyhennyserän pienentäminen
 - merkkinen.</t>
        </r>
      </text>
    </comment>
    <comment ref="M35" authorId="1" shapeId="0" xr:uid="{6A1D31D1-34AE-4C81-A91F-AA1D382BA15D}">
      <text>
        <r>
          <rPr>
            <b/>
            <sz val="10"/>
            <color indexed="81"/>
            <rFont val="Tahoma"/>
            <family val="2"/>
          </rPr>
          <t xml:space="preserve">Omavaraisuusaste =
</t>
        </r>
        <r>
          <rPr>
            <sz val="10"/>
            <color indexed="81"/>
            <rFont val="Tahoma"/>
            <family val="2"/>
          </rPr>
          <t>100 x oikaistu oma pääoma / (Oikaistun taseen loppusumma - saadut ennakot)</t>
        </r>
        <r>
          <rPr>
            <b/>
            <sz val="10"/>
            <color indexed="81"/>
            <rFont val="Tahoma"/>
            <family val="2"/>
          </rPr>
          <t xml:space="preserve">
Ohjearvoja: yli 40 % on hyvä, 20 - 40 % tyydyttävä ja alle 20 % heikko
</t>
        </r>
        <r>
          <rPr>
            <sz val="10"/>
            <color indexed="81"/>
            <rFont val="Tahoma"/>
            <family val="2"/>
          </rPr>
          <t>Omavaraisuusaste mittaa yrityksen vakavaraisuutta, yrityksen tappionsietokykyä ja kykyä selviytyä sitoumuksistaan pitkällä aikavälillä.</t>
        </r>
      </text>
    </comment>
    <comment ref="M37" authorId="1" shapeId="0" xr:uid="{E97FB76F-F921-4EFC-9AC2-3AEEDB85CD8B}">
      <text>
        <r>
          <rPr>
            <b/>
            <sz val="10"/>
            <color indexed="81"/>
            <rFont val="Tahoma"/>
            <family val="2"/>
          </rPr>
          <t>Net Gearing (nettovelkaantumisaste) =</t>
        </r>
        <r>
          <rPr>
            <sz val="10"/>
            <color indexed="81"/>
            <rFont val="Tahoma"/>
            <family val="2"/>
          </rPr>
          <t xml:space="preserve">
(Korollinen vieras pääoma - rahat ja rahoitusarvopaperit) /Oikaistu oma pääoma 
Korollinen vieras pääoma = Pitkäaikainen vieras pääoma pl. saadut ennakot + Korolliset lyhytaikaiset velat + Muut korolliset sisäiset velat
</t>
        </r>
        <r>
          <rPr>
            <b/>
            <sz val="10"/>
            <color indexed="81"/>
            <rFont val="Tahoma"/>
            <family val="2"/>
          </rPr>
          <t>Ohjearvoja: Alle 1 on hyvä. Jos luku on nolla (tyhjä solu) tai alle 0, niin yritys on nettovelaton. Jos negatiivinen arvo johtuu negatiivisesta omasta pääomasta, on tunnusluku heikko.</t>
        </r>
        <r>
          <rPr>
            <sz val="10"/>
            <color indexed="81"/>
            <rFont val="Tahoma"/>
            <family val="2"/>
          </rPr>
          <t xml:space="preserve">
Tunnusluku ilmoittaa, kuinka hyvin oma pääoma kattaa korollisen vieraan pääoman määrän. 
</t>
        </r>
      </text>
    </comment>
    <comment ref="H39" authorId="0" shapeId="0" xr:uid="{E3099D0A-82B9-4628-BA9F-51D99131634F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I39" authorId="0" shapeId="0" xr:uid="{0D684528-3CDF-4CEA-8DFD-8C418859CE58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J39" authorId="0" shapeId="0" xr:uid="{77969B76-BCDD-43FF-B65E-7C29F283BA45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K39" authorId="0" shapeId="0" xr:uid="{432703CB-2110-44ED-91F8-E5D446543EB9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H40" authorId="0" shapeId="0" xr:uid="{00000000-0006-0000-0500-00001D000000}">
      <text>
        <r>
          <rPr>
            <sz val="10"/>
            <color indexed="81"/>
            <rFont val="Tahoma"/>
            <family val="2"/>
          </rPr>
          <t>Luku siirtynyt 3. T3 TASEesta  soluista G35 - J35.</t>
        </r>
      </text>
    </comment>
    <comment ref="O40" authorId="0" shapeId="0" xr:uid="{00000000-0006-0000-0500-000016000000}">
      <text>
        <r>
          <rPr>
            <sz val="10"/>
            <color indexed="81"/>
            <rFont val="Tahoma"/>
            <family val="2"/>
          </rPr>
          <t>Sisältää työsuhteeseen ja palkanmaksuun liittyvät pakolliset työvoimakulut.</t>
        </r>
      </text>
    </comment>
    <comment ref="O41" authorId="0" shapeId="0" xr:uid="{00000000-0006-0000-0500-000017000000}">
      <text>
        <r>
          <rPr>
            <sz val="10"/>
            <color indexed="81"/>
            <rFont val="Tahoma"/>
            <family val="2"/>
          </rPr>
          <t>Pakolliset työvoimakulujen lisäksi vapaaehtoiset henkilökulut, myös vapaaehtoiset eläkevakuutusmaksut.</t>
        </r>
      </text>
    </comment>
    <comment ref="O42" authorId="0" shapeId="0" xr:uid="{09044B2A-A851-4BF2-A513-4DBB559DFC8A}">
      <text>
        <r>
          <rPr>
            <b/>
            <sz val="10"/>
            <color indexed="81"/>
            <rFont val="Tahoma"/>
            <family val="2"/>
          </rPr>
          <t>Kriisitunnusluku Z =</t>
        </r>
        <r>
          <rPr>
            <sz val="10"/>
            <color indexed="81"/>
            <rFont val="Tahoma"/>
            <family val="2"/>
          </rPr>
          <t xml:space="preserve">
Z = 1.77 * rahoitustulos-% + 14.14 * quick ratio + 0.54 * omavaraisuusaste
</t>
        </r>
        <r>
          <rPr>
            <b/>
            <sz val="10"/>
            <color indexed="81"/>
            <rFont val="Tahoma"/>
            <family val="2"/>
          </rPr>
          <t>Ohjearvoja:
Hyvä yli 28, Tyydyttävä 18 - 28, Heikko 5 - 18</t>
        </r>
      </text>
    </comment>
    <comment ref="H43" authorId="0" shapeId="0" xr:uid="{53E64B61-4286-4ABA-A536-3B80564D1C99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I43" authorId="0" shapeId="0" xr:uid="{F70122CC-C4AC-4999-8C17-00CC108BFC3F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J43" authorId="0" shapeId="0" xr:uid="{36098C30-AF52-4518-A2CE-7953C5AF795D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K43" authorId="0" shapeId="0" xr:uid="{D2235C01-0727-43A3-9A35-DA41E79FF1DA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C44" authorId="0" shapeId="0" xr:uid="{00000000-0006-0000-0500-000027000000}">
      <text>
        <r>
          <rPr>
            <sz val="10"/>
            <color indexed="81"/>
            <rFont val="Tahoma"/>
            <family val="2"/>
          </rPr>
          <t xml:space="preserve">Luku ilmoittaa, kuinka monta päivää "Kumulatiivinen kassa" (kohta 27) riittää kiinteisiin kustannuksiin. Suositus on vähintään 30 pv.
</t>
        </r>
        <r>
          <rPr>
            <b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Kumulatiivinen yli- tai alijäämä / Muut kiinteät kulut (5. E1 KUSTANNUKSET rivi 45) x 365</t>
        </r>
      </text>
    </comment>
    <comment ref="O47" authorId="0" shapeId="0" xr:uid="{00000000-0006-0000-0500-000021000000}">
      <text>
        <r>
          <rPr>
            <b/>
            <sz val="10"/>
            <color indexed="81"/>
            <rFont val="Tahoma"/>
            <family val="2"/>
          </rPr>
          <t>Toiminimi</t>
        </r>
        <r>
          <rPr>
            <sz val="10"/>
            <color indexed="81"/>
            <rFont val="Tahoma"/>
            <family val="2"/>
          </rPr>
          <t xml:space="preserve">
Pankkitilirahat vähennetään varoista.</t>
        </r>
      </text>
    </comment>
    <comment ref="O48" authorId="0" shapeId="0" xr:uid="{00000000-0006-0000-0500-000026000000}">
      <text>
        <r>
          <rPr>
            <b/>
            <sz val="10"/>
            <color indexed="81"/>
            <rFont val="Tahoma"/>
            <family val="2"/>
          </rPr>
          <t>Ay, Ky, Oy</t>
        </r>
        <r>
          <rPr>
            <sz val="10"/>
            <color indexed="81"/>
            <rFont val="Tahoma"/>
            <family val="2"/>
          </rPr>
          <t xml:space="preserve">
Osakkaan/yhtiömiehen käytössä oleva yrityksen asunto vähennetään varoista.</t>
        </r>
      </text>
    </comment>
    <comment ref="C50" authorId="0" shapeId="0" xr:uid="{6221D3C8-2855-4DBF-8718-D0D951B284D6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H50" authorId="1" shapeId="0" xr:uid="{4F679CF1-EB3F-4829-8CDE-0732BA2159C4}">
      <text>
        <r>
          <rPr>
            <b/>
            <sz val="10"/>
            <color indexed="81"/>
            <rFont val="Tahoma"/>
            <family val="2"/>
          </rPr>
          <t>Tärkeää!</t>
        </r>
        <r>
          <rPr>
            <sz val="10"/>
            <color indexed="81"/>
            <rFont val="Tahoma"/>
            <family val="2"/>
          </rPr>
          <t xml:space="preserve">
Luvulla määritellään varastossa olevan vaihto-omaisuuden määrä. Luku vaihtelee toimialan mukaan. Vähittäis- ja tukkukaupassa sekä asennusliiketoiminnassa erittäin merkityksellinen. Tukkuliikkeessä luku voi olla jopa 100 %.
</t>
        </r>
        <r>
          <rPr>
            <b/>
            <sz val="10"/>
            <color indexed="81"/>
            <rFont val="Tahoma"/>
            <family val="2"/>
          </rPr>
          <t>Alkuvaraston hankinnan ja käytön huomiointi %-luvussa</t>
        </r>
        <r>
          <rPr>
            <sz val="10"/>
            <color indexed="81"/>
            <rFont val="Tahoma"/>
            <family val="2"/>
          </rPr>
          <t xml:space="preserve">
Riittääkö alkuvaraston/liiketoimintakaupan varasto seuraavalle tilikaudelle? </t>
        </r>
        <r>
          <rPr>
            <b/>
            <sz val="10"/>
            <color indexed="81"/>
            <rFont val="Tahoma"/>
            <family val="2"/>
          </rPr>
          <t>Jos ei riitä</t>
        </r>
        <r>
          <rPr>
            <sz val="10"/>
            <color indexed="81"/>
            <rFont val="Tahoma"/>
            <family val="2"/>
          </rPr>
          <t xml:space="preserve">, on prosenttia suurennettava vastaamaan tarvittavaa vaihto-omaisuuden arvoa.
</t>
        </r>
        <r>
          <rPr>
            <b/>
            <sz val="10"/>
            <color indexed="81"/>
            <rFont val="Tahoma"/>
            <family val="2"/>
          </rPr>
          <t>Mitä luku tarkoittaa?</t>
        </r>
        <r>
          <rPr>
            <sz val="10"/>
            <color indexed="81"/>
            <rFont val="Tahoma"/>
            <family val="2"/>
          </rPr>
          <t xml:space="preserve">
9 % = varaston arvo kuukauden liikevaihdon verran
25 % =  varaston arvo 3 kk liikevaihdon verran
Eri toimialojen vaihto-omaisuus-% löydät Yritystulkin tilastoista, kohdasta rahoitus -&gt; tilastot. </t>
        </r>
      </text>
    </comment>
    <comment ref="R50" authorId="1" shapeId="0" xr:uid="{812AB427-8C41-435E-A222-A38FA28524E1}">
      <text>
        <r>
          <rPr>
            <b/>
            <sz val="10"/>
            <color indexed="81"/>
            <rFont val="Tahoma"/>
            <family val="2"/>
          </rPr>
          <t xml:space="preserve">Tämän rivin luvut siirtyvät viereiseen taulukon soluihin  H39 - K39. 
</t>
        </r>
        <r>
          <rPr>
            <sz val="10"/>
            <color indexed="81"/>
            <rFont val="Tahoma"/>
            <family val="2"/>
          </rPr>
          <t>Laskettu valmiiksi 8 %:n mukaan. Lukua voi muuttaa. Listaamattoman Oy:n osingosta maksetaan 7,5 % veroa 8 % nettovarallisuuteen saakka. Tämä osinko kannattaa aina maksaa. Määrä lasketaan edellisen vuoden nettovarallisuuden mukaan.</t>
        </r>
        <r>
          <rPr>
            <b/>
            <sz val="10"/>
            <color indexed="81"/>
            <rFont val="Tahoma"/>
            <family val="2"/>
          </rPr>
          <t xml:space="preserve">
T:mi, Ky ja Ay:
</t>
        </r>
        <r>
          <rPr>
            <sz val="10"/>
            <color indexed="81"/>
            <rFont val="Tahoma"/>
            <family val="2"/>
          </rPr>
          <t>Yksityisotot merkitään tähän.</t>
        </r>
      </text>
    </comment>
    <comment ref="C52" authorId="0" shapeId="0" xr:uid="{00000000-0006-0000-0500-00002E000000}">
      <text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52" authorId="0" shapeId="0" xr:uid="{00000000-0006-0000-0500-00002F000000}">
      <text>
        <r>
          <rPr>
            <sz val="10"/>
            <color indexed="81"/>
            <rFont val="Tahoma"/>
            <family val="2"/>
          </rPr>
          <t>Kiertonopeus on nolla pv, jos myydään vain käteisellä.</t>
        </r>
      </text>
    </comment>
    <comment ref="C57" authorId="0" shapeId="0" xr:uid="{00000000-0006-0000-0500-000030000000}">
      <text>
        <r>
          <rPr>
            <sz val="10"/>
            <color indexed="81"/>
            <rFont val="Tahoma"/>
            <family val="2"/>
          </rPr>
          <t xml:space="preserve">Luku kertoo kuinka nopeasti yrityksenne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H57" authorId="0" shapeId="0" xr:uid="{00000000-0006-0000-0500-000031000000}">
      <text>
        <r>
          <rPr>
            <sz val="10"/>
            <color indexed="81"/>
            <rFont val="Tahoma"/>
            <family val="2"/>
          </rPr>
          <t xml:space="preserve">Kiertonopeus on nolla pv, jos maksetaan ostettaessa. Onko ostovelkojen kiertonopeus todenmukainen? 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Henri Järvinen</author>
    <author>Yritystulkki</author>
    <author>Jadelcons</author>
  </authors>
  <commentList>
    <comment ref="A3" authorId="0" shapeId="0" xr:uid="{2E7B10FE-D421-4799-921B-B5F7CA2811A5}">
      <text>
        <r>
          <rPr>
            <b/>
            <sz val="12"/>
            <color indexed="81"/>
            <rFont val="Tahoma"/>
            <family val="2"/>
          </rPr>
          <t xml:space="preserve">Voit tehdä kassabudjetin ensimmäiselle tai toiselle vuodelle. Huom.! Jos teet molemmille vuosille, tallenna toinen vuosi omaksi tiedostoksi.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Tärkeää! Arvioi käteis- ja laskutusmyynnin kuukausijakautuma prosentteina eli montako prosenttia on myynti eri kuukausina vuoden myynnistä (vuosi on 100 %).
4. Satunnaiset tuotot
</t>
        </r>
        <r>
          <rPr>
            <sz val="10"/>
            <color indexed="81"/>
            <rFont val="Tahoma"/>
            <family val="2"/>
          </rPr>
          <t>- Jos myydään kalustoa, lisää myyntitulot KOHTAAN 4. Myyntitulot löytyvät taulukosta 1. T1 INVESTOINTISUUNNITELMA, kohta "15. Muu oma rahoitus".</t>
        </r>
        <r>
          <rPr>
            <b/>
            <sz val="10"/>
            <color indexed="81"/>
            <rFont val="Tahoma"/>
            <family val="2"/>
          </rPr>
          <t xml:space="preserve">
6. Aineet ja tarvikkeet
</t>
        </r>
        <r>
          <rPr>
            <sz val="10"/>
            <color indexed="81"/>
            <rFont val="Tahoma"/>
            <family val="2"/>
          </rPr>
          <t xml:space="preserve">- Sijoita ostot oikeille kuukausille.  
</t>
        </r>
        <r>
          <rPr>
            <b/>
            <sz val="10"/>
            <color indexed="81"/>
            <rFont val="Tahoma"/>
            <family val="2"/>
          </rPr>
          <t>9. Investoinnit sis. alv (kohta 23.) ja Investoinnit alv 0 % (kohta 24.)</t>
        </r>
        <r>
          <rPr>
            <sz val="10"/>
            <color indexed="81"/>
            <rFont val="Tahoma"/>
            <family val="2"/>
          </rPr>
          <t xml:space="preserve">
- Jos investointeja rahoitetaan leasingilla, vähennä rahoitusosuus investoinnin summasta.
</t>
        </r>
        <r>
          <rPr>
            <b/>
            <sz val="10"/>
            <color indexed="81"/>
            <rFont val="Tahoma"/>
            <family val="2"/>
          </rPr>
          <t>25. Liikehuoneisto-osakkeen hankinta</t>
        </r>
        <r>
          <rPr>
            <sz val="10"/>
            <color indexed="81"/>
            <rFont val="Tahoma"/>
            <family val="2"/>
          </rPr>
          <t xml:space="preserve">
- Osakkeiden hinta löytyy taulukosta 1. T1 INVESTOINTISUUNNITELMAn kohdasta "8. Sijoitukset".
</t>
        </r>
        <r>
          <rPr>
            <b/>
            <sz val="10"/>
            <color indexed="81"/>
            <rFont val="Tahoma"/>
            <family val="2"/>
          </rPr>
          <t xml:space="preserve">30. Osingot, yksityisotot
</t>
        </r>
        <r>
          <rPr>
            <sz val="10"/>
            <color indexed="81"/>
            <rFont val="Tahoma"/>
            <family val="2"/>
          </rPr>
          <t>- Henkilöyhtiön yhtiömiehen yksityisotot ja osakkaalle maksetut osingot pitää muistaa merkitä</t>
        </r>
      </text>
    </comment>
    <comment ref="H5" authorId="1" shapeId="0" xr:uid="{343DDB78-5ADF-4143-B2F9-32B25411F853}">
      <text>
        <r>
          <rPr>
            <b/>
            <sz val="10"/>
            <color indexed="81"/>
            <rFont val="Tahoma"/>
            <family val="2"/>
          </rPr>
          <t>Voit tehdä kassabudjetin ensimmäiselle tai toiselle vuodelle.</t>
        </r>
      </text>
    </comment>
    <comment ref="G9" authorId="0" shapeId="0" xr:uid="{00000000-0006-0000-0600-000003000000}">
      <text>
        <r>
          <rPr>
            <sz val="10"/>
            <color indexed="81"/>
            <rFont val="Tahoma"/>
            <family val="2"/>
          </rPr>
          <t>Kirjoita tilikauden aloituskuukausi muotoon kk/vvvv.  Esim. 6/202X</t>
        </r>
      </text>
    </comment>
    <comment ref="G10" authorId="2" shapeId="0" xr:uid="{C2F3E1D2-C0BB-4897-A503-5275A52D8FF8}">
      <text>
        <r>
          <rPr>
            <sz val="10"/>
            <color indexed="81"/>
            <rFont val="Tahoma"/>
            <family val="2"/>
          </rPr>
          <t xml:space="preserve">Toimiva yritys:
- rahavarat viimeisessä tilinpäätöksessä </t>
        </r>
      </text>
    </comment>
    <comment ref="G11" authorId="2" shapeId="0" xr:uid="{93CB58D9-C6E9-4F5B-9FC5-EAD7F58058AD}">
      <text>
        <r>
          <rPr>
            <sz val="10"/>
            <color indexed="81"/>
            <rFont val="Tahoma"/>
            <family val="2"/>
          </rPr>
          <t>Summa lasketaan toteutuneen myyntisaatavien kiertoajan mukaan taulukosta 3. T3 TASE solusta G42 tai H42.</t>
        </r>
      </text>
    </comment>
    <comment ref="E12" authorId="2" shapeId="0" xr:uid="{1F39DCE6-BCA6-4310-8273-35E83FB64F1C}">
      <text>
        <r>
          <rPr>
            <sz val="10"/>
            <color indexed="81"/>
            <rFont val="Tahoma"/>
            <family val="2"/>
          </rPr>
          <t>Merkitse tähän käteismyynnin prosenttiosuus kokonaismyynnistä.</t>
        </r>
      </text>
    </comment>
    <comment ref="F12" authorId="3" shapeId="0" xr:uid="{E4A54784-8B72-4ADB-BDDC-AFE6711A84DE}">
      <text>
        <r>
          <rPr>
            <b/>
            <sz val="10"/>
            <color indexed="81"/>
            <rFont val="Tahoma"/>
            <family val="2"/>
          </rPr>
          <t>Jos useita eri alv-kantoja, aseta painotettu keskiarvo.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
</t>
        </r>
      </text>
    </comment>
    <comment ref="G12" authorId="2" shapeId="0" xr:uid="{1109CAE1-AEDD-4C0C-A580-6F8D2BA2A39C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12" authorId="2" shapeId="0" xr:uid="{65B76A97-3C1D-480E-9BD4-C20A10264EE1}">
      <text>
        <r>
          <rPr>
            <sz val="10"/>
            <color indexed="81"/>
            <rFont val="Tahoma"/>
            <family val="2"/>
          </rPr>
          <t>6. E2 LIIKEVAIHTO -vuosiennusteen mukaan laskettu käteismyynti.</t>
        </r>
      </text>
    </comment>
    <comment ref="G13" authorId="2" shapeId="0" xr:uid="{AFC23AAE-25B5-46C6-AB4D-C6128CB891B5}">
      <text>
        <r>
          <rPr>
            <sz val="10"/>
            <color indexed="81"/>
            <rFont val="Tahoma"/>
            <family val="2"/>
          </rPr>
          <t>Luku tarkoittaa kuukauden myynnin %-osuutta koko vuoden myynnistä. Jos myynti on joka kuukausi yhtä suuri, on luku 8,3 %.</t>
        </r>
      </text>
    </comment>
    <comment ref="F14" authorId="3" shapeId="0" xr:uid="{B201BE51-7878-4783-8839-DC69716E07EA}">
      <text>
        <r>
          <rPr>
            <b/>
            <sz val="10"/>
            <color indexed="81"/>
            <rFont val="Tahoma"/>
            <family val="2"/>
          </rPr>
          <t>Jos useita eri alv-kantoja, aseta painotettu keskiarvo.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
</t>
        </r>
      </text>
    </comment>
    <comment ref="G14" authorId="2" shapeId="0" xr:uid="{6196E280-97BC-4D7F-A67E-3B22573584C5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14" authorId="2" shapeId="0" xr:uid="{339663BA-F5BC-4A15-98EF-32AA650AF71A}">
      <text>
        <r>
          <rPr>
            <sz val="10"/>
            <color indexed="81"/>
            <rFont val="Tahoma"/>
            <family val="2"/>
          </rPr>
          <t>6. E2 LIIKEVAIHTO -vuosiennusteen mukaan laskettu laskutusmyynti.</t>
        </r>
      </text>
    </comment>
    <comment ref="G15" authorId="2" shapeId="0" xr:uid="{00956F5D-361A-4956-BE1A-0816E5946DFA}">
      <text>
        <r>
          <rPr>
            <sz val="10"/>
            <color indexed="81"/>
            <rFont val="Tahoma"/>
            <family val="2"/>
          </rPr>
          <t>Luku tarkoittaa kuukauden myynnin %-osuutta koko vuoden myynnistä. Jos myynti on joka kuukausi yhtä suuri, on luku 8,3 %.</t>
        </r>
      </text>
    </comment>
    <comment ref="E16" authorId="0" shapeId="0" xr:uid="{00000000-0006-0000-0600-00000D000000}">
      <text>
        <r>
          <rPr>
            <sz val="10"/>
            <color indexed="81"/>
            <rFont val="Tahoma"/>
            <family val="2"/>
          </rPr>
          <t xml:space="preserve">Toteutuneiden myyntilaskujen keskimääräinen maksuaika. </t>
        </r>
        <r>
          <rPr>
            <b/>
            <i/>
            <sz val="10"/>
            <color indexed="81"/>
            <rFont val="Tahoma"/>
            <family val="2"/>
          </rPr>
          <t>Pisin maksuaika 180 pv.</t>
        </r>
      </text>
    </comment>
    <comment ref="G16" authorId="2" shapeId="0" xr:uid="{B6AC6F87-2FFC-4750-9E32-36E30258656B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C17" authorId="0" shapeId="0" xr:uid="{7C9D6C1C-6CD2-438B-9D37-6E3ABB0726E8}">
      <text>
        <r>
          <rPr>
            <sz val="10"/>
            <color indexed="81"/>
            <rFont val="Tahoma"/>
            <family val="2"/>
          </rPr>
          <t>Esim. saneerauksen yhteydessä myydyt koneet, valmistusoikeudet yms.</t>
        </r>
      </text>
    </comment>
    <comment ref="F17" authorId="3" shapeId="0" xr:uid="{00000000-0006-0000-0600-00000F000000}">
      <text>
        <r>
          <rPr>
            <b/>
            <sz val="10"/>
            <color indexed="81"/>
            <rFont val="Tahoma"/>
            <family val="2"/>
          </rPr>
          <t>Myynnin 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G18" authorId="0" shapeId="0" xr:uid="{00000000-0006-0000-0600-000010000000}">
      <text>
        <r>
          <rPr>
            <sz val="10"/>
            <color indexed="81"/>
            <rFont val="Tahoma"/>
            <family val="2"/>
          </rPr>
          <t>Ohjelma laskee valmiiksi taulukosta 2. T2 TULOSSUUNNITELMAn kohdan 2. Liiketoiminnan muut tuotot. Lisää sijoitusten tuloutuksen ja muut tulot.</t>
        </r>
      </text>
    </comment>
    <comment ref="M18" authorId="3" shapeId="0" xr:uid="{00000000-0006-0000-0600-000011000000}">
      <text>
        <r>
          <rPr>
            <sz val="10"/>
            <color indexed="81"/>
            <rFont val="Tahoma"/>
            <family val="2"/>
          </rPr>
          <t xml:space="preserve">ELY-keskuksen avustus arvioidaan saatavan 7. kuukautena. Vaihda summa tarvittaessa eri kuukaudelle.  </t>
        </r>
      </text>
    </comment>
    <comment ref="F22" authorId="3" shapeId="0" xr:uid="{16911034-9208-43CD-AEC6-11FE627F9FE6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
Jos useita eri alv-kantoja, aseta painotettu keskiarvo.</t>
        </r>
      </text>
    </comment>
    <comment ref="G22" authorId="0" shapeId="0" xr:uid="{955E841A-9ADE-47F5-B717-9B8130A9876A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22" authorId="2" shapeId="0" xr:uid="{50A017C3-6BF8-4CA6-8089-504F44A76063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23" authorId="0" shapeId="0" xr:uid="{AC3246E6-2076-4C14-9BA9-40B7C5C9ABB9}">
      <text>
        <r>
          <rPr>
            <sz val="10"/>
            <color indexed="81"/>
            <rFont val="Tahoma"/>
            <family val="2"/>
          </rPr>
          <t>Ostovelkojen kiertoaika on sama kuin 
8. T4 RAHOITUSSUUN.-taulukukon solussa H57. Pisin maksuaika 90 pv.</t>
        </r>
      </text>
    </comment>
    <comment ref="G24" authorId="0" shapeId="0" xr:uid="{4B9D557D-4BBA-4440-82BD-FE575C844B40}">
      <text>
        <r>
          <rPr>
            <sz val="10"/>
            <color indexed="81"/>
            <rFont val="Tahoma"/>
            <family val="2"/>
          </rPr>
          <t>Yrityskaupassa ja uuden tuotemyynnin käynnistämiseksi ostettava vaihto-omaisuus siirtyy tähän taulukosta 1.T1 INVESTOINTISUUN., kohdasta 10.
Huom. Liiketoimintakaupan tavaravaraston osto alv 0 %. Jos useita alv-prosentteja, niin luku on painotettu keskivarvo.</t>
        </r>
      </text>
    </comment>
    <comment ref="AD24" authorId="2" shapeId="0" xr:uid="{DEF98397-3512-440D-8FDB-D1C5183E9BA2}">
      <text>
        <r>
          <rPr>
            <b/>
            <sz val="9"/>
            <color indexed="81"/>
            <rFont val="Tahoma"/>
            <family val="2"/>
          </rPr>
          <t>2023 Sairausvakuutusmaksu 1,16 %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24" authorId="2" shapeId="0" xr:uid="{A2E12D80-2E7D-4F2C-A34C-BE3734EFFD5D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24" authorId="2" shapeId="0" xr:uid="{16DEE4DC-9576-4D35-A1A0-0485734596A1}">
      <text>
        <r>
          <rPr>
            <b/>
            <sz val="9"/>
            <color indexed="81"/>
            <rFont val="Tahoma"/>
            <family val="2"/>
          </rPr>
          <t>2024: Työntekijä maksaa
TT-vakuutusmaksu 0,79 % + TyEL-maksu 7,15 %</t>
        </r>
        <r>
          <rPr>
            <sz val="9"/>
            <color indexed="81"/>
            <rFont val="Tahoma"/>
            <family val="2"/>
          </rPr>
          <t xml:space="preserve">
= 7,94 %
</t>
        </r>
      </text>
    </comment>
    <comment ref="AE25" authorId="2" shapeId="0" xr:uid="{2637E025-4241-4E5C-B790-835A1A292785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6" authorId="0" shapeId="0" xr:uid="{FF7967C1-44B3-4216-AE03-1408683B3FDC}">
      <text>
        <r>
          <rPr>
            <sz val="10"/>
            <color indexed="81"/>
            <rFont val="Tahoma"/>
            <family val="2"/>
          </rPr>
          <t>Lisää investoinnit 1. T1 INVESTOINTISUUNNITELMA -taulukosta. Vähennä leasingrahoitus. Sijoita toteutumis-kuukaudelle.</t>
        </r>
      </text>
    </comment>
    <comment ref="AE26" authorId="2" shapeId="0" xr:uid="{B0E66862-2E58-48A7-BECD-2A13F2F1EFBB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" authorId="2" shapeId="0" xr:uid="{C7076348-94DE-4225-9DB5-4DF206ECBDA1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</t>
        </r>
      </text>
    </comment>
    <comment ref="F33" authorId="2" shapeId="0" xr:uid="{799F7901-23DC-4CAA-BCCE-F9FBA6DFEC02}">
      <text>
        <r>
          <rPr>
            <b/>
            <sz val="10"/>
            <color indexed="81"/>
            <rFont val="Tahoma"/>
            <family val="2"/>
          </rPr>
          <t xml:space="preserve">YEL-maksut yhteensä </t>
        </r>
        <r>
          <rPr>
            <sz val="10"/>
            <color indexed="81"/>
            <rFont val="Tahoma"/>
            <family val="2"/>
          </rPr>
          <t xml:space="preserve">sisältäen yrittäjän ammattitauti- ja tapaturmavakuutusmaksun.
</t>
        </r>
        <r>
          <rPr>
            <sz val="10"/>
            <color indexed="81"/>
            <rFont val="Tahoma"/>
            <family val="2"/>
          </rPr>
          <t>- 18 - 52 vuotias 25,8 % (uusi yrittäjä 20,5 %)
- 53 - 62 vuotias 27,3 % (uusi 21,6 %)
- 63 - 68 vuotias 25,8 % (uusi yrittäjä 20,5 %)</t>
        </r>
      </text>
    </comment>
    <comment ref="F34" authorId="2" shapeId="0" xr:uid="{5A8C77FF-F54A-48FB-9AF9-3A3CFAF9264A}">
      <text>
        <r>
          <rPr>
            <b/>
            <sz val="10"/>
            <color indexed="81"/>
            <rFont val="Tahoma"/>
            <family val="2"/>
          </rPr>
          <t>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24,81 % palkoista
- Tapaturmavakuutusta keskimäärin 0,57 %
  (tapaturma-alttiilla aloilla suurempi)
- Ryhmähenkivakuutusta 0,06 % 
- Työttömyysvakuutusta 1,06 %
</t>
        </r>
        <r>
          <rPr>
            <b/>
            <sz val="10"/>
            <color indexed="81"/>
            <rFont val="Tahoma"/>
            <family val="2"/>
          </rPr>
          <t>Yhteensä noin 26,5 %</t>
        </r>
      </text>
    </comment>
    <comment ref="T35" authorId="2" shapeId="0" xr:uid="{AD9CF3F0-B428-4158-93C5-99B3533FE13B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38" authorId="0" shapeId="0" xr:uid="{00000000-0006-0000-0600-00002C000000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G40" authorId="0" shapeId="0" xr:uid="{9981C798-909E-4A7C-85A8-E8BEEA0C6F4E}">
      <text>
        <r>
          <rPr>
            <sz val="10"/>
            <color indexed="81"/>
            <rFont val="Tahoma"/>
            <family val="2"/>
          </rPr>
          <t>Lisää investoinnit 1. T1 INVESTOINTISUUNNITELMA -taulukosta. Vähennä leasingrahoitus.</t>
        </r>
      </text>
    </comment>
    <comment ref="T47" authorId="2" shapeId="0" xr:uid="{07040045-7773-4047-BBFF-F69A496B48C5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48" authorId="0" shapeId="0" xr:uid="{4D78EC08-EA58-41E1-B791-38055BC3691A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4. T7 LAINAT. Lisää lyhytaikaiset ja muut ilman velkakirjaa nostetut lainat. </t>
        </r>
        <r>
          <rPr>
            <b/>
            <sz val="10"/>
            <color indexed="81"/>
            <rFont val="Tahoma"/>
            <family val="2"/>
          </rPr>
          <t xml:space="preserve">Sijoita oikealle kuukaudelle! </t>
        </r>
      </text>
    </comment>
    <comment ref="L49" authorId="2" shapeId="0" xr:uid="{E3194E80-B3A5-4EA0-A79E-808BBE38C185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R49" authorId="2" shapeId="0" xr:uid="{A4417D69-8256-4D02-9EFB-FCF784A71F24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G50" authorId="2" shapeId="0" xr:uid="{B2C9C0D3-1C77-438C-8536-4DED22BB8FC5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51" authorId="2" shapeId="0" xr:uid="{DC4D0364-E23A-4071-B635-3D0FD0F53E0B}">
      <text>
        <r>
          <rPr>
            <sz val="10"/>
            <color indexed="81"/>
            <rFont val="Tahoma"/>
            <family val="2"/>
          </rPr>
          <t xml:space="preserve">Omistajien sijoitukset yritykseen </t>
        </r>
        <r>
          <rPr>
            <b/>
            <sz val="10"/>
            <color indexed="81"/>
            <rFont val="Tahoma"/>
            <family val="2"/>
          </rPr>
          <t xml:space="preserve">ensimmäisen ennustevuoden jälkeen </t>
        </r>
        <r>
          <rPr>
            <sz val="10"/>
            <color indexed="81"/>
            <rFont val="Tahoma"/>
            <family val="2"/>
          </rPr>
          <t>1. T1 INVESTOINTISUUN-taulukosta. Sijoita oikealle kuukaudelle.</t>
        </r>
      </text>
    </comment>
    <comment ref="G52" authorId="2" shapeId="0" xr:uid="{3DCF3064-190A-451C-ABA1-17C93F283B5F}">
      <text>
        <r>
          <rPr>
            <sz val="10"/>
            <color indexed="81"/>
            <rFont val="Tahoma"/>
            <family val="2"/>
          </rPr>
          <t xml:space="preserve">Omistajien antamat pääomalainat 1. T1 INVESTOINTISUUN-taulukon kohdasta 15. Sijoita oikealle kuukaudelle. </t>
        </r>
      </text>
    </comment>
    <comment ref="R56" authorId="2" shapeId="0" xr:uid="{DD76BB89-1646-454C-8ED1-CEC176E6BA51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</authors>
  <commentList>
    <comment ref="H30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M30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S30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Y30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E30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K30" authorId="0" shapeId="0" xr:uid="{00000000-0006-0000-0D00-000006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H59" authorId="0" shapeId="0" xr:uid="{00000000-0006-0000-0D00-000007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M59" authorId="0" shapeId="0" xr:uid="{00000000-0006-0000-0D00-000008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S59" authorId="0" shapeId="0" xr:uid="{00000000-0006-0000-0D00-000009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Y59" authorId="0" shapeId="0" xr:uid="{00000000-0006-0000-0D00-00000A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E59" authorId="0" shapeId="0" xr:uid="{00000000-0006-0000-0D00-00000B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K59" authorId="0" shapeId="0" xr:uid="{00000000-0006-0000-0D00-00000C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<sst xmlns="http://schemas.openxmlformats.org/spreadsheetml/2006/main" count="1635" uniqueCount="765">
  <si>
    <t xml:space="preserve"> </t>
  </si>
  <si>
    <t xml:space="preserve">2. VUOSI 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</si>
  <si>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</si>
  <si>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</si>
  <si>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</si>
  <si>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</si>
  <si>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</si>
  <si>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</si>
  <si>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</si>
  <si>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</si>
  <si>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</si>
  <si>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</si>
  <si>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3. VUOSI </t>
  </si>
  <si>
    <t>Henkilöstökulut</t>
  </si>
  <si>
    <t>%</t>
  </si>
  <si>
    <t xml:space="preserve"> - jäsenmaksut</t>
  </si>
  <si>
    <t xml:space="preserve">1. VUOSI </t>
  </si>
  <si>
    <t>Euroa</t>
  </si>
  <si>
    <t>YHTEENSÄ</t>
  </si>
  <si>
    <t>HENKILÖSTÖSIVUKULUT</t>
  </si>
  <si>
    <t>PALKAT JA PALKKIOT</t>
  </si>
  <si>
    <t xml:space="preserve"> 2.1 Eläkekulut</t>
  </si>
  <si>
    <t xml:space="preserve"> - YEL-vakuutusmaksut</t>
  </si>
  <si>
    <t xml:space="preserve"> - vapaaehtoiset eläkevakuutusmaksut</t>
  </si>
  <si>
    <t>2.2 Muut henkilösivukulut</t>
  </si>
  <si>
    <t>LIIKETOIMINNAN MUUT KULUT</t>
  </si>
  <si>
    <t>3.1 Muut henkilöstökulut</t>
  </si>
  <si>
    <t>3.2 Toimitilakustannukset</t>
  </si>
  <si>
    <t xml:space="preserve"> - jätehuolto</t>
  </si>
  <si>
    <t xml:space="preserve"> - työterveyshuolto</t>
  </si>
  <si>
    <t xml:space="preserve"> - työvaatteet ja suojavälineet</t>
  </si>
  <si>
    <t xml:space="preserve"> - muut vapaaehtoiset henkilöstökulut</t>
  </si>
  <si>
    <t xml:space="preserve"> - sähkö ja kaasu </t>
  </si>
  <si>
    <t xml:space="preserve"> - vesi ja jätevesi</t>
  </si>
  <si>
    <t xml:space="preserve"> - lämmitys</t>
  </si>
  <si>
    <t xml:space="preserve"> - kiinteistövakuutukset</t>
  </si>
  <si>
    <t xml:space="preserve"> - kiinteistövero, muut kulut</t>
  </si>
  <si>
    <t xml:space="preserve"> - ohjelmat, päivitykset ja ylläpito</t>
  </si>
  <si>
    <t xml:space="preserve"> - huolto ja korjaus</t>
  </si>
  <si>
    <t xml:space="preserve"> - muut kone- ja kalustokulut</t>
  </si>
  <si>
    <t xml:space="preserve"> - matkaliput ja majoituskulut</t>
  </si>
  <si>
    <t xml:space="preserve"> - ruokailu matkalla</t>
  </si>
  <si>
    <t xml:space="preserve"> - muut matkakulut</t>
  </si>
  <si>
    <t xml:space="preserve"> - kilometrikorvaukset</t>
  </si>
  <si>
    <t xml:space="preserve"> - mainostoimistopalvelut</t>
  </si>
  <si>
    <t xml:space="preserve"> - suora- ja ilmoitusmainonta</t>
  </si>
  <si>
    <t xml:space="preserve"> - muut markkinointikulut</t>
  </si>
  <si>
    <t xml:space="preserve"> - tuotekehitys- ja testauspalvelut</t>
  </si>
  <si>
    <t xml:space="preserve"> - tavaramerkit, patentit yms.</t>
  </si>
  <si>
    <t xml:space="preserve"> - sertifiointi ja laatutodistukset</t>
  </si>
  <si>
    <t xml:space="preserve"> - muut kehityskulut</t>
  </si>
  <si>
    <t xml:space="preserve"> - vuokratyövoima</t>
  </si>
  <si>
    <t xml:space="preserve"> - taloushallintopalvelut, tilintarkastus</t>
  </si>
  <si>
    <t xml:space="preserve"> - laki-, perintä- ja konsultointipalvelut</t>
  </si>
  <si>
    <t xml:space="preserve"> - kirjat, lehdet</t>
  </si>
  <si>
    <t xml:space="preserve"> - puhelin- ja matkapuhelinkulut</t>
  </si>
  <si>
    <t xml:space="preserve"> - datasiirtokulut</t>
  </si>
  <si>
    <t xml:space="preserve"> - posti- ja lähettikulut</t>
  </si>
  <si>
    <t xml:space="preserve"> - rahaliikenteen kulut</t>
  </si>
  <si>
    <t xml:space="preserve"> - muut vakuutukset, keskeytysvakuutus</t>
  </si>
  <si>
    <t xml:space="preserve"> - YEL-yrittäjien kuukausipalkat brutto</t>
  </si>
  <si>
    <t xml:space="preserve"> - palkanmaksukuukaudet</t>
  </si>
  <si>
    <t>1.1 YEL-yrittäjät</t>
  </si>
  <si>
    <t>3.4. Atk-laite ja -ohjelmakulut</t>
  </si>
  <si>
    <t>3.6 Matkakulut</t>
  </si>
  <si>
    <t>3.7 Matkakustannusten korvaukset</t>
  </si>
  <si>
    <t>3.8 Edustuskulut</t>
  </si>
  <si>
    <t>3.10 Markkinointikulut</t>
  </si>
  <si>
    <t xml:space="preserve">3.11 Tutkimus- ja tuotekehityskulut </t>
  </si>
  <si>
    <t xml:space="preserve">3.12 Hallintopalvelut </t>
  </si>
  <si>
    <t>3.14 Tieto- ja rahaliikenne</t>
  </si>
  <si>
    <t>3.16 Toimistotarvikkeet</t>
  </si>
  <si>
    <t>3.17 Kokous- ja neuvottelukulut</t>
  </si>
  <si>
    <t xml:space="preserve"> - YEL-vakuutusmaksuprosentti</t>
  </si>
  <si>
    <t>HENKILÖSTÖKULUT YHTEENSÄ</t>
  </si>
  <si>
    <t xml:space="preserve"> - myynti/suoritemäärä yksikköä</t>
  </si>
  <si>
    <t xml:space="preserve"> - myyntihinta / yksikkö</t>
  </si>
  <si>
    <t>LIIKEVAIHTO</t>
  </si>
  <si>
    <t>AINEKÄYTTÖ</t>
  </si>
  <si>
    <t>AINEKÄYTTÖ-%</t>
  </si>
  <si>
    <t>Liiketoiminnan muut tuotot</t>
  </si>
  <si>
    <t>Aineet, tarvikkeet ja tavarat</t>
  </si>
  <si>
    <t>Ulkopuoliset palvelut</t>
  </si>
  <si>
    <t>Liiketoiminnan muut kulut</t>
  </si>
  <si>
    <t>LIIKETOIMINNAN TUOTOT YHTEENSÄ</t>
  </si>
  <si>
    <t>KÄYTTÖKATE</t>
  </si>
  <si>
    <t>VOITTO (TAPPIO) ENNEN TILINPÄÄTÖSSIIRTOJA JA VEROJA</t>
  </si>
  <si>
    <t>Tuloverot</t>
  </si>
  <si>
    <t>Muistiinpanoja:</t>
  </si>
  <si>
    <t>+</t>
  </si>
  <si>
    <t>-</t>
  </si>
  <si>
    <t>TILIKAUDEN VOITTO/TAPPIO</t>
  </si>
  <si>
    <t xml:space="preserve">    </t>
  </si>
  <si>
    <t>Päivämäärä</t>
  </si>
  <si>
    <t xml:space="preserve"> Vieras rahoitus</t>
  </si>
  <si>
    <t>Valmistevaraston lisäys/vähennys</t>
  </si>
  <si>
    <t>+/-</t>
  </si>
  <si>
    <t>Tuotot osuuksista ja muista sijoituksista</t>
  </si>
  <si>
    <t>Ennuste 2</t>
  </si>
  <si>
    <t>Ennuste  1</t>
  </si>
  <si>
    <t>Ennuste 3</t>
  </si>
  <si>
    <t>Toteutunut tilikausi</t>
  </si>
  <si>
    <t>HENKILÖSTÖ KESKIMÄÄRIN</t>
  </si>
  <si>
    <t>T1  INVESTOINTISUUNNITELMA</t>
  </si>
  <si>
    <t>T2  TULOSSUUNNITELMA</t>
  </si>
  <si>
    <t>E1  TOIMINTAKUSTANNUKSET</t>
  </si>
  <si>
    <t>Poistoeron lisäys/vähennys</t>
  </si>
  <si>
    <t>Tot. tilikausi</t>
  </si>
  <si>
    <t>E2  LIIKEVAIHDON MUODOSTUMINEN</t>
  </si>
  <si>
    <t>Investoinnin aikaansaama liikevaihdon lisäys/vuosi</t>
  </si>
  <si>
    <t>Ennuste 1</t>
  </si>
  <si>
    <t xml:space="preserve">   </t>
  </si>
  <si>
    <t>T4 RAHOITUSSUUNNITELMA</t>
  </si>
  <si>
    <t>Rahoitustulos</t>
  </si>
  <si>
    <t>Omistajien lisäsijoitukset</t>
  </si>
  <si>
    <t>Koneet ja kalusto</t>
  </si>
  <si>
    <t>Kumulatiivinen yli-/alijäämä</t>
  </si>
  <si>
    <t>Vaihto-omaisuus</t>
  </si>
  <si>
    <t>Muut investoinnit</t>
  </si>
  <si>
    <t>Käyttöpääoman muutos</t>
  </si>
  <si>
    <t>Muu rahoitusomaisuuden lisäys</t>
  </si>
  <si>
    <t>Lyhytaikaisten lainojen vähennys</t>
  </si>
  <si>
    <t>VUOSITTAIN MAKSETTAVAT LYHENNYKSET JA KOROT</t>
  </si>
  <si>
    <t>Korko-%</t>
  </si>
  <si>
    <t>Luotonantaja</t>
  </si>
  <si>
    <t>Lyhennys</t>
  </si>
  <si>
    <t>Korko</t>
  </si>
  <si>
    <t>UUDET LAINAT</t>
  </si>
  <si>
    <t>Määrä</t>
  </si>
  <si>
    <t>Nosto</t>
  </si>
  <si>
    <t>PO loppu</t>
  </si>
  <si>
    <t>Nykyiset lainat yhteensä</t>
  </si>
  <si>
    <t>Uudet lainat yhteensä</t>
  </si>
  <si>
    <t>Lyhytaikaisten lainojen lisäys</t>
  </si>
  <si>
    <t>Lyhen.</t>
  </si>
  <si>
    <t>aika'</t>
  </si>
  <si>
    <t>Laina-</t>
  </si>
  <si>
    <t>PO ka.</t>
  </si>
  <si>
    <t>Maa-alueet</t>
  </si>
  <si>
    <t>Rakennukset ja rakennelmat</t>
  </si>
  <si>
    <t>Myyntisaamiset</t>
  </si>
  <si>
    <t>Osatuloutuksen saamiset</t>
  </si>
  <si>
    <t>Ostovelat</t>
  </si>
  <si>
    <t>Saadut ennakot</t>
  </si>
  <si>
    <t xml:space="preserve">Käyttöpääoma </t>
  </si>
  <si>
    <t>=</t>
  </si>
  <si>
    <t xml:space="preserve"> - ALV-vähennyskelpoiset kulut</t>
  </si>
  <si>
    <t xml:space="preserve">  - ALV 0 % - kulut</t>
  </si>
  <si>
    <t>YHT</t>
  </si>
  <si>
    <t xml:space="preserve"> Käteismyynti, myyntisosuus</t>
  </si>
  <si>
    <t xml:space="preserve"> - myynnin kuukausijakautuma</t>
  </si>
  <si>
    <t xml:space="preserve"> Laskutusmyynti</t>
  </si>
  <si>
    <t xml:space="preserve"> - myynnin kuukausijakautuma </t>
  </si>
  <si>
    <t xml:space="preserve"> - maksuehto</t>
  </si>
  <si>
    <t xml:space="preserve"> pv</t>
  </si>
  <si>
    <t xml:space="preserve"> Maksettava arvonlisävero</t>
  </si>
  <si>
    <t xml:space="preserve"> Nettopalkat</t>
  </si>
  <si>
    <t xml:space="preserve"> Verot</t>
  </si>
  <si>
    <t xml:space="preserve"> Osingot, yksityiskäyttö</t>
  </si>
  <si>
    <t>TULOT - MENOT</t>
  </si>
  <si>
    <t xml:space="preserve"> Rahoitusmenot</t>
  </si>
  <si>
    <t xml:space="preserve"> Omistajien lisäsijoitukset</t>
  </si>
  <si>
    <t xml:space="preserve"> Muu pääomarahoitus</t>
  </si>
  <si>
    <t xml:space="preserve"> - laite- ja kalustovuokrat, leasingvuokrat</t>
  </si>
  <si>
    <t>Pidätys-%</t>
  </si>
  <si>
    <t>Alv -%</t>
  </si>
  <si>
    <t>Alv-%</t>
  </si>
  <si>
    <t>Versio 1 / pp.kk.vvvv</t>
  </si>
  <si>
    <t>11.</t>
  </si>
  <si>
    <t>12.</t>
  </si>
  <si>
    <t>14.</t>
  </si>
  <si>
    <t>15.</t>
  </si>
  <si>
    <t>16.</t>
  </si>
  <si>
    <t>17.</t>
  </si>
  <si>
    <t>18.</t>
  </si>
  <si>
    <t>19.</t>
  </si>
  <si>
    <t xml:space="preserve"> - leasing- ja vuokrakulut</t>
  </si>
  <si>
    <t xml:space="preserve"> - polttoaine</t>
  </si>
  <si>
    <t>T5 KASSABUDJETTI</t>
  </si>
  <si>
    <t>Oma rahoitus</t>
  </si>
  <si>
    <t xml:space="preserve"> - vakuutukset ja käyttömaksut</t>
  </si>
  <si>
    <t xml:space="preserve"> - muut hallintokulut ja maksut</t>
  </si>
  <si>
    <t xml:space="preserve"> - esinevakuutukset, konerikko yms.</t>
  </si>
  <si>
    <t xml:space="preserve"> Ulkopuoliset palvelut</t>
  </si>
  <si>
    <t>Raha-</t>
  </si>
  <si>
    <t>Verottaja-</t>
  </si>
  <si>
    <t>Netto-</t>
  </si>
  <si>
    <t>palkat</t>
  </si>
  <si>
    <t>edut</t>
  </si>
  <si>
    <t>tilitykset</t>
  </si>
  <si>
    <t>Yhteensä</t>
  </si>
  <si>
    <t xml:space="preserve">Finnvera </t>
  </si>
  <si>
    <t xml:space="preserve">YEL-henkilöt </t>
  </si>
  <si>
    <t>Verotettava</t>
  </si>
  <si>
    <t>tulo</t>
  </si>
  <si>
    <r>
      <t xml:space="preserve">3.9 Myyntikulut </t>
    </r>
    <r>
      <rPr>
        <sz val="9"/>
        <rFont val="Arial"/>
        <family val="2"/>
      </rPr>
      <t>(mm. palkkiot, provisiot)</t>
    </r>
  </si>
  <si>
    <t>Lainamäärä</t>
  </si>
  <si>
    <t>Lainamäärä viimeisessä tilinpää-töksessä</t>
  </si>
  <si>
    <t xml:space="preserve"> - avustus-%</t>
  </si>
  <si>
    <t xml:space="preserve"> PÄÄOMANTARVE (euroa)</t>
  </si>
  <si>
    <t xml:space="preserve"> - arvonlisävero-%</t>
  </si>
  <si>
    <t xml:space="preserve"> - Alv:n määrä</t>
  </si>
  <si>
    <t xml:space="preserve"> - Veroton hinta</t>
  </si>
  <si>
    <t xml:space="preserve"> - avustuksen määrä</t>
  </si>
  <si>
    <t>ALV-palautukset yhteensä</t>
  </si>
  <si>
    <t>Avustukset yhteensä</t>
  </si>
  <si>
    <t>ALV-PALAUTUS  JA AVUSTUS</t>
  </si>
  <si>
    <r>
      <t xml:space="preserve"> - pinta-ala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</si>
  <si>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t>Sijoitukset</t>
  </si>
  <si>
    <t>Saamiset</t>
  </si>
  <si>
    <t>1. Myyntisaamiset</t>
  </si>
  <si>
    <t>Rahoitusarvopaperit</t>
  </si>
  <si>
    <t>Rahat ja pankkisaamiset</t>
  </si>
  <si>
    <t>VASTAAVAA</t>
  </si>
  <si>
    <t>VASTATTAVAA</t>
  </si>
  <si>
    <t>OMA PÄÄOMA</t>
  </si>
  <si>
    <t>B.</t>
  </si>
  <si>
    <t>VAIHTUVAT VASTAAVAT</t>
  </si>
  <si>
    <t>A.</t>
  </si>
  <si>
    <t>PYSYVÄT VASTAAVAT</t>
  </si>
  <si>
    <t>TILINPÄÄTÖSSIIRTOJEN KERTYMÄ</t>
  </si>
  <si>
    <t>1. Poistoero</t>
  </si>
  <si>
    <t>Vuosipoisto</t>
  </si>
  <si>
    <t xml:space="preserve">C. </t>
  </si>
  <si>
    <t>PAKOLLISET VARAUKSET</t>
  </si>
  <si>
    <t xml:space="preserve">D. </t>
  </si>
  <si>
    <t>1. Lainat rahoituslaitoksilta</t>
  </si>
  <si>
    <t>Vanhat osamaksuvelat</t>
  </si>
  <si>
    <t>Ensimmäinen kausi</t>
  </si>
  <si>
    <t>Viimeinen kausi</t>
  </si>
  <si>
    <t>Nykyiset osamaksuvelat</t>
  </si>
  <si>
    <t>Uudet osamaksuvelat 1</t>
  </si>
  <si>
    <t>Uudet osamaksuvelat 2</t>
  </si>
  <si>
    <t>Uudet osamaksuvelat 3</t>
  </si>
  <si>
    <t>Osamaksuvelkojen vähennys</t>
  </si>
  <si>
    <t>Osamaksuvelkojen lisäys</t>
  </si>
  <si>
    <t>PITKÄAIKAINEN VIERAS PÄÄOMA</t>
  </si>
  <si>
    <t>E.</t>
  </si>
  <si>
    <t>LYHYTAIKAINEN VIERAS PÄÄOMA</t>
  </si>
  <si>
    <t>3. Ostovelat</t>
  </si>
  <si>
    <t>4. Muut pitkäaikaiset velat</t>
  </si>
  <si>
    <t>2. Pääomalainat</t>
  </si>
  <si>
    <t>4. Muut lyhytaikaiset velat</t>
  </si>
  <si>
    <t>5. Siirtovelat</t>
  </si>
  <si>
    <t>VASTAAVAA YHTEENSÄ</t>
  </si>
  <si>
    <t xml:space="preserve"> - arvon avustuksen jälkeen alv 0</t>
  </si>
  <si>
    <t>Vakuutusmaksut siirtosaatavia varten</t>
  </si>
  <si>
    <t>Kuluerittelyjä tasetta varten</t>
  </si>
  <si>
    <t xml:space="preserve">T3 TASE </t>
  </si>
  <si>
    <t>2. Osatuloutuksen saamiset</t>
  </si>
  <si>
    <t>6. Saadut ennakot</t>
  </si>
  <si>
    <t xml:space="preserve">Aineettomat hyödykkeet </t>
  </si>
  <si>
    <t xml:space="preserve">Aineelliset hyödykkeet </t>
  </si>
  <si>
    <t xml:space="preserve">2. Rakennukset ja rakennelmat </t>
  </si>
  <si>
    <t xml:space="preserve">3. Koneet ja kalusto </t>
  </si>
  <si>
    <t xml:space="preserve">4. Muut aineelliset hyödykkeet </t>
  </si>
  <si>
    <t>Osamaksuvelat yhteensä</t>
  </si>
  <si>
    <t>Ennuste 4</t>
  </si>
  <si>
    <t>VANHAT LAINAT</t>
  </si>
  <si>
    <t>VASTATTAVAA YHTEENSÄ</t>
  </si>
  <si>
    <t>HINNAT ILMAN ARVONLISÄVEROA</t>
  </si>
  <si>
    <t xml:space="preserve"> RAHOITUS (euroa)</t>
  </si>
  <si>
    <t xml:space="preserve"> +/-</t>
  </si>
  <si>
    <t>Arvonlisäverolliset ostot</t>
  </si>
  <si>
    <t>Poistot, oma pääoma</t>
  </si>
  <si>
    <t xml:space="preserve"> - lilsäykset tilikaudella</t>
  </si>
  <si>
    <t xml:space="preserve"> - vähennykset tilikaudella</t>
  </si>
  <si>
    <t xml:space="preserve"> - poistot</t>
  </si>
  <si>
    <t>Oma pääoma</t>
  </si>
  <si>
    <t>Lisäykset tilikaudella</t>
  </si>
  <si>
    <t>Vähennykset tilikaudella</t>
  </si>
  <si>
    <t>Poistot yhteensä</t>
  </si>
  <si>
    <t xml:space="preserve"> - voitto</t>
  </si>
  <si>
    <t xml:space="preserve"> - yksityisotot, osinko</t>
  </si>
  <si>
    <t>Nettoinvestoinnit</t>
  </si>
  <si>
    <t>1. Osakepääoma tms.</t>
  </si>
  <si>
    <t>2. Edellisten tilikausien voitot</t>
  </si>
  <si>
    <t xml:space="preserve">1. Maa- ja vesialueet </t>
  </si>
  <si>
    <t>Muut saamiset</t>
  </si>
  <si>
    <t>Vanhat yhteensä</t>
  </si>
  <si>
    <t xml:space="preserve"> -/+</t>
  </si>
  <si>
    <t>Myyntisaamisten kiertonopeus (pv)</t>
  </si>
  <si>
    <t>Ennuste 5</t>
  </si>
  <si>
    <t>Uudet osamaksuvelat 4</t>
  </si>
  <si>
    <t xml:space="preserve"> Nettovarallisuus</t>
  </si>
  <si>
    <t xml:space="preserve"> Varat</t>
  </si>
  <si>
    <t>4. VUOSI</t>
  </si>
  <si>
    <t>TUNNUSLUKUJA TALOUDESTA</t>
  </si>
  <si>
    <t xml:space="preserve"> Liikevaihto</t>
  </si>
  <si>
    <t xml:space="preserve"> Liikevaihto/henkilö</t>
  </si>
  <si>
    <t>LIIKETOIMINNAN LAAJUUS</t>
  </si>
  <si>
    <t>LIIKETOIMINNAN KANNATTAVUUS</t>
  </si>
  <si>
    <t xml:space="preserve"> Sijoitettu pääoma</t>
  </si>
  <si>
    <t xml:space="preserve"> Käyttökate-%</t>
  </si>
  <si>
    <t xml:space="preserve"> Tilikauden voitto</t>
  </si>
  <si>
    <t xml:space="preserve"> Tilikauden voitto-%</t>
  </si>
  <si>
    <t xml:space="preserve"> Quick ratio</t>
  </si>
  <si>
    <t xml:space="preserve"> Current ratio</t>
  </si>
  <si>
    <t>VAKAVARAISUUS</t>
  </si>
  <si>
    <t xml:space="preserve"> Omavaraisuusaste</t>
  </si>
  <si>
    <t xml:space="preserve"> - työntekijät, lukumäärä</t>
  </si>
  <si>
    <t>Yhteens</t>
  </si>
  <si>
    <t xml:space="preserve"> Toteutunut tilikausi, siirtosaamisten %-osuus liikevaihdosta</t>
  </si>
  <si>
    <t>LAINAT TASEESSA</t>
  </si>
  <si>
    <t>Vanhat lainat</t>
  </si>
  <si>
    <t>3. Osingonjako, yksityisotot</t>
  </si>
  <si>
    <t>3. Muut saamiset</t>
  </si>
  <si>
    <t>4. Siirtosaamiset</t>
  </si>
  <si>
    <t>Lyhytaik.</t>
  </si>
  <si>
    <t>Pitkäaik.</t>
  </si>
  <si>
    <t>kaudella</t>
  </si>
  <si>
    <t>OSAMAKSUVELAT TASEESSA KO. VUONNA</t>
  </si>
  <si>
    <t>Lainat taseessa ko. vuonna</t>
  </si>
  <si>
    <t xml:space="preserve"> TyEL- maksut, pakolliset työntekijävakuutukset</t>
  </si>
  <si>
    <t xml:space="preserve"> Lainojen hoitokate</t>
  </si>
  <si>
    <t xml:space="preserve"> Pakolliset henkilöstökulut / henkilö</t>
  </si>
  <si>
    <t xml:space="preserve"> Kaikki henkilöstökulut / henkilö</t>
  </si>
  <si>
    <t>NETTOVARALLISUUSLASKELMA</t>
  </si>
  <si>
    <t>Arvonlisäverovähennys</t>
  </si>
  <si>
    <t xml:space="preserve">Avustukset (kohtiin 1 - 7) </t>
  </si>
  <si>
    <t>Rahoitus yhteensä</t>
  </si>
  <si>
    <t xml:space="preserve">3.13 Tiedonhankinta </t>
  </si>
  <si>
    <t xml:space="preserve"> - laite- ja ohjelmavuokrat ja leasingit</t>
  </si>
  <si>
    <t>Arvosana</t>
  </si>
  <si>
    <t>1.2 Tuntipalkkaiset työntekijät / TyEL-yrittäjät</t>
  </si>
  <si>
    <t xml:space="preserve"> - toimihenkilöt, lukumäärä</t>
  </si>
  <si>
    <t>1.3 Toimihenkilöt / TyEL-yrittäjät</t>
  </si>
  <si>
    <t xml:space="preserve"> - YEL-maksujen työtulo</t>
  </si>
  <si>
    <t xml:space="preserve">ENNUSTEVUOSI </t>
  </si>
  <si>
    <t xml:space="preserve"> Lainojen nostot ja osamaksujen lisäykset</t>
  </si>
  <si>
    <t xml:space="preserve"> - henkilökunnan koulutus</t>
  </si>
  <si>
    <t xml:space="preserve"> - virkistys- ja harrastustoiminta</t>
  </si>
  <si>
    <t>Ohjelman antamien tulosten oikeellisuus ja vastuu tuloksista</t>
  </si>
  <si>
    <t>Käyttäjä tiedostaa, että ohjelma voi sisältää virheitä ja ohjelman antamat tulokset ovat viitteellisiä</t>
  </si>
  <si>
    <t>ja suuntaa-antavia. Käyttäjä käyttää ohjelmaa ja tulkitsee tuloksia omalla vastuullaan.</t>
  </si>
  <si>
    <t>F.</t>
  </si>
  <si>
    <t>G.</t>
  </si>
  <si>
    <t xml:space="preserve"> - puhtaanapito, ulkoalueiden hoito</t>
  </si>
  <si>
    <t xml:space="preserve"> - toimitilojen korjaus</t>
  </si>
  <si>
    <t xml:space="preserve"> - vartiointi, lukituspalvelut</t>
  </si>
  <si>
    <t>4. Tilikauden voitto/tappio</t>
  </si>
  <si>
    <t xml:space="preserve">Muu lyhytaik. vieraan po:n lisäys/vähennys     </t>
  </si>
  <si>
    <t xml:space="preserve">  </t>
  </si>
  <si>
    <t>aika</t>
  </si>
  <si>
    <t xml:space="preserve"> Investoinnit alv 0  %</t>
  </si>
  <si>
    <t xml:space="preserve"> RAHAN KÄYTTÖ</t>
  </si>
  <si>
    <t xml:space="preserve"> RAHAN LÄHTEET</t>
  </si>
  <si>
    <t xml:space="preserve"> KÄYTTÖPÄÄOMA</t>
  </si>
  <si>
    <t>Pankki</t>
  </si>
  <si>
    <t>Tuloveroprosentti</t>
  </si>
  <si>
    <t>Ennuste 5 ei näkyvissä</t>
  </si>
  <si>
    <t xml:space="preserve"> Lainojen lyhennykset </t>
  </si>
  <si>
    <t>MYYNNIN ALV:N MÄÄRÄ</t>
  </si>
  <si>
    <t>5. Sijoitetun vapaan pääoman rahasto</t>
  </si>
  <si>
    <t>1.4 Saadut vakuutusmaksukorvaukset</t>
  </si>
  <si>
    <t>Alv-laskelma kassabudj.</t>
  </si>
  <si>
    <t>Alv:n osuus</t>
  </si>
  <si>
    <t>ALV myynnistä</t>
  </si>
  <si>
    <t>Alv ostoista</t>
  </si>
  <si>
    <t>Veron määrä</t>
  </si>
  <si>
    <t xml:space="preserve"> - päivärahat, ateriakorvaukset yms.</t>
  </si>
  <si>
    <t xml:space="preserve"> - messut, näyttelyt yms. myynninedistäminen</t>
  </si>
  <si>
    <t>Suunnitelman mukaiset poistot</t>
  </si>
  <si>
    <t>LIIKETULOS</t>
  </si>
  <si>
    <t>Muut korko- ja rahoitustuotot</t>
  </si>
  <si>
    <t>Muut korko- ja rahoituskulut</t>
  </si>
  <si>
    <t>13.</t>
  </si>
  <si>
    <t>2.5 Muut henkilövakuutusmaksut</t>
  </si>
  <si>
    <t>Myynti kaudella</t>
  </si>
  <si>
    <t>Kassaan 1. kk</t>
  </si>
  <si>
    <t>Kassaan 2. kk</t>
  </si>
  <si>
    <t>Kassaan 3. kk</t>
  </si>
  <si>
    <t>Kassaan 4. kk</t>
  </si>
  <si>
    <t>Kassaan 5. kk</t>
  </si>
  <si>
    <t>Kassaan 6. kk</t>
  </si>
  <si>
    <t>&lt;31 pv</t>
  </si>
  <si>
    <t>Kassaan 7. kk</t>
  </si>
  <si>
    <t>Maksut tilille myynneistä</t>
  </si>
  <si>
    <t>Maksut yhteensä</t>
  </si>
  <si>
    <t>31 - 60 pv</t>
  </si>
  <si>
    <t>61 - 90 pv</t>
  </si>
  <si>
    <t>91 - 120 pv</t>
  </si>
  <si>
    <t>121 - 150 pv</t>
  </si>
  <si>
    <t>150  - 180 pv</t>
  </si>
  <si>
    <t>Maksuehto  &lt; 30 pv</t>
  </si>
  <si>
    <t>Maksuehto 31 - 60 pv</t>
  </si>
  <si>
    <t>Maksuehto 61 - 90 pv</t>
  </si>
  <si>
    <t>Maksuehto 91 - 120 pv</t>
  </si>
  <si>
    <t>Maksuehto 121 - 150 pv</t>
  </si>
  <si>
    <t>Maksuehto 151 - 180 pv</t>
  </si>
  <si>
    <t xml:space="preserve">NYKYISET PITKÄAIKAISET LAINAT </t>
  </si>
  <si>
    <t>OSTOJEN ALV:N MÄÄRÄ</t>
  </si>
  <si>
    <t>Tilikauden pituus (kuukautta)</t>
  </si>
  <si>
    <t>12</t>
  </si>
  <si>
    <t>Toteutunut</t>
  </si>
  <si>
    <t>Myyntisaatavien kiertoaika</t>
  </si>
  <si>
    <t>Kassaa 1. kk</t>
  </si>
  <si>
    <t>Toteutunut maksuaika pv</t>
  </si>
  <si>
    <t>Myyntisaamiset edell. tilikausi</t>
  </si>
  <si>
    <t xml:space="preserve">Myyntisaamiset/pv  </t>
  </si>
  <si>
    <t>Myynti tilikaudella</t>
  </si>
  <si>
    <t>Maksuehto 181 - 210 pv</t>
  </si>
  <si>
    <t>Maksuehto 211 - 240 pv</t>
  </si>
  <si>
    <t>Maksuehto 241 - 270 pv</t>
  </si>
  <si>
    <t>Maksuehto 271 - 300 pv</t>
  </si>
  <si>
    <t>Maksuehto 301 - 330 pv</t>
  </si>
  <si>
    <t>Maksuehto 331 - 360 pv</t>
  </si>
  <si>
    <t>Investointi käytössä kuukausina tilikauden aikana</t>
  </si>
  <si>
    <t>Muistiinpanoja (voidaan käyttää Excelin tavoin):</t>
  </si>
  <si>
    <t>TÄMÄN RIVIN TIEDOT SIIRTYVÄT MYÖHEMMIN TAULUKOSTA T4 RAHOITUSSUUNNITELMA.</t>
  </si>
  <si>
    <t xml:space="preserve"> Osingon/yksityisoton osuus nettovarallisuudesta</t>
  </si>
  <si>
    <t xml:space="preserve"> Nostettava osinko/yksityisotot</t>
  </si>
  <si>
    <t>I.</t>
  </si>
  <si>
    <t>II.</t>
  </si>
  <si>
    <t>III.</t>
  </si>
  <si>
    <t>I .</t>
  </si>
  <si>
    <t>IV.</t>
  </si>
  <si>
    <t>Kassan riittävyys / Muut kiinteät kulut (pv)</t>
  </si>
  <si>
    <t xml:space="preserve">- </t>
  </si>
  <si>
    <t xml:space="preserve"> Vieraan pääoman takaisinmaksuaika (vuotta)</t>
  </si>
  <si>
    <t>RAHAN LÄHTEET JA RAHAN KÄYTTÖ</t>
  </si>
  <si>
    <t>Valmistus omaan käyttöön</t>
  </si>
  <si>
    <t>Verotusperusteisten varausten lisäys/vähen.</t>
  </si>
  <si>
    <t xml:space="preserve"> Kriisitunnusluku Z, 3 muuttujaa</t>
  </si>
  <si>
    <t>Enn. 1</t>
  </si>
  <si>
    <t>Enn. 2</t>
  </si>
  <si>
    <t>Enn. 3</t>
  </si>
  <si>
    <t>Enn. 4</t>
  </si>
  <si>
    <t>Yht.</t>
  </si>
  <si>
    <t>1000 €</t>
  </si>
  <si>
    <t>Verotusperusteisten varausten lis./vähen.</t>
  </si>
  <si>
    <t>T3 TASE</t>
  </si>
  <si>
    <t>2. Verotusperusteiset varaukset</t>
  </si>
  <si>
    <t>Ostovelkojen kiertonopeus (pv)</t>
  </si>
  <si>
    <t xml:space="preserve">  T2 TULOSSUUNNITELMA</t>
  </si>
  <si>
    <t xml:space="preserve"> Vieraan po:n takaisinmaksuaika (vuotta)</t>
  </si>
  <si>
    <t>KUMULATIIVINEN KASSA KUUKAUDEN LOPUSSA</t>
  </si>
  <si>
    <t>Korko- ja rahoitustuotot</t>
  </si>
  <si>
    <t>Korko- ja rahoituskulut</t>
  </si>
  <si>
    <t>20.</t>
  </si>
  <si>
    <t>Saadut ennakot, osuus liikevaihdosta</t>
  </si>
  <si>
    <t>Osatuloutukset, osuus liikevaihdosta</t>
  </si>
  <si>
    <t xml:space="preserve"> Satunnaiset tuotot, omaisuuden myyntitulot</t>
  </si>
  <si>
    <t>Jos kuvat eivät lataudu niin pyöräytä hiiren rullaa tai paina F1.</t>
  </si>
  <si>
    <t xml:space="preserve">HINNAT ALV 0 % </t>
  </si>
  <si>
    <t>T7  LAINAT</t>
  </si>
  <si>
    <t xml:space="preserve"> TULOT - MENOT</t>
  </si>
  <si>
    <t xml:space="preserve"> KUMULATIIVINEN KASSAJÄÄMÄ</t>
  </si>
  <si>
    <t xml:space="preserve">                         VASTAAVAA YHTEENSÄ</t>
  </si>
  <si>
    <t xml:space="preserve">               VASTATTAVAA YHTEENSÄ</t>
  </si>
  <si>
    <t xml:space="preserve"> - velat </t>
  </si>
  <si>
    <t xml:space="preserve"> - pankkitili</t>
  </si>
  <si>
    <t xml:space="preserve"> - asunto</t>
  </si>
  <si>
    <t xml:space="preserve"> - YEL-yrittäjien luontoisedut / kk</t>
  </si>
  <si>
    <t xml:space="preserve"> - luontoisedut yhteensä vuodessa</t>
  </si>
  <si>
    <t>Osamaksurahoitus, eläkelaina tms.</t>
  </si>
  <si>
    <t>Vähennetään leasingrahoitus T1:stä</t>
  </si>
  <si>
    <t xml:space="preserve"> - Poistettava kalusto sis. alv</t>
  </si>
  <si>
    <t xml:space="preserve"> - Poistettava kalusto ilman alv</t>
  </si>
  <si>
    <t>Jos lomapalkkavarausta ei tehdä, korjaa T3 TASE-taulukon rivi 93 = 0.</t>
  </si>
  <si>
    <t xml:space="preserve"> Investoinnit sis. alv</t>
  </si>
  <si>
    <t xml:space="preserve"> 1. vuonna nostettavat lainat</t>
  </si>
  <si>
    <t xml:space="preserve"> 2. vuonna nostettavat lainat</t>
  </si>
  <si>
    <t>Pääomalainojen vähennys</t>
  </si>
  <si>
    <t>Pitkäaik. rahalaitoslainojen vähennys</t>
  </si>
  <si>
    <t>Pitkäaik. lainojen ja ostovelkojen lisäys</t>
  </si>
  <si>
    <t>Muut pitkäaikaiset velat, vähennys</t>
  </si>
  <si>
    <t>21.</t>
  </si>
  <si>
    <t>Leasingrahoitus koneet ja laitteet</t>
  </si>
  <si>
    <t>Yli- / alijäämä (7 - 25)</t>
  </si>
  <si>
    <t xml:space="preserve"> Finnvera</t>
  </si>
  <si>
    <t>Maksuaika</t>
  </si>
  <si>
    <t xml:space="preserve"> Pankki</t>
  </si>
  <si>
    <t xml:space="preserve"> Osamaksu</t>
  </si>
  <si>
    <t xml:space="preserve"> Eläkelainat</t>
  </si>
  <si>
    <t xml:space="preserve"> Käytetty vakuus</t>
  </si>
  <si>
    <t>Käyttöpääoman muutos (rivi 35)</t>
  </si>
  <si>
    <t>Avustukset (kohtiin 1 - 7), ei leasingin avustusta)</t>
  </si>
  <si>
    <t>22.</t>
  </si>
  <si>
    <t>23.</t>
  </si>
  <si>
    <t>Liiketoiminnan muut kulut, erittely (T5 kassaan)</t>
  </si>
  <si>
    <t>3.18 Ajoneuvo- ja konekulut, yksityiskäyttö</t>
  </si>
  <si>
    <t>3.20 Ulkopuoliset palvelut alv 24 %</t>
  </si>
  <si>
    <t xml:space="preserve"> - ALV:n määrä</t>
  </si>
  <si>
    <t>SVOP-palautukset</t>
  </si>
  <si>
    <t xml:space="preserve"> Net Gearing (nettovelkaantumisaste)</t>
  </si>
  <si>
    <t xml:space="preserve">Leasingrahoitus kohta 4. Koneet ja kalusto sis. alv </t>
  </si>
  <si>
    <t>Leasingrahoitus kohta 5. Koneet ja kalusto alv 0 %</t>
  </si>
  <si>
    <t xml:space="preserve"> - poistoarvo avustuksen jälkeen</t>
  </si>
  <si>
    <t xml:space="preserve"> - Poistettava kalusto alv 0 %</t>
  </si>
  <si>
    <t>Pitkäaikainen ostovelka, vähennys</t>
  </si>
  <si>
    <t xml:space="preserve"> YEL-eläkemaksut ja tapaturmavakuutusmaksu</t>
  </si>
  <si>
    <t xml:space="preserve"> Vapaaehtoiset eläke- ja henkilövakuutusmaksut</t>
  </si>
  <si>
    <t xml:space="preserve"> - ainekäytön/hankintojen osuus-%</t>
  </si>
  <si>
    <t xml:space="preserve"> - ainekäyttö/hankinnat</t>
  </si>
  <si>
    <t>3.3. Ajoneuvokulut, liikekäyttö</t>
  </si>
  <si>
    <t xml:space="preserve"> - muut ajoneuvokulut</t>
  </si>
  <si>
    <t>3.5 Muut kone- ja kalustokulut, liikekäyttö</t>
  </si>
  <si>
    <t>3.19 Leasingkulut alv 0 %</t>
  </si>
  <si>
    <t>3.22 Muut alv-vähennyskelpoiset liikekulut</t>
  </si>
  <si>
    <t>3.23 Muut alv-vähennyskelvottomat liikekulut</t>
  </si>
  <si>
    <t>3.15 Vakuutukset ja vahingonkorvaukset</t>
  </si>
  <si>
    <t xml:space="preserve"> - vastuuvakuutukset, maksetut vahingonkorvaukset</t>
  </si>
  <si>
    <t xml:space="preserve"> - lisäykset tilikaudella</t>
  </si>
  <si>
    <t xml:space="preserve"> - yritykseltä peritty TyEL-vakuutusmaksu</t>
  </si>
  <si>
    <t xml:space="preserve"> - työnantajan TyEL-vakuutusmaksut </t>
  </si>
  <si>
    <t xml:space="preserve"> - työnantajan pakolliset henkilövakuutusmaksut</t>
  </si>
  <si>
    <t xml:space="preserve"> - muut atk-kulut</t>
  </si>
  <si>
    <t xml:space="preserve"> - tv-, radio- ja internetmainonta</t>
  </si>
  <si>
    <t xml:space="preserve"> Vuokrat ja vastikkeet alv 0 %</t>
  </si>
  <si>
    <t xml:space="preserve"> Muut kiinteät kulut alv 0 %</t>
  </si>
  <si>
    <t xml:space="preserve"> Vuokrat ja vastikkeet sis. alv</t>
  </si>
  <si>
    <t xml:space="preserve"> Yritystuet, muut alv 0 % tulot</t>
  </si>
  <si>
    <t xml:space="preserve"> Osamaksujen kuukausierät</t>
  </si>
  <si>
    <t xml:space="preserve"> Leasingvuokrat, ei alv-vähennystä</t>
  </si>
  <si>
    <t>Vuosimuutos-%</t>
  </si>
  <si>
    <t xml:space="preserve"> Liiketoiminnan muut tuotot, vuosimuutos-%</t>
  </si>
  <si>
    <t>Korko -%</t>
  </si>
  <si>
    <t xml:space="preserve"> Lisätietoja</t>
  </si>
  <si>
    <t>YT22 Toimivan yrityksen tulossuunnitelma</t>
  </si>
  <si>
    <t xml:space="preserve"> Laatija</t>
  </si>
  <si>
    <t xml:space="preserve"> Sähköpostiosoite</t>
  </si>
  <si>
    <t xml:space="preserve"> Uudet lainat yhteensä</t>
  </si>
  <si>
    <t>UUDET PITKÄAIKAISET LAINAT</t>
  </si>
  <si>
    <t xml:space="preserve"> (ei pääomalainoja)</t>
  </si>
  <si>
    <t>LIIKEVAIHTO/HENKILÖ (euroa)</t>
  </si>
  <si>
    <t>Muu oma rahoitus</t>
  </si>
  <si>
    <t>Pääomalaina</t>
  </si>
  <si>
    <t>Tulorahoitus</t>
  </si>
  <si>
    <t>Sijoitus SVOP-rahastoon</t>
  </si>
  <si>
    <t>Osakepääoman korotus</t>
  </si>
  <si>
    <t>Omistajien sijoitukset</t>
  </si>
  <si>
    <t>Pääomantarve yhteensä</t>
  </si>
  <si>
    <t>Käyttöpääoman lisäys</t>
  </si>
  <si>
    <t>Aineettomat hyödykkeet</t>
  </si>
  <si>
    <t>Koneet ja kalusto alv 0 %</t>
  </si>
  <si>
    <t>Rakennukset ja rakennelmat alv 0 %</t>
  </si>
  <si>
    <t>Rakennukset ja rakennelmat sis. alv</t>
  </si>
  <si>
    <t xml:space="preserve"> LIIKETOIMINNAN LAAJUUS</t>
  </si>
  <si>
    <t xml:space="preserve"> LIIKETOIMINNAN KANNATTAVUUS</t>
  </si>
  <si>
    <t xml:space="preserve"> MAKSUVALMIUS</t>
  </si>
  <si>
    <t xml:space="preserve"> VAKAVARAISUUS</t>
  </si>
  <si>
    <t xml:space="preserve"> MUITA TUNNUSLUKUJA</t>
  </si>
  <si>
    <t xml:space="preserve"> NETTOVARALLISUUSLASKELMA</t>
  </si>
  <si>
    <t xml:space="preserve"> Oma rahoitus</t>
  </si>
  <si>
    <t>Laina-määrä</t>
  </si>
  <si>
    <t>TILINPÄÄTÖKSEN TUNNUSLUKUJA</t>
  </si>
  <si>
    <t>28. Vaihto-omaisuus</t>
  </si>
  <si>
    <t>29. Myyntisaamiset</t>
  </si>
  <si>
    <t>30. Muut saamiset</t>
  </si>
  <si>
    <t>31. Osatuloutuksen saamiset</t>
  </si>
  <si>
    <t>32. Ostovelat</t>
  </si>
  <si>
    <t>33. Saadut ennakot</t>
  </si>
  <si>
    <t xml:space="preserve">34. Käyttöpääoma </t>
  </si>
  <si>
    <t>35. Käyttöpääoman muutos</t>
  </si>
  <si>
    <t>Maksu-</t>
  </si>
  <si>
    <t xml:space="preserve">Koneet ja kalusto sis. alv </t>
  </si>
  <si>
    <t xml:space="preserve"> Liiketulos-%</t>
  </si>
  <si>
    <t xml:space="preserve"> Liiketulos (EBIT)</t>
  </si>
  <si>
    <t xml:space="preserve"> Sijoitetun pääoman tuotto-% (ROI-%)</t>
  </si>
  <si>
    <t xml:space="preserve"> Osingon/yksityisoton osuus tilikauden voitosta</t>
  </si>
  <si>
    <t xml:space="preserve"> Muu liikevaihto (esim. pakkaus, rahti) </t>
  </si>
  <si>
    <t xml:space="preserve"> Käyttökate (EBITDA)</t>
  </si>
  <si>
    <t xml:space="preserve"> - ennakonpidätysvelka (tai ennakonpidätys- ja sotumaksuvelka verotilillä/OmaVerossa)</t>
  </si>
  <si>
    <t>Liikevaihto</t>
  </si>
  <si>
    <t>Taseen loppusumma</t>
  </si>
  <si>
    <t>Sijoitettu pääoma</t>
  </si>
  <si>
    <t>Varat</t>
  </si>
  <si>
    <t xml:space="preserve">Velat </t>
  </si>
  <si>
    <t>Nettovarallisuus</t>
  </si>
  <si>
    <r>
      <t xml:space="preserve">T7  LAINAT </t>
    </r>
    <r>
      <rPr>
        <b/>
        <sz val="8"/>
        <rFont val="Arial"/>
        <family val="2"/>
      </rPr>
      <t>(1000 €)</t>
    </r>
  </si>
  <si>
    <t xml:space="preserve">  TASE VASTAAVAA (1000 €)</t>
  </si>
  <si>
    <t xml:space="preserve">  TASE VASTATTAVAA (1000 €)</t>
  </si>
  <si>
    <t xml:space="preserve">  T4 RAHOITUSSUUNNITELMA (1000 €)</t>
  </si>
  <si>
    <t xml:space="preserve"> UUDET OSAMAKSUVELAT</t>
  </si>
  <si>
    <t>1. Rahoitustulos</t>
  </si>
  <si>
    <t>2. Omistajien lisäsijoitukset</t>
  </si>
  <si>
    <t>3. Pitkäaikaisten lainojen nosto</t>
  </si>
  <si>
    <t>4. Osamaksuvelkojen lisäys</t>
  </si>
  <si>
    <t>5. Lyhytaikaisten lainojen lisäys</t>
  </si>
  <si>
    <t xml:space="preserve">6. ELYn avustus, pääomalainan lisäys, sijoitusten tuloutus, akordi     </t>
  </si>
  <si>
    <t>7. YHTEENSÄ</t>
  </si>
  <si>
    <t>8. Investoinnit</t>
  </si>
  <si>
    <t>9. Käyttöpääoman muutos</t>
  </si>
  <si>
    <t>10. Muu rahoitusomaisuuden lisäys</t>
  </si>
  <si>
    <t>11. Pitkäaikaisten rahoituslainojen vähennys</t>
  </si>
  <si>
    <t>12. SVOP-palautus ja pääomalainojen vähennys</t>
  </si>
  <si>
    <t>13. Muut pitkäaikaiset velat vähennys</t>
  </si>
  <si>
    <t>14. Pitkäaikaisten lainojen lyhennyserämuutokset</t>
  </si>
  <si>
    <t>15. Osamaksuvelkojen vähennys</t>
  </si>
  <si>
    <t xml:space="preserve">16. Muu lyhytaikaisen vieraan pääoman lisäys/vähennys     </t>
  </si>
  <si>
    <t>17. Lyhytaikaisten lainojen vähennys</t>
  </si>
  <si>
    <t>18. Osingonjako ja yksityiskäyttö</t>
  </si>
  <si>
    <t>19. Sijoitukset</t>
  </si>
  <si>
    <t>20. Yhteensä</t>
  </si>
  <si>
    <t>21. Yli- / alijäämä (8 - 20)</t>
  </si>
  <si>
    <t>22. Kumulatiivinen yli-/alijäämä</t>
  </si>
  <si>
    <t>Laina-aikaa jäljellä (v)</t>
  </si>
  <si>
    <t>Laina-aika</t>
  </si>
  <si>
    <t>Laina-määrä tilinpää-töksessä</t>
  </si>
  <si>
    <t>Laina-aika (v)</t>
  </si>
  <si>
    <t xml:space="preserve">I. Aineettomat hyödykkeet </t>
  </si>
  <si>
    <t xml:space="preserve">II. Aineelliset hyödykkeet </t>
  </si>
  <si>
    <t>III. Sijoitukset</t>
  </si>
  <si>
    <t>I . Vaihto-omaisuus</t>
  </si>
  <si>
    <t>II. Saamiset</t>
  </si>
  <si>
    <t>III. Rahoitusarvopaperit</t>
  </si>
  <si>
    <t>IV. Rahat ja pankkisaamiset</t>
  </si>
  <si>
    <t xml:space="preserve"> Rahoittaja/rahoitettava kohde</t>
  </si>
  <si>
    <t xml:space="preserve"> Luotollinen tili</t>
  </si>
  <si>
    <t xml:space="preserve"> prosenttia maksetuista palkoista</t>
  </si>
  <si>
    <t xml:space="preserve"> keskimääräinen veronpidätys-% palkoista</t>
  </si>
  <si>
    <t xml:space="preserve"> eläke- ja sivukuluvelka lomapalkkavelasta (%)</t>
  </si>
  <si>
    <t xml:space="preserve"> arvonlisäverovelan määrä liikevaihdosta (%)</t>
  </si>
  <si>
    <t xml:space="preserve"> ostovelkojen kiertonopeus (pv)</t>
  </si>
  <si>
    <t>1/202X - 12/202Y</t>
  </si>
  <si>
    <t>Vaihto-omaisuus/liikevaihto (%)</t>
  </si>
  <si>
    <t>-/+</t>
  </si>
  <si>
    <t>Saadut ennakot, osuus liikevaihdosta (%)</t>
  </si>
  <si>
    <t>Osatuloutukset, osuus liikevaihdosta (%)</t>
  </si>
  <si>
    <t>Käyttökate-%</t>
  </si>
  <si>
    <t>Sijoitetun pääoman tuotto-%</t>
  </si>
  <si>
    <t>Tilikauden voitto-%</t>
  </si>
  <si>
    <t xml:space="preserve">                                                                                          </t>
  </si>
  <si>
    <t xml:space="preserve">                                                                                                             </t>
  </si>
  <si>
    <t xml:space="preserve"> Rahoittaja</t>
  </si>
  <si>
    <t>Liiketulos EBIT-%</t>
  </si>
  <si>
    <t xml:space="preserve"> - terveys- ja sosiaalipalvelut, rahoitus- ja vakuutuspalvelut, yrityksen vuosiliikevaihto alle 15 000 € verollisin hinnoin</t>
  </si>
  <si>
    <t xml:space="preserve"> Muut kiinteät kulut sis. alv</t>
  </si>
  <si>
    <t xml:space="preserve"> Rahoittaja/rahoitettava kohde 4. vuosi</t>
  </si>
  <si>
    <t xml:space="preserve"> - atk-laitehankinnat käyttöaika alle 3 vuotta </t>
  </si>
  <si>
    <t xml:space="preserve"> - pien- ja laitehankinnat käyttöikä alle 3 vuotta</t>
  </si>
  <si>
    <t xml:space="preserve"> - YEL-yrittäjien keskimääräinen veronpidätys-%</t>
  </si>
  <si>
    <t xml:space="preserve"> - palkansaajaryhmän 1.2 keskim. veronpidätys-%</t>
  </si>
  <si>
    <t xml:space="preserve"> - palkansaajaryhmän 1.3 keskim. veronpidätys-%</t>
  </si>
  <si>
    <t>Erotus</t>
  </si>
  <si>
    <t>Sijoitetun pääoman  tuoton laskenta</t>
  </si>
  <si>
    <t>Nettotulos = Liiketulos+rahoitustuotot-rahoituskulut-verot</t>
  </si>
  <si>
    <t xml:space="preserve">Nettotulos =  </t>
  </si>
  <si>
    <t>Oma pääoma alussa</t>
  </si>
  <si>
    <t>Oma pääoma lopussa</t>
  </si>
  <si>
    <t>1. Oma pääoma keskimäärin</t>
  </si>
  <si>
    <t>Sijoitettu korollinen vieras pääoma alussa</t>
  </si>
  <si>
    <t>Sijoitettu korollinen vieras pääoma lopussa</t>
  </si>
  <si>
    <t>2. Sijoitettu korollinen vieras pääoma keskimäärin</t>
  </si>
  <si>
    <t>3. Sijoitettu pääoma keskimäärin (1 + 2)</t>
  </si>
  <si>
    <t>Net gearing - laskenta</t>
  </si>
  <si>
    <t xml:space="preserve">Korollinen vieras pääoma </t>
  </si>
  <si>
    <t>Rahat ja arvopaperit</t>
  </si>
  <si>
    <t>TyEL-työntekijät</t>
  </si>
  <si>
    <t>TyEL toimihenkilöt</t>
  </si>
  <si>
    <t>Luontois-</t>
  </si>
  <si>
    <t>Ennustevuosi 1</t>
  </si>
  <si>
    <t>Ennustevuosi 2</t>
  </si>
  <si>
    <t xml:space="preserve"> Rahoittaja/rahoitettava kohde 3. vuosi</t>
  </si>
  <si>
    <t xml:space="preserve"> Rahoittaja/rahoitettava kohde 2. vuosi</t>
  </si>
  <si>
    <t xml:space="preserve"> Rahoittaja/rahoitettava kohde 1. vuosi</t>
  </si>
  <si>
    <t>Korollinen vieras pääoma = Pitkäaikainen vieras pääoma pl. Saadut ennakot+korolliset lyhytaikaiset velat+Muut korolliset sisäiset velat</t>
  </si>
  <si>
    <t xml:space="preserve"> Ennakonpidätykset ja työnantajan sairausvakuutusmaksu</t>
  </si>
  <si>
    <r>
      <t xml:space="preserve"> </t>
    </r>
    <r>
      <rPr>
        <b/>
        <sz val="8"/>
        <color theme="0"/>
        <rFont val="Arial"/>
        <family val="2"/>
      </rPr>
      <t>3. vuonna nostettavat lainat</t>
    </r>
  </si>
  <si>
    <r>
      <t xml:space="preserve"> </t>
    </r>
    <r>
      <rPr>
        <b/>
        <sz val="8"/>
        <color theme="0"/>
        <rFont val="Arial"/>
        <family val="2"/>
      </rPr>
      <t>4. vuonna nostettavat lainat</t>
    </r>
  </si>
  <si>
    <t>Uudet osamaksuvelat yht.</t>
  </si>
  <si>
    <t>Lyhytaikaisten lainojen korot</t>
  </si>
  <si>
    <t>Korot pitkäaikaisista veloista, ei velkakirjaa</t>
  </si>
  <si>
    <t>Lainojen toimitusmaksut, pankkitakausmaksut</t>
  </si>
  <si>
    <t>KAIKKI YHTEENSÄ</t>
  </si>
  <si>
    <t xml:space="preserve"> Arvosana</t>
  </si>
  <si>
    <t>Tavoite tilikaudella</t>
  </si>
  <si>
    <t>Tavoite-menot tilikaudella sis. Alv</t>
  </si>
  <si>
    <t xml:space="preserve"> PÄÄOMARAHOITUS, NETTO</t>
  </si>
  <si>
    <t xml:space="preserve"> LIIKETOIMINNAN MENOT YHTEENSÄ</t>
  </si>
  <si>
    <t xml:space="preserve"> LIIKETOIMINTA YHTEENSÄ</t>
  </si>
  <si>
    <t xml:space="preserve"> LIIKETOIMINNAN TULOT</t>
  </si>
  <si>
    <t xml:space="preserve"> LIIKETOIMINNAN MENOT</t>
  </si>
  <si>
    <t xml:space="preserve"> PÄÄOMARAHOITUS: TULOT JA MENOT</t>
  </si>
  <si>
    <r>
      <t xml:space="preserve">  PÄÄOMANTARVE </t>
    </r>
    <r>
      <rPr>
        <sz val="10"/>
        <color theme="0"/>
        <rFont val="Arial"/>
        <family val="2"/>
      </rPr>
      <t>(1000 euroa)</t>
    </r>
  </si>
  <si>
    <r>
      <t xml:space="preserve">  RAHOITUS </t>
    </r>
    <r>
      <rPr>
        <sz val="10"/>
        <color theme="0"/>
        <rFont val="Arial"/>
        <family val="2"/>
      </rPr>
      <t>(1000 euroa)</t>
    </r>
  </si>
  <si>
    <r>
      <t>T4 RAHOITUSSUUNNITELMA / KÄYTTÖPÄÄOMA</t>
    </r>
    <r>
      <rPr>
        <b/>
        <sz val="8"/>
        <color theme="0"/>
        <rFont val="Arial"/>
        <family val="2"/>
      </rPr>
      <t xml:space="preserve"> (1000 €)</t>
    </r>
  </si>
  <si>
    <t>Taulukkoon</t>
  </si>
  <si>
    <t>Soluun</t>
  </si>
  <si>
    <t>Korjauspvm</t>
  </si>
  <si>
    <t>Mitä tehty</t>
  </si>
  <si>
    <t>T4</t>
  </si>
  <si>
    <t>K24</t>
  </si>
  <si>
    <t>Kaava korjattu</t>
  </si>
  <si>
    <t xml:space="preserve"> Yrityksen nimi</t>
  </si>
  <si>
    <t>E1</t>
  </si>
  <si>
    <t>rivit 116-123</t>
  </si>
  <si>
    <t>Fonttikoko korjattu 8</t>
  </si>
  <si>
    <t>E2</t>
  </si>
  <si>
    <t>Lisätty poispudonneita kaavoja</t>
  </si>
  <si>
    <t>T1</t>
  </si>
  <si>
    <t>Kommentit tarkistettu (viittaukset toisiin taulukoihin) D56 ja D57</t>
  </si>
  <si>
    <t>T5</t>
  </si>
  <si>
    <t>Ohje korjattu, poistettu palkat oikealla.</t>
  </si>
  <si>
    <t>T3</t>
  </si>
  <si>
    <t>Kommentteihin lisätty tasapoiston kirjaustapa</t>
  </si>
  <si>
    <t>Otsikkoteksti "- vähennykset tilikaudella/tasapoisto"</t>
  </si>
  <si>
    <t xml:space="preserve"> - vuokrat ja vastikkeet (liiketoimintaan)</t>
  </si>
  <si>
    <t>Varaston lisäys/vähennys</t>
  </si>
  <si>
    <t xml:space="preserve"> VUOSITTAIN MAKSETTAVAT LYHENNYKSET JA KOROT</t>
  </si>
  <si>
    <t xml:space="preserve"> Tuote, palvelu tai liikevaihto</t>
  </si>
  <si>
    <t xml:space="preserve"> - toimihenkilöidenpalkat keskimäärin / kk / henkilö</t>
  </si>
  <si>
    <t>2.4 YEL-yrittäjien henkivakuutusmaksut</t>
  </si>
  <si>
    <t>€</t>
  </si>
  <si>
    <t>3.21 Vuokrat, vastikkeet, korjauskulut alv 0 %</t>
  </si>
  <si>
    <t>Laina-aikaa jäljellä</t>
  </si>
  <si>
    <t xml:space="preserve">  Laina-aika</t>
  </si>
  <si>
    <t xml:space="preserve"> - pinta-ala / tilavuus (m² / m³)</t>
  </si>
  <si>
    <t>Koneet ja kalusto sis. alv</t>
  </si>
  <si>
    <t xml:space="preserve">    - pääomalainen akordi</t>
  </si>
  <si>
    <t xml:space="preserve">    - pitkäaikaisten lainojen lyhennykset</t>
  </si>
  <si>
    <t xml:space="preserve">    - lyhytaikaiset rahalaitoslainat</t>
  </si>
  <si>
    <t xml:space="preserve">    - ostovelat</t>
  </si>
  <si>
    <t xml:space="preserve">    - pitkäaikaisen osamaksuvelan lyhennys</t>
  </si>
  <si>
    <t xml:space="preserve">    - sosiaaliturvamaksuvelka</t>
  </si>
  <si>
    <t xml:space="preserve">    - arvonlisäverovelka</t>
  </si>
  <si>
    <t xml:space="preserve">    - muut lyhytaikaiset velat</t>
  </si>
  <si>
    <t xml:space="preserve">    - siirtovelat</t>
  </si>
  <si>
    <t xml:space="preserve">    - lomapalkkavelat</t>
  </si>
  <si>
    <t xml:space="preserve">    - laskettu eläke- ja sivukuluvelka</t>
  </si>
  <si>
    <t xml:space="preserve">    - osamaksuvelat</t>
  </si>
  <si>
    <t xml:space="preserve">    - lisäykset tilikaudella</t>
  </si>
  <si>
    <t xml:space="preserve">    - poistot</t>
  </si>
  <si>
    <t xml:space="preserve">Muistiinpanoja </t>
  </si>
  <si>
    <t>Osingonjako/yksityisotot</t>
  </si>
  <si>
    <t xml:space="preserve"> Kassa alussa</t>
  </si>
  <si>
    <t xml:space="preserve"> Myyntisaatavat edelliseltä tilikaudelta</t>
  </si>
  <si>
    <t>Tyont.</t>
  </si>
  <si>
    <t>maksut</t>
  </si>
  <si>
    <t xml:space="preserve">    - vähennykset tilikaudella</t>
  </si>
  <si>
    <t xml:space="preserve"> Uudisrakennukset ja rakennelmat sis. alv </t>
  </si>
  <si>
    <t xml:space="preserve"> Liikehuoneisto-osakkeiden hankinta</t>
  </si>
  <si>
    <t xml:space="preserve"> Rakennukset ja rakennelmat </t>
  </si>
  <si>
    <t xml:space="preserve"> Maa-alueet ja vesialueet, liittymät yms.</t>
  </si>
  <si>
    <t xml:space="preserve"> Erääntyneet ostovelat</t>
  </si>
  <si>
    <t xml:space="preserve"> Ajoneuvojen leasing- ja vuokrakulut, liikekäyttö</t>
  </si>
  <si>
    <t xml:space="preserve">    Pääomalainan korot</t>
  </si>
  <si>
    <t xml:space="preserve"> - tuntipalkka keskimäärin/hlö tai kuukausipalkka</t>
  </si>
  <si>
    <t xml:space="preserve"> - työtunnit / kk / henkilö, kuukausipalkka = luku on 1</t>
  </si>
  <si>
    <t>OHJE</t>
  </si>
  <si>
    <t xml:space="preserve"> Henkilöstön määrä</t>
  </si>
  <si>
    <t>Yrityksen nimi</t>
  </si>
  <si>
    <t>Laatija</t>
  </si>
  <si>
    <t>Hankekuvaus</t>
  </si>
  <si>
    <t>Sähköpostiosoite</t>
  </si>
  <si>
    <t>Puhelinnumero</t>
  </si>
  <si>
    <t>Aloittamisajankohta</t>
  </si>
  <si>
    <t>Arvioitu valmistuminen</t>
  </si>
  <si>
    <t>Muut aineelliset hyöd., vaihto-omais. osto</t>
  </si>
  <si>
    <t>ELYn avustus, pääomalainan lisäys, sijoitusten tuloutus, omaisuuden myyntitulot, osakepääoman konvertointi</t>
  </si>
  <si>
    <t xml:space="preserve"> Aineet ja tarvikkeet</t>
  </si>
  <si>
    <t>24.</t>
  </si>
  <si>
    <t>Liiketoimintakaupan tavaravarasto, alkuvarasto</t>
  </si>
  <si>
    <t xml:space="preserve"> Liiketoimintakaupan tavaravarasto, alkuvarasto</t>
  </si>
  <si>
    <t>Aineet, tarvikkeet ja tavarat, ostot tilikaudella</t>
  </si>
  <si>
    <t>Muut aineelliset hyödykkeet</t>
  </si>
  <si>
    <t>Pitkäaik. lainojen lyhennyserämuutokset</t>
  </si>
  <si>
    <t>Liiketoimintakaupan tavarav., alkuvarasto</t>
  </si>
  <si>
    <t>Yritystulkin tarjoaa</t>
  </si>
  <si>
    <t xml:space="preserve"> Ostovelat edelliseltä tilikaudelta, maksuaika pv</t>
  </si>
  <si>
    <t>Ostovelat edell. tilikausi</t>
  </si>
  <si>
    <t xml:space="preserve">Ostovelat/pv  </t>
  </si>
  <si>
    <t>2.3 YEL-yrittäjien sosiaalivakuutusmaksut</t>
  </si>
  <si>
    <t>Invest Lapua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</si>
</sst>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#,##0\ &quot;€&quot;;[Red]\-#,##0\ &quot;€&quot;"/>
    <numFmt numFmtId="164" formatCode="0.0\ %"/>
    <numFmt numFmtId="165" formatCode="#,##0_ ;[Red]\-#,##0\ "/>
    <numFmt numFmtId="166" formatCode="0.0"/>
    <numFmt numFmtId="167" formatCode="#,##0.0"/>
    <numFmt numFmtId="168" formatCode="#,##0\ &quot;€&quot;"/>
    <numFmt numFmtId="169" formatCode="d\.m\.yyyy;@"/>
    <numFmt numFmtId="170" formatCode="#,##0.0_ ;[Red]\-#,##0.0\ "/>
  </numFmts>
  <fonts count="96">
    <font>
      <sz val="10"/>
      <name val="Arial"/>
    </font>
    <font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sz val="10"/>
      <color indexed="3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i/>
      <sz val="12"/>
      <color indexed="18"/>
      <name val="Arial"/>
      <family val="2"/>
    </font>
    <font>
      <sz val="11"/>
      <color indexed="18"/>
      <name val="Arial"/>
      <family val="2"/>
    </font>
    <font>
      <sz val="9"/>
      <color indexed="18"/>
      <name val="Arial"/>
      <family val="2"/>
    </font>
    <font>
      <b/>
      <i/>
      <sz val="10"/>
      <name val="Verdana"/>
      <family val="2"/>
    </font>
    <font>
      <b/>
      <sz val="8"/>
      <name val="Verdana"/>
      <family val="2"/>
    </font>
    <font>
      <b/>
      <sz val="10"/>
      <name val="Tahoma"/>
      <family val="2"/>
    </font>
    <font>
      <b/>
      <sz val="9"/>
      <color indexed="18"/>
      <name val="Arial"/>
      <family val="2"/>
    </font>
    <font>
      <b/>
      <i/>
      <sz val="8"/>
      <name val="Verdana"/>
      <family val="2"/>
    </font>
    <font>
      <vertAlign val="superscript"/>
      <sz val="9"/>
      <name val="Arial"/>
      <family val="2"/>
    </font>
    <font>
      <sz val="9"/>
      <color indexed="10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b/>
      <u/>
      <sz val="8"/>
      <name val="Arial"/>
      <family val="2"/>
    </font>
    <font>
      <b/>
      <sz val="10"/>
      <color rgb="FFFF0000"/>
      <name val="Arial"/>
      <family val="2"/>
    </font>
    <font>
      <i/>
      <sz val="9"/>
      <color rgb="FF000080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sz val="9"/>
      <color rgb="FF000080"/>
      <name val="Arial"/>
      <family val="2"/>
    </font>
    <font>
      <sz val="9"/>
      <color theme="1"/>
      <name val="Arial"/>
      <family val="2"/>
    </font>
    <font>
      <i/>
      <sz val="9"/>
      <color rgb="FF002060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u/>
      <sz val="9"/>
      <color rgb="FFFF0000"/>
      <name val="Arial"/>
      <family val="2"/>
    </font>
    <font>
      <b/>
      <strike/>
      <sz val="10"/>
      <color rgb="FFFF0000"/>
      <name val="Arial"/>
      <family val="2"/>
    </font>
    <font>
      <b/>
      <strike/>
      <u/>
      <sz val="10"/>
      <color rgb="FFFF0000"/>
      <name val="Arial"/>
      <family val="2"/>
    </font>
    <font>
      <strike/>
      <sz val="10"/>
      <color rgb="FFFF0000"/>
      <name val="Arial"/>
      <family val="2"/>
    </font>
    <font>
      <i/>
      <sz val="8"/>
      <color rgb="FF00206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9"/>
      <color rgb="FF000080"/>
      <name val="Arial"/>
      <family val="2"/>
    </font>
    <font>
      <b/>
      <sz val="9"/>
      <color rgb="FF000066"/>
      <name val="Arial"/>
      <family val="2"/>
    </font>
    <font>
      <b/>
      <sz val="9"/>
      <color theme="1"/>
      <name val="Arial"/>
      <family val="2"/>
    </font>
    <font>
      <b/>
      <sz val="10"/>
      <color theme="3"/>
      <name val="Arial"/>
      <family val="2"/>
    </font>
    <font>
      <sz val="8"/>
      <color rgb="FFFF0000"/>
      <name val="Arial"/>
      <family val="2"/>
    </font>
    <font>
      <i/>
      <sz val="8"/>
      <color theme="3"/>
      <name val="Arial"/>
      <family val="2"/>
    </font>
    <font>
      <sz val="9"/>
      <color rgb="FF000066"/>
      <name val="Arial"/>
      <family val="2"/>
    </font>
    <font>
      <sz val="9"/>
      <color rgb="FF002060"/>
      <name val="Arial"/>
      <family val="2"/>
    </font>
    <font>
      <b/>
      <sz val="10"/>
      <color theme="0"/>
      <name val="Arial"/>
      <family val="2"/>
    </font>
    <font>
      <b/>
      <sz val="10"/>
      <color indexed="81"/>
      <name val="Tahoma"/>
      <family val="2"/>
    </font>
    <font>
      <b/>
      <i/>
      <sz val="10"/>
      <color indexed="81"/>
      <name val="Tahoma"/>
      <family val="2"/>
    </font>
    <font>
      <sz val="10"/>
      <color indexed="81"/>
      <name val="Tahoma"/>
      <family val="2"/>
    </font>
    <font>
      <b/>
      <u/>
      <sz val="10"/>
      <color indexed="81"/>
      <name val="Tahoma"/>
      <family val="2"/>
    </font>
    <font>
      <sz val="8"/>
      <name val="Arial Narrow"/>
      <family val="2"/>
    </font>
    <font>
      <b/>
      <i/>
      <sz val="8"/>
      <color rgb="FF002060"/>
      <name val="Arial"/>
      <family val="2"/>
    </font>
    <font>
      <b/>
      <i/>
      <sz val="8"/>
      <color theme="3"/>
      <name val="Arial"/>
      <family val="2"/>
    </font>
    <font>
      <b/>
      <sz val="9"/>
      <color theme="3"/>
      <name val="Arial"/>
      <family val="2"/>
    </font>
    <font>
      <b/>
      <i/>
      <sz val="10"/>
      <color theme="3"/>
      <name val="Arial"/>
      <family val="2"/>
    </font>
    <font>
      <b/>
      <sz val="8"/>
      <color theme="1"/>
      <name val="Arial"/>
      <family val="2"/>
    </font>
    <font>
      <i/>
      <sz val="9"/>
      <color theme="3"/>
      <name val="Arial"/>
      <family val="2"/>
    </font>
    <font>
      <b/>
      <i/>
      <sz val="8"/>
      <color theme="1"/>
      <name val="Arial"/>
      <family val="2"/>
    </font>
    <font>
      <i/>
      <sz val="8"/>
      <color theme="3" tint="-0.249977111117893"/>
      <name val="Arial"/>
      <family val="2"/>
    </font>
    <font>
      <b/>
      <sz val="11"/>
      <color rgb="FFFF0000"/>
      <name val="Arial"/>
      <family val="2"/>
    </font>
    <font>
      <b/>
      <sz val="9"/>
      <color theme="9" tint="-0.249977111117893"/>
      <name val="Arial"/>
      <family val="2"/>
    </font>
    <font>
      <sz val="9"/>
      <color theme="9" tint="-0.249977111117893"/>
      <name val="Arial"/>
      <family val="2"/>
    </font>
    <font>
      <i/>
      <sz val="8"/>
      <color rgb="FF000080"/>
      <name val="Arial"/>
      <family val="2"/>
    </font>
    <font>
      <sz val="10"/>
      <color theme="0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8"/>
      <color theme="0"/>
      <name val="Arial"/>
      <family val="2"/>
    </font>
    <font>
      <sz val="11"/>
      <color theme="0"/>
      <name val="Arial"/>
      <family val="2"/>
    </font>
    <font>
      <sz val="8"/>
      <color theme="0"/>
      <name val="Arial"/>
      <family val="2"/>
    </font>
    <font>
      <sz val="11"/>
      <color theme="1"/>
      <name val="Arial"/>
      <family val="2"/>
    </font>
    <font>
      <b/>
      <i/>
      <sz val="8"/>
      <color theme="0"/>
      <name val="Arial"/>
      <family val="2"/>
    </font>
    <font>
      <sz val="8"/>
      <color rgb="FF002060"/>
      <name val="Arial"/>
      <family val="2"/>
    </font>
    <font>
      <u/>
      <sz val="10"/>
      <color theme="10"/>
      <name val="Arial"/>
      <family val="2"/>
    </font>
    <font>
      <i/>
      <sz val="8"/>
      <color theme="1"/>
      <name val="Arial"/>
      <family val="2"/>
    </font>
    <font>
      <b/>
      <sz val="12"/>
      <color indexed="81"/>
      <name val="Tahoma"/>
      <family val="2"/>
    </font>
    <font>
      <b/>
      <sz val="10"/>
      <color theme="9" tint="-0.249977111117893"/>
      <name val="Arial"/>
      <family val="2"/>
    </font>
    <font>
      <i/>
      <sz val="9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152A1"/>
        <bgColor indexed="64"/>
      </patternFill>
    </fill>
  </fills>
  <borders count="264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theme="3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4" tint="0.39994506668294322"/>
      </top>
      <bottom style="thin">
        <color theme="4" tint="0.3999450666829432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/>
      <top style="medium">
        <color theme="0" tint="-0.499984740745262"/>
      </top>
      <bottom/>
      <diagonal/>
    </border>
    <border>
      <left style="thin">
        <color indexed="64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/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 style="medium">
        <color theme="0" tint="-0.499984740745262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4" tint="-0.249977111117893"/>
      </bottom>
      <diagonal/>
    </border>
    <border>
      <left/>
      <right/>
      <top style="hair">
        <color theme="4" tint="-0.249977111117893"/>
      </top>
      <bottom/>
      <diagonal/>
    </border>
    <border>
      <left style="hair">
        <color theme="4" tint="-0.249977111117893"/>
      </left>
      <right style="hair">
        <color theme="4" tint="-0.249977111117893"/>
      </right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 style="hair">
        <color theme="4" tint="-0.249977111117893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/>
      <diagonal/>
    </border>
    <border>
      <left style="hair">
        <color theme="4" tint="-0.249977111117893"/>
      </left>
      <right/>
      <top style="hair">
        <color theme="4" tint="-0.249977111117893"/>
      </top>
      <bottom/>
      <diagonal/>
    </border>
    <border>
      <left style="hair">
        <color theme="4" tint="-0.249977111117893"/>
      </left>
      <right/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/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/>
      <top/>
      <bottom style="hair">
        <color theme="3" tint="-0.249977111117893"/>
      </bottom>
      <diagonal/>
    </border>
    <border>
      <left style="hair">
        <color theme="3" tint="-0.249977111117893"/>
      </left>
      <right/>
      <top/>
      <bottom/>
      <diagonal/>
    </border>
    <border>
      <left/>
      <right style="hair">
        <color theme="3" tint="-0.249977111117893"/>
      </right>
      <top/>
      <bottom/>
      <diagonal/>
    </border>
    <border>
      <left/>
      <right style="hair">
        <color theme="3" tint="-0.249977111117893"/>
      </right>
      <top/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/>
      <right/>
      <top style="hair">
        <color theme="3" tint="-0.249977111117893"/>
      </top>
      <bottom/>
      <diagonal/>
    </border>
    <border>
      <left/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indexed="64"/>
      </bottom>
      <diagonal/>
    </border>
    <border>
      <left/>
      <right/>
      <top style="hair">
        <color theme="3" tint="-0.249977111117893"/>
      </top>
      <bottom style="hair">
        <color indexed="64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hair">
        <color theme="3" tint="-0.249977111117893"/>
      </bottom>
      <diagonal/>
    </border>
    <border>
      <left style="thin">
        <color indexed="64"/>
      </left>
      <right style="medium">
        <color theme="0" tint="-0.499984740745262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/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indexed="64"/>
      </bottom>
      <diagonal/>
    </border>
    <border>
      <left style="hair">
        <color theme="3" tint="-0.249977111117893"/>
      </left>
      <right style="hair">
        <color theme="3" tint="-0.249977111117893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theme="4" tint="0.3999450666829432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 style="hair">
        <color theme="3" tint="-0.249977111117893"/>
      </bottom>
      <diagonal/>
    </border>
    <border>
      <left style="thin">
        <color theme="0" tint="-0.34998626667073579"/>
      </left>
      <right/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hair">
        <color theme="4" tint="-0.249977111117893"/>
      </top>
      <bottom style="hair">
        <color theme="4" tint="-0.249977111117893"/>
      </bottom>
      <diagonal/>
    </border>
    <border>
      <left style="thin">
        <color theme="0" tint="-0.34998626667073579"/>
      </left>
      <right/>
      <top/>
      <bottom style="hair">
        <color theme="4" tint="-0.249977111117893"/>
      </bottom>
      <diagonal/>
    </border>
    <border>
      <left/>
      <right style="thin">
        <color theme="0" tint="-0.34998626667073579"/>
      </right>
      <top style="hair">
        <color theme="4" tint="-0.249977111117893"/>
      </top>
      <bottom/>
      <diagonal/>
    </border>
    <border>
      <left/>
      <right style="thin">
        <color theme="0" tint="-0.34998626667073579"/>
      </right>
      <top/>
      <bottom style="hair">
        <color theme="4" tint="-0.249977111117893"/>
      </bottom>
      <diagonal/>
    </border>
    <border>
      <left style="thin">
        <color theme="0" tint="-0.34998626667073579"/>
      </left>
      <right/>
      <top style="hair">
        <color theme="4" tint="-0.249977111117893"/>
      </top>
      <bottom style="thin">
        <color theme="0" tint="-0.34998626667073579"/>
      </bottom>
      <diagonal/>
    </border>
    <border>
      <left/>
      <right style="hair">
        <color theme="4" tint="-0.249977111117893"/>
      </right>
      <top style="hair">
        <color theme="4" tint="-0.249977111117893"/>
      </top>
      <bottom style="thin">
        <color theme="0" tint="-0.34998626667073579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 style="thin">
        <color theme="0" tint="-0.34998626667073579"/>
      </bottom>
      <diagonal/>
    </border>
    <border>
      <left style="hair">
        <color theme="4" tint="-0.249977111117893"/>
      </left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34998626667073579"/>
      </left>
      <right/>
      <top style="hair">
        <color theme="3" tint="-0.249977111117893"/>
      </top>
      <bottom/>
      <diagonal/>
    </border>
    <border>
      <left/>
      <right style="thin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thin">
        <color theme="0" tint="-0.34998626667073579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hair">
        <color theme="3" tint="-0.249977111117893"/>
      </top>
      <bottom style="thin">
        <color theme="0" tint="-0.34998626667073579"/>
      </bottom>
      <diagonal/>
    </border>
    <border>
      <left/>
      <right style="hair">
        <color theme="3" tint="-0.249977111117893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0" tint="-0.34998626667073579"/>
      </bottom>
      <diagonal/>
    </border>
    <border>
      <left/>
      <right/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thin">
        <color theme="0" tint="-0.499984740745262"/>
      </right>
      <top/>
      <bottom style="hair">
        <color theme="3" tint="-0.249977111117893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499984740745262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theme="0" tint="-0.499984740745262"/>
      </left>
      <right style="hair">
        <color theme="3" tint="-0.249977111117893"/>
      </right>
      <top/>
      <bottom style="hair">
        <color theme="3" tint="-0.249977111117893"/>
      </bottom>
      <diagonal/>
    </border>
    <border>
      <left/>
      <right style="thin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thin">
        <color theme="0" tint="-0.499984740745262"/>
      </right>
      <top/>
      <bottom style="hair">
        <color theme="3" tint="-0.249977111117893"/>
      </bottom>
      <diagonal/>
    </border>
    <border>
      <left/>
      <right style="thin">
        <color theme="0" tint="-0.499984740745262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thin">
        <color theme="0" tint="-0.499984740745262"/>
      </right>
      <top style="hair">
        <color theme="3" tint="-0.249977111117893"/>
      </top>
      <bottom/>
      <diagonal/>
    </border>
    <border>
      <left style="thin">
        <color theme="0" tint="-0.499984740745262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3" tint="-0.249977111117893"/>
      </top>
      <bottom/>
      <diagonal/>
    </border>
    <border>
      <left/>
      <right style="thin">
        <color theme="0" tint="-0.499984740745262"/>
      </right>
      <top style="double">
        <color theme="0" tint="-0.34998626667073579"/>
      </top>
      <bottom style="hair">
        <color theme="0" tint="-0.34998626667073579"/>
      </bottom>
      <diagonal/>
    </border>
    <border>
      <left style="thin">
        <color theme="0" tint="-0.499984740745262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3" tint="-0.249977111117893"/>
      </top>
      <bottom style="hair">
        <color theme="0" tint="-0.34998626667073579"/>
      </bottom>
      <diagonal/>
    </border>
    <border>
      <left style="thin">
        <color theme="0" tint="-0.34998626667073579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34998626667073579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theme="0" tint="-0.34998626667073579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/>
      <top/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/>
      <top style="hair">
        <color theme="0" tint="-0.34998626667073579"/>
      </top>
      <bottom style="hair">
        <color theme="3" tint="-0.249977111117893"/>
      </bottom>
      <diagonal/>
    </border>
    <border>
      <left/>
      <right style="thin">
        <color theme="0" tint="-0.34998626667073579"/>
      </right>
      <top style="hair">
        <color theme="0" tint="-0.34998626667073579"/>
      </top>
      <bottom style="hair">
        <color theme="3" tint="-0.249977111117893"/>
      </bottom>
      <diagonal/>
    </border>
    <border>
      <left/>
      <right style="thin">
        <color theme="0" tint="-0.34998626667073579"/>
      </right>
      <top style="hair">
        <color theme="3" tint="-0.249977111117893"/>
      </top>
      <bottom style="hair">
        <color theme="0" tint="-0.34998626667073579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auto="1"/>
      </bottom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/>
      <bottom style="thin">
        <color indexed="64"/>
      </bottom>
      <diagonal/>
    </border>
    <border>
      <left/>
      <right/>
      <top/>
      <bottom style="hair">
        <color theme="0" tint="-0.24994659260841701"/>
      </bottom>
      <diagonal/>
    </border>
    <border>
      <left/>
      <right/>
      <top/>
      <bottom style="hair">
        <color theme="0" tint="-0.14996795556505021"/>
      </bottom>
      <diagonal/>
    </border>
    <border>
      <left/>
      <right style="hair">
        <color theme="0" tint="-0.499984740745262"/>
      </right>
      <top/>
      <bottom/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hair">
        <color theme="0" tint="-0.499984740745262"/>
      </right>
      <top/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hair">
        <color theme="0" tint="-0.499984740745262"/>
      </right>
      <top style="thin">
        <color indexed="64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thin">
        <color theme="0" tint="-0.499984740745262"/>
      </bottom>
      <diagonal/>
    </border>
    <border>
      <left style="hair">
        <color theme="3" tint="-0.249977111117893"/>
      </left>
      <right style="hair">
        <color theme="0" tint="-0.499984740745262"/>
      </right>
      <top style="thin">
        <color theme="0" tint="-0.499984740745262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 style="hair">
        <color theme="0" tint="-0.14996795556505021"/>
      </right>
      <top/>
      <bottom/>
      <diagonal/>
    </border>
    <border>
      <left/>
      <right style="hair">
        <color theme="0" tint="-0.14996795556505021"/>
      </right>
      <top/>
      <bottom style="thin">
        <color indexed="64"/>
      </bottom>
      <diagonal/>
    </border>
    <border>
      <left/>
      <right style="hair">
        <color theme="0" tint="-0.14996795556505021"/>
      </right>
      <top style="thin">
        <color indexed="64"/>
      </top>
      <bottom/>
      <diagonal/>
    </border>
    <border>
      <left style="thin">
        <color theme="0" tint="-0.34998626667073579"/>
      </left>
      <right/>
      <top style="hair">
        <color theme="4" tint="-0.249977111117893"/>
      </top>
      <bottom/>
      <diagonal/>
    </border>
    <border>
      <left/>
      <right style="hair">
        <color theme="4" tint="-0.249977111117893"/>
      </right>
      <top style="hair">
        <color theme="4" tint="-0.249977111117893"/>
      </top>
      <bottom/>
      <diagonal/>
    </border>
    <border>
      <left style="hair">
        <color theme="4" tint="-0.249977111117893"/>
      </left>
      <right style="hair">
        <color theme="4" tint="-0.249977111117893"/>
      </right>
      <top/>
      <bottom style="thin">
        <color theme="0" tint="-0.34998626667073579"/>
      </bottom>
      <diagonal/>
    </border>
    <border>
      <left/>
      <right style="hair">
        <color theme="4" tint="-0.249977111117893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/>
      <diagonal/>
    </border>
  </borders>
  <cellStyleXfs count="4">
    <xf numFmtId="0" fontId="0" fillId="0" borderId="0"/>
    <xf numFmtId="0" fontId="4" fillId="0" borderId="0"/>
    <xf numFmtId="9" fontId="2" fillId="0" borderId="0" applyFont="0" applyFill="0" applyBorder="0" applyAlignment="0" applyProtection="0"/>
    <xf numFmtId="0" fontId="91" fillId="0" borderId="0" applyNumberFormat="0" applyFill="0" applyBorder="0" applyAlignment="0" applyProtection="0"/>
  </cellStyleXfs>
  <cellXfs count="2288">
    <xf numFmtId="0" fontId="0" fillId="0" borderId="0" xfId="0"/>
    <xf numFmtId="0" fontId="4" fillId="0" borderId="0" xfId="0" applyFont="1"/>
    <xf numFmtId="0" fontId="5" fillId="0" borderId="0" xfId="0" applyFont="1"/>
    <xf numFmtId="3" fontId="5" fillId="0" borderId="0" xfId="0" applyNumberFormat="1" applyFont="1" applyProtection="1">
      <protection hidden="1"/>
    </xf>
    <xf numFmtId="0" fontId="11" fillId="0" borderId="0" xfId="0" applyFont="1"/>
    <xf numFmtId="14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3" fontId="4" fillId="0" borderId="0" xfId="0" applyNumberFormat="1" applyFont="1" applyProtection="1">
      <protection hidden="1"/>
    </xf>
    <xf numFmtId="0" fontId="0" fillId="2" borderId="0" xfId="0" applyFill="1"/>
    <xf numFmtId="3" fontId="5" fillId="2" borderId="0" xfId="0" applyNumberFormat="1" applyFont="1" applyFill="1" applyProtection="1">
      <protection hidden="1"/>
    </xf>
    <xf numFmtId="0" fontId="5" fillId="2" borderId="0" xfId="0" applyFont="1" applyFill="1" applyProtection="1">
      <protection hidden="1"/>
    </xf>
    <xf numFmtId="4" fontId="4" fillId="2" borderId="0" xfId="0" applyNumberFormat="1" applyFont="1" applyFill="1" applyProtection="1">
      <protection hidden="1"/>
    </xf>
    <xf numFmtId="3" fontId="4" fillId="2" borderId="0" xfId="0" applyNumberFormat="1" applyFont="1" applyFill="1" applyProtection="1">
      <protection hidden="1"/>
    </xf>
    <xf numFmtId="4" fontId="5" fillId="2" borderId="0" xfId="0" applyNumberFormat="1" applyFont="1" applyFill="1" applyProtection="1">
      <protection hidden="1"/>
    </xf>
    <xf numFmtId="167" fontId="5" fillId="2" borderId="0" xfId="0" applyNumberFormat="1" applyFont="1" applyFill="1" applyProtection="1">
      <protection hidden="1"/>
    </xf>
    <xf numFmtId="14" fontId="0" fillId="0" borderId="0" xfId="0" applyNumberFormat="1"/>
    <xf numFmtId="0" fontId="14" fillId="0" borderId="0" xfId="0" applyFont="1"/>
    <xf numFmtId="0" fontId="4" fillId="2" borderId="0" xfId="0" applyFont="1" applyFill="1"/>
    <xf numFmtId="1" fontId="0" fillId="0" borderId="0" xfId="0" applyNumberFormat="1"/>
    <xf numFmtId="0" fontId="0" fillId="0" borderId="0" xfId="0" applyAlignment="1">
      <alignment horizontal="right" vertical="top" wrapText="1"/>
    </xf>
    <xf numFmtId="3" fontId="18" fillId="2" borderId="0" xfId="0" applyNumberFormat="1" applyFont="1" applyFill="1" applyProtection="1">
      <protection hidden="1"/>
    </xf>
    <xf numFmtId="3" fontId="5" fillId="2" borderId="0" xfId="0" applyNumberFormat="1" applyFont="1" applyFill="1" applyAlignment="1" applyProtection="1">
      <alignment horizontal="center"/>
      <protection hidden="1"/>
    </xf>
    <xf numFmtId="0" fontId="7" fillId="0" borderId="0" xfId="0" applyFont="1"/>
    <xf numFmtId="0" fontId="3" fillId="0" borderId="0" xfId="0" applyFont="1" applyAlignment="1">
      <alignment horizontal="center"/>
    </xf>
    <xf numFmtId="1" fontId="5" fillId="0" borderId="0" xfId="0" applyNumberFormat="1" applyFont="1" applyAlignment="1">
      <alignment horizontal="center"/>
    </xf>
    <xf numFmtId="164" fontId="4" fillId="0" borderId="0" xfId="0" applyNumberFormat="1" applyFont="1"/>
    <xf numFmtId="0" fontId="15" fillId="2" borderId="0" xfId="0" applyFont="1" applyFill="1"/>
    <xf numFmtId="0" fontId="14" fillId="0" borderId="0" xfId="0" applyFont="1" applyAlignment="1">
      <alignment horizontal="right"/>
    </xf>
    <xf numFmtId="0" fontId="10" fillId="0" borderId="0" xfId="0" applyFont="1"/>
    <xf numFmtId="3" fontId="11" fillId="0" borderId="0" xfId="0" applyNumberFormat="1" applyFont="1" applyProtection="1">
      <protection hidden="1"/>
    </xf>
    <xf numFmtId="3" fontId="11" fillId="0" borderId="0" xfId="0" applyNumberFormat="1" applyFont="1"/>
    <xf numFmtId="0" fontId="4" fillId="2" borderId="0" xfId="0" applyFont="1" applyFill="1" applyAlignment="1">
      <alignment horizontal="right"/>
    </xf>
    <xf numFmtId="49" fontId="4" fillId="2" borderId="0" xfId="0" applyNumberFormat="1" applyFont="1" applyFill="1" applyAlignment="1">
      <alignment horizontal="right"/>
    </xf>
    <xf numFmtId="0" fontId="5" fillId="2" borderId="0" xfId="0" applyFont="1" applyFill="1"/>
    <xf numFmtId="0" fontId="5" fillId="2" borderId="0" xfId="0" applyFont="1" applyFill="1" applyAlignment="1">
      <alignment horizontal="right"/>
    </xf>
    <xf numFmtId="49" fontId="5" fillId="2" borderId="0" xfId="0" applyNumberFormat="1" applyFont="1" applyFill="1" applyAlignment="1">
      <alignment horizontal="right"/>
    </xf>
    <xf numFmtId="0" fontId="5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0" fontId="9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>
      <alignment horizontal="left" vertical="center"/>
    </xf>
    <xf numFmtId="0" fontId="8" fillId="0" borderId="0" xfId="0" applyFont="1"/>
    <xf numFmtId="0" fontId="14" fillId="0" borderId="0" xfId="0" applyFont="1" applyAlignment="1">
      <alignment vertical="center"/>
    </xf>
    <xf numFmtId="0" fontId="3" fillId="3" borderId="1" xfId="0" applyFont="1" applyFill="1" applyBorder="1" applyAlignment="1">
      <alignment horizontal="center"/>
    </xf>
    <xf numFmtId="0" fontId="8" fillId="0" borderId="0" xfId="0" applyFont="1" applyAlignment="1">
      <alignment horizontal="left"/>
    </xf>
    <xf numFmtId="0" fontId="6" fillId="0" borderId="0" xfId="0" applyFont="1" applyAlignment="1">
      <alignment vertical="center"/>
    </xf>
    <xf numFmtId="3" fontId="10" fillId="0" borderId="0" xfId="0" applyNumberFormat="1" applyFont="1" applyProtection="1">
      <protection hidden="1"/>
    </xf>
    <xf numFmtId="0" fontId="10" fillId="0" borderId="2" xfId="0" applyFont="1" applyBorder="1"/>
    <xf numFmtId="0" fontId="6" fillId="0" borderId="0" xfId="0" applyFont="1"/>
    <xf numFmtId="0" fontId="0" fillId="0" borderId="0" xfId="0" applyAlignment="1">
      <alignment vertical="center"/>
    </xf>
    <xf numFmtId="0" fontId="14" fillId="0" borderId="0" xfId="0" applyFont="1" applyAlignment="1">
      <alignment horizontal="center"/>
    </xf>
    <xf numFmtId="3" fontId="6" fillId="0" borderId="0" xfId="0" applyNumberFormat="1" applyFont="1"/>
    <xf numFmtId="3" fontId="3" fillId="0" borderId="0" xfId="0" applyNumberFormat="1" applyFont="1" applyProtection="1">
      <protection hidden="1"/>
    </xf>
    <xf numFmtId="3" fontId="6" fillId="0" borderId="0" xfId="0" applyNumberFormat="1" applyFont="1" applyProtection="1">
      <protection hidden="1"/>
    </xf>
    <xf numFmtId="0" fontId="8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21" fillId="0" borderId="0" xfId="0" applyFont="1" applyAlignment="1">
      <alignment horizontal="right"/>
    </xf>
    <xf numFmtId="49" fontId="5" fillId="0" borderId="0" xfId="0" applyNumberFormat="1" applyFont="1"/>
    <xf numFmtId="6" fontId="5" fillId="0" borderId="0" xfId="0" applyNumberFormat="1" applyFont="1" applyAlignment="1">
      <alignment horizontal="center" vertical="center"/>
    </xf>
    <xf numFmtId="0" fontId="18" fillId="0" borderId="7" xfId="0" applyFont="1" applyBorder="1"/>
    <xf numFmtId="0" fontId="18" fillId="0" borderId="0" xfId="0" applyFont="1"/>
    <xf numFmtId="0" fontId="23" fillId="0" borderId="0" xfId="0" applyFont="1"/>
    <xf numFmtId="14" fontId="7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" fontId="7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10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22" fillId="0" borderId="0" xfId="0" applyFont="1"/>
    <xf numFmtId="0" fontId="0" fillId="0" borderId="0" xfId="0" applyAlignment="1">
      <alignment horizontal="left"/>
    </xf>
    <xf numFmtId="0" fontId="5" fillId="0" borderId="14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21" fillId="0" borderId="0" xfId="0" applyFont="1" applyAlignment="1">
      <alignment horizontal="center"/>
    </xf>
    <xf numFmtId="0" fontId="11" fillId="0" borderId="15" xfId="0" applyFont="1" applyBorder="1" applyAlignment="1">
      <alignment horizontal="center" vertical="center"/>
    </xf>
    <xf numFmtId="167" fontId="4" fillId="0" borderId="0" xfId="0" applyNumberFormat="1" applyFont="1" applyAlignment="1">
      <alignment horizontal="center"/>
    </xf>
    <xf numFmtId="14" fontId="5" fillId="0" borderId="0" xfId="0" applyNumberFormat="1" applyFont="1"/>
    <xf numFmtId="0" fontId="0" fillId="0" borderId="17" xfId="0" applyBorder="1"/>
    <xf numFmtId="0" fontId="6" fillId="0" borderId="0" xfId="0" applyFont="1" applyAlignment="1">
      <alignment horizontal="right" vertical="center"/>
    </xf>
    <xf numFmtId="0" fontId="17" fillId="0" borderId="0" xfId="0" applyFont="1"/>
    <xf numFmtId="0" fontId="6" fillId="0" borderId="0" xfId="0" applyFont="1" applyAlignment="1">
      <alignment horizontal="center"/>
    </xf>
    <xf numFmtId="166" fontId="0" fillId="0" borderId="0" xfId="0" applyNumberFormat="1"/>
    <xf numFmtId="0" fontId="7" fillId="0" borderId="0" xfId="0" applyFont="1" applyAlignment="1">
      <alignment horizontal="left"/>
    </xf>
    <xf numFmtId="0" fontId="5" fillId="0" borderId="19" xfId="0" applyFont="1" applyBorder="1" applyAlignment="1">
      <alignment horizontal="center" vertical="center"/>
    </xf>
    <xf numFmtId="166" fontId="0" fillId="0" borderId="17" xfId="0" applyNumberFormat="1" applyBorder="1"/>
    <xf numFmtId="164" fontId="0" fillId="0" borderId="20" xfId="2" applyNumberFormat="1" applyFont="1" applyBorder="1"/>
    <xf numFmtId="0" fontId="5" fillId="0" borderId="8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38" fillId="0" borderId="0" xfId="0" applyFont="1" applyAlignment="1" applyProtection="1">
      <alignment vertical="center"/>
      <protection hidden="1"/>
    </xf>
    <xf numFmtId="167" fontId="0" fillId="0" borderId="0" xfId="0" applyNumberFormat="1"/>
    <xf numFmtId="0" fontId="24" fillId="2" borderId="0" xfId="0" applyFont="1" applyFill="1"/>
    <xf numFmtId="0" fontId="25" fillId="2" borderId="0" xfId="0" applyFont="1" applyFill="1" applyAlignment="1" applyProtection="1">
      <alignment horizontal="left" vertical="center"/>
      <protection hidden="1"/>
    </xf>
    <xf numFmtId="0" fontId="24" fillId="2" borderId="0" xfId="0" applyFont="1" applyFill="1" applyAlignment="1">
      <alignment horizontal="center"/>
    </xf>
    <xf numFmtId="0" fontId="22" fillId="2" borderId="0" xfId="0" applyFont="1" applyFill="1"/>
    <xf numFmtId="49" fontId="4" fillId="2" borderId="0" xfId="0" applyNumberFormat="1" applyFont="1" applyFill="1" applyAlignment="1">
      <alignment horizontal="right" vertical="center"/>
    </xf>
    <xf numFmtId="3" fontId="4" fillId="0" borderId="0" xfId="0" applyNumberFormat="1" applyFont="1"/>
    <xf numFmtId="0" fontId="8" fillId="0" borderId="0" xfId="0" applyFont="1" applyAlignment="1">
      <alignment horizontal="right"/>
    </xf>
    <xf numFmtId="0" fontId="28" fillId="0" borderId="0" xfId="0" applyFont="1"/>
    <xf numFmtId="3" fontId="29" fillId="0" borderId="0" xfId="0" applyNumberFormat="1" applyFont="1"/>
    <xf numFmtId="0" fontId="30" fillId="0" borderId="0" xfId="0" applyFont="1" applyAlignment="1">
      <alignment horizontal="center"/>
    </xf>
    <xf numFmtId="0" fontId="5" fillId="0" borderId="2" xfId="0" applyFont="1" applyBorder="1" applyAlignment="1">
      <alignment vertical="center"/>
    </xf>
    <xf numFmtId="0" fontId="5" fillId="0" borderId="25" xfId="0" applyFont="1" applyBorder="1"/>
    <xf numFmtId="0" fontId="4" fillId="0" borderId="0" xfId="0" applyFont="1" applyAlignment="1" applyProtection="1">
      <alignment horizontal="left"/>
      <protection hidden="1"/>
    </xf>
    <xf numFmtId="0" fontId="4" fillId="0" borderId="25" xfId="0" applyFont="1" applyBorder="1"/>
    <xf numFmtId="0" fontId="4" fillId="0" borderId="25" xfId="0" applyFont="1" applyBorder="1" applyAlignment="1" applyProtection="1">
      <alignment horizontal="center"/>
      <protection hidden="1"/>
    </xf>
    <xf numFmtId="0" fontId="4" fillId="0" borderId="25" xfId="0" applyFont="1" applyBorder="1" applyAlignment="1" applyProtection="1">
      <alignment horizontal="left"/>
      <protection hidden="1"/>
    </xf>
    <xf numFmtId="0" fontId="5" fillId="0" borderId="25" xfId="0" applyFont="1" applyBorder="1" applyAlignment="1" applyProtection="1">
      <alignment horizontal="left"/>
      <protection hidden="1"/>
    </xf>
    <xf numFmtId="1" fontId="4" fillId="0" borderId="0" xfId="0" applyNumberFormat="1" applyFont="1" applyAlignment="1" applyProtection="1">
      <alignment horizontal="center"/>
      <protection hidden="1"/>
    </xf>
    <xf numFmtId="10" fontId="0" fillId="0" borderId="0" xfId="2" applyNumberFormat="1" applyFont="1"/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 applyAlignment="1">
      <alignment horizontal="right"/>
    </xf>
    <xf numFmtId="165" fontId="4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1" fontId="5" fillId="0" borderId="0" xfId="0" applyNumberFormat="1" applyFont="1" applyAlignment="1" applyProtection="1">
      <alignment horizontal="center"/>
      <protection hidden="1"/>
    </xf>
    <xf numFmtId="1" fontId="23" fillId="0" borderId="0" xfId="0" applyNumberFormat="1" applyFont="1" applyAlignment="1" applyProtection="1">
      <alignment horizontal="center"/>
      <protection hidden="1"/>
    </xf>
    <xf numFmtId="0" fontId="28" fillId="0" borderId="0" xfId="0" applyFont="1" applyAlignment="1">
      <alignment horizontal="center"/>
    </xf>
    <xf numFmtId="0" fontId="25" fillId="2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1" fillId="0" borderId="0" xfId="0" applyFont="1" applyProtection="1">
      <protection hidden="1"/>
    </xf>
    <xf numFmtId="3" fontId="0" fillId="0" borderId="0" xfId="0" applyNumberFormat="1" applyAlignment="1" applyProtection="1">
      <alignment horizontal="right"/>
      <protection hidden="1"/>
    </xf>
    <xf numFmtId="0" fontId="10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164" fontId="4" fillId="0" borderId="0" xfId="0" applyNumberFormat="1" applyFont="1" applyAlignment="1" applyProtection="1">
      <alignment horizontal="right"/>
      <protection hidden="1"/>
    </xf>
    <xf numFmtId="0" fontId="8" fillId="0" borderId="0" xfId="0" applyFont="1" applyProtection="1">
      <protection hidden="1"/>
    </xf>
    <xf numFmtId="0" fontId="4" fillId="0" borderId="0" xfId="0" applyFont="1" applyAlignment="1" applyProtection="1">
      <alignment horizontal="center"/>
      <protection hidden="1"/>
    </xf>
    <xf numFmtId="0" fontId="8" fillId="0" borderId="0" xfId="0" applyFont="1" applyAlignment="1" applyProtection="1">
      <alignment horizontal="center"/>
      <protection hidden="1"/>
    </xf>
    <xf numFmtId="0" fontId="4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right"/>
      <protection hidden="1"/>
    </xf>
    <xf numFmtId="3" fontId="11" fillId="0" borderId="0" xfId="0" applyNumberFormat="1" applyFont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1" fontId="11" fillId="0" borderId="0" xfId="0" applyNumberFormat="1" applyFont="1" applyAlignment="1" applyProtection="1">
      <alignment horizontal="right"/>
      <protection hidden="1"/>
    </xf>
    <xf numFmtId="3" fontId="11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vertical="center"/>
      <protection hidden="1"/>
    </xf>
    <xf numFmtId="0" fontId="6" fillId="0" borderId="0" xfId="0" applyFont="1" applyAlignment="1">
      <alignment horizontal="right"/>
    </xf>
    <xf numFmtId="0" fontId="6" fillId="2" borderId="0" xfId="0" applyFont="1" applyFill="1"/>
    <xf numFmtId="3" fontId="6" fillId="0" borderId="0" xfId="0" applyNumberFormat="1" applyFont="1" applyAlignment="1">
      <alignment horizontal="right"/>
    </xf>
    <xf numFmtId="0" fontId="32" fillId="0" borderId="0" xfId="0" applyFont="1"/>
    <xf numFmtId="0" fontId="32" fillId="0" borderId="0" xfId="0" applyFont="1" applyAlignment="1">
      <alignment horizontal="center"/>
    </xf>
    <xf numFmtId="0" fontId="4" fillId="0" borderId="2" xfId="0" applyFont="1" applyBorder="1" applyAlignment="1" applyProtection="1">
      <alignment horizontal="left" vertical="center"/>
      <protection hidden="1"/>
    </xf>
    <xf numFmtId="0" fontId="0" fillId="0" borderId="9" xfId="0" applyBorder="1" applyAlignment="1">
      <alignment vertical="center"/>
    </xf>
    <xf numFmtId="0" fontId="24" fillId="2" borderId="0" xfId="0" applyFont="1" applyFill="1" applyAlignment="1">
      <alignment horizontal="left"/>
    </xf>
    <xf numFmtId="0" fontId="24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9" fillId="0" borderId="0" xfId="0" applyFont="1"/>
    <xf numFmtId="0" fontId="5" fillId="0" borderId="16" xfId="0" applyFont="1" applyBorder="1"/>
    <xf numFmtId="0" fontId="19" fillId="0" borderId="16" xfId="0" applyFont="1" applyBorder="1"/>
    <xf numFmtId="0" fontId="19" fillId="0" borderId="16" xfId="0" applyFont="1" applyBorder="1" applyAlignment="1">
      <alignment horizontal="center"/>
    </xf>
    <xf numFmtId="0" fontId="5" fillId="0" borderId="27" xfId="0" applyFont="1" applyBorder="1" applyAlignment="1" applyProtection="1">
      <alignment horizontal="left" vertical="center"/>
      <protection hidden="1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5" fillId="0" borderId="0" xfId="0" applyFont="1" applyAlignment="1">
      <alignment horizontal="right"/>
    </xf>
    <xf numFmtId="0" fontId="16" fillId="0" borderId="2" xfId="0" applyFont="1" applyBorder="1"/>
    <xf numFmtId="0" fontId="0" fillId="0" borderId="28" xfId="0" applyBorder="1"/>
    <xf numFmtId="3" fontId="0" fillId="0" borderId="35" xfId="0" applyNumberFormat="1" applyBorder="1"/>
    <xf numFmtId="3" fontId="0" fillId="0" borderId="38" xfId="0" applyNumberFormat="1" applyBorder="1"/>
    <xf numFmtId="3" fontId="5" fillId="0" borderId="0" xfId="0" applyNumberFormat="1" applyFont="1"/>
    <xf numFmtId="0" fontId="3" fillId="0" borderId="27" xfId="0" applyFont="1" applyBorder="1" applyAlignment="1">
      <alignment horizontal="center"/>
    </xf>
    <xf numFmtId="1" fontId="5" fillId="3" borderId="40" xfId="0" applyNumberFormat="1" applyFont="1" applyFill="1" applyBorder="1" applyAlignment="1">
      <alignment horizontal="center"/>
    </xf>
    <xf numFmtId="0" fontId="11" fillId="0" borderId="17" xfId="0" applyFont="1" applyBorder="1"/>
    <xf numFmtId="164" fontId="11" fillId="0" borderId="17" xfId="2" applyNumberFormat="1" applyFont="1" applyBorder="1"/>
    <xf numFmtId="3" fontId="11" fillId="0" borderId="17" xfId="2" applyNumberFormat="1" applyFont="1" applyBorder="1"/>
    <xf numFmtId="164" fontId="0" fillId="0" borderId="17" xfId="2" applyNumberFormat="1" applyFont="1" applyBorder="1"/>
    <xf numFmtId="0" fontId="11" fillId="0" borderId="41" xfId="0" applyFont="1" applyBorder="1" applyAlignment="1">
      <alignment horizontal="center" vertical="center"/>
    </xf>
    <xf numFmtId="0" fontId="11" fillId="0" borderId="16" xfId="0" applyFont="1" applyBorder="1" applyAlignment="1">
      <alignment vertical="center"/>
    </xf>
    <xf numFmtId="3" fontId="11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0" fontId="5" fillId="0" borderId="0" xfId="0" applyFont="1" applyAlignment="1">
      <alignment vertical="center"/>
    </xf>
    <xf numFmtId="0" fontId="0" fillId="0" borderId="34" xfId="0" applyBorder="1"/>
    <xf numFmtId="0" fontId="5" fillId="0" borderId="31" xfId="0" applyFont="1" applyBorder="1" applyAlignment="1">
      <alignment horizontal="right" vertical="center"/>
    </xf>
    <xf numFmtId="9" fontId="0" fillId="0" borderId="0" xfId="2" applyFont="1"/>
    <xf numFmtId="167" fontId="5" fillId="0" borderId="0" xfId="0" applyNumberFormat="1" applyFont="1"/>
    <xf numFmtId="0" fontId="0" fillId="0" borderId="0" xfId="0" applyAlignment="1">
      <alignment horizontal="right"/>
    </xf>
    <xf numFmtId="3" fontId="4" fillId="5" borderId="16" xfId="0" applyNumberFormat="1" applyFont="1" applyFill="1" applyBorder="1" applyAlignment="1">
      <alignment horizontal="right" vertical="center"/>
    </xf>
    <xf numFmtId="3" fontId="4" fillId="5" borderId="33" xfId="0" applyNumberFormat="1" applyFont="1" applyFill="1" applyBorder="1" applyAlignment="1">
      <alignment horizontal="right" vertical="center"/>
    </xf>
    <xf numFmtId="0" fontId="10" fillId="0" borderId="11" xfId="0" applyFont="1" applyBorder="1" applyAlignment="1">
      <alignment horizontal="center" vertical="center"/>
    </xf>
    <xf numFmtId="0" fontId="10" fillId="0" borderId="7" xfId="0" applyFont="1" applyBorder="1" applyAlignment="1">
      <alignment vertical="center"/>
    </xf>
    <xf numFmtId="0" fontId="10" fillId="0" borderId="8" xfId="0" applyFont="1" applyBorder="1" applyAlignment="1">
      <alignment horizontal="right" vertical="center"/>
    </xf>
    <xf numFmtId="0" fontId="11" fillId="0" borderId="27" xfId="0" applyFont="1" applyBorder="1" applyAlignment="1">
      <alignment horizontal="center" vertical="center"/>
    </xf>
    <xf numFmtId="0" fontId="11" fillId="0" borderId="16" xfId="0" applyFont="1" applyBorder="1" applyAlignment="1">
      <alignment horizontal="right" vertical="center"/>
    </xf>
    <xf numFmtId="0" fontId="10" fillId="0" borderId="27" xfId="0" applyFont="1" applyBorder="1" applyAlignment="1">
      <alignment horizontal="center" vertical="center"/>
    </xf>
    <xf numFmtId="3" fontId="0" fillId="0" borderId="17" xfId="0" applyNumberFormat="1" applyBorder="1"/>
    <xf numFmtId="49" fontId="4" fillId="2" borderId="0" xfId="0" applyNumberFormat="1" applyFont="1" applyFill="1" applyAlignment="1">
      <alignment horizontal="center"/>
    </xf>
    <xf numFmtId="49" fontId="5" fillId="2" borderId="0" xfId="0" applyNumberFormat="1" applyFont="1" applyFill="1" applyAlignment="1">
      <alignment horizontal="center"/>
    </xf>
    <xf numFmtId="3" fontId="4" fillId="2" borderId="0" xfId="0" applyNumberFormat="1" applyFont="1" applyFill="1"/>
    <xf numFmtId="0" fontId="5" fillId="0" borderId="20" xfId="0" applyFont="1" applyBorder="1" applyAlignment="1">
      <alignment horizontal="right"/>
    </xf>
    <xf numFmtId="0" fontId="5" fillId="0" borderId="10" xfId="0" applyFont="1" applyBorder="1"/>
    <xf numFmtId="0" fontId="16" fillId="0" borderId="10" xfId="0" applyFont="1" applyBorder="1"/>
    <xf numFmtId="167" fontId="5" fillId="0" borderId="10" xfId="0" applyNumberFormat="1" applyFont="1" applyBorder="1"/>
    <xf numFmtId="3" fontId="5" fillId="0" borderId="10" xfId="0" applyNumberFormat="1" applyFont="1" applyBorder="1"/>
    <xf numFmtId="3" fontId="4" fillId="0" borderId="0" xfId="0" applyNumberFormat="1" applyFont="1" applyAlignment="1">
      <alignment horizontal="center"/>
    </xf>
    <xf numFmtId="164" fontId="4" fillId="0" borderId="0" xfId="2" applyNumberFormat="1" applyFont="1" applyAlignment="1">
      <alignment horizontal="center"/>
    </xf>
    <xf numFmtId="3" fontId="5" fillId="0" borderId="21" xfId="0" applyNumberFormat="1" applyFont="1" applyBorder="1" applyAlignment="1" applyProtection="1">
      <alignment horizontal="center" vertical="center"/>
      <protection hidden="1"/>
    </xf>
    <xf numFmtId="3" fontId="5" fillId="0" borderId="19" xfId="0" applyNumberFormat="1" applyFont="1" applyBorder="1" applyAlignment="1" applyProtection="1">
      <alignment horizontal="center" vertical="center"/>
      <protection hidden="1"/>
    </xf>
    <xf numFmtId="3" fontId="5" fillId="0" borderId="22" xfId="0" applyNumberFormat="1" applyFont="1" applyBorder="1" applyAlignment="1" applyProtection="1">
      <alignment horizontal="center" vertical="center"/>
      <protection hidden="1"/>
    </xf>
    <xf numFmtId="3" fontId="5" fillId="0" borderId="8" xfId="0" applyNumberFormat="1" applyFont="1" applyBorder="1" applyAlignment="1" applyProtection="1">
      <alignment horizontal="center" vertical="center"/>
      <protection hidden="1"/>
    </xf>
    <xf numFmtId="0" fontId="10" fillId="0" borderId="4" xfId="0" applyFont="1" applyBorder="1" applyAlignment="1" applyProtection="1">
      <alignment horizontal="center" vertical="center"/>
      <protection hidden="1"/>
    </xf>
    <xf numFmtId="0" fontId="10" fillId="0" borderId="4" xfId="0" applyFont="1" applyBorder="1" applyAlignment="1" applyProtection="1">
      <alignment vertical="center"/>
      <protection hidden="1"/>
    </xf>
    <xf numFmtId="0" fontId="10" fillId="0" borderId="4" xfId="0" applyFont="1" applyBorder="1" applyAlignment="1" applyProtection="1">
      <alignment horizontal="right" vertical="center"/>
      <protection hidden="1"/>
    </xf>
    <xf numFmtId="166" fontId="10" fillId="0" borderId="4" xfId="0" applyNumberFormat="1" applyFont="1" applyBorder="1" applyAlignment="1" applyProtection="1">
      <alignment horizontal="right" vertical="center"/>
      <protection hidden="1"/>
    </xf>
    <xf numFmtId="3" fontId="10" fillId="0" borderId="4" xfId="0" applyNumberFormat="1" applyFont="1" applyBorder="1" applyAlignment="1" applyProtection="1">
      <alignment vertical="center"/>
      <protection hidden="1"/>
    </xf>
    <xf numFmtId="3" fontId="0" fillId="0" borderId="38" xfId="2" applyNumberFormat="1" applyFont="1" applyBorder="1"/>
    <xf numFmtId="3" fontId="0" fillId="0" borderId="44" xfId="0" applyNumberFormat="1" applyBorder="1"/>
    <xf numFmtId="0" fontId="38" fillId="0" borderId="0" xfId="0" applyFont="1" applyProtection="1">
      <protection hidden="1"/>
    </xf>
    <xf numFmtId="0" fontId="10" fillId="0" borderId="13" xfId="0" applyFont="1" applyBorder="1" applyAlignment="1">
      <alignment horizontal="center" vertical="center"/>
    </xf>
    <xf numFmtId="0" fontId="10" fillId="0" borderId="34" xfId="0" applyFont="1" applyBorder="1" applyAlignment="1">
      <alignment vertical="center"/>
    </xf>
    <xf numFmtId="0" fontId="10" fillId="0" borderId="43" xfId="0" applyFont="1" applyBorder="1" applyAlignment="1">
      <alignment horizontal="right" vertical="center"/>
    </xf>
    <xf numFmtId="0" fontId="11" fillId="0" borderId="45" xfId="0" applyFont="1" applyBorder="1" applyAlignment="1">
      <alignment vertical="center"/>
    </xf>
    <xf numFmtId="0" fontId="10" fillId="0" borderId="46" xfId="0" applyFont="1" applyBorder="1" applyAlignment="1">
      <alignment horizontal="right" vertical="center"/>
    </xf>
    <xf numFmtId="0" fontId="5" fillId="0" borderId="46" xfId="0" applyFont="1" applyBorder="1" applyAlignment="1">
      <alignment horizontal="right" vertical="center"/>
    </xf>
    <xf numFmtId="0" fontId="11" fillId="0" borderId="46" xfId="0" applyFont="1" applyBorder="1" applyAlignment="1">
      <alignment horizontal="right" vertical="center"/>
    </xf>
    <xf numFmtId="0" fontId="10" fillId="0" borderId="46" xfId="0" applyFont="1" applyBorder="1" applyAlignment="1">
      <alignment vertical="center"/>
    </xf>
    <xf numFmtId="0" fontId="11" fillId="0" borderId="45" xfId="0" applyFont="1" applyBorder="1" applyAlignment="1">
      <alignment horizontal="right" vertical="center"/>
    </xf>
    <xf numFmtId="0" fontId="10" fillId="0" borderId="45" xfId="0" applyFont="1" applyBorder="1" applyAlignment="1">
      <alignment vertical="center"/>
    </xf>
    <xf numFmtId="3" fontId="5" fillId="0" borderId="50" xfId="0" applyNumberFormat="1" applyFont="1" applyBorder="1" applyAlignment="1" applyProtection="1">
      <alignment vertical="center"/>
      <protection hidden="1"/>
    </xf>
    <xf numFmtId="167" fontId="5" fillId="0" borderId="51" xfId="0" applyNumberFormat="1" applyFont="1" applyBorder="1" applyAlignment="1" applyProtection="1">
      <alignment vertical="center"/>
      <protection hidden="1"/>
    </xf>
    <xf numFmtId="167" fontId="6" fillId="3" borderId="38" xfId="0" applyNumberFormat="1" applyFont="1" applyFill="1" applyBorder="1" applyAlignment="1" applyProtection="1">
      <alignment vertical="center"/>
      <protection hidden="1"/>
    </xf>
    <xf numFmtId="167" fontId="6" fillId="3" borderId="35" xfId="0" applyNumberFormat="1" applyFont="1" applyFill="1" applyBorder="1" applyAlignment="1" applyProtection="1">
      <alignment vertical="center"/>
      <protection hidden="1"/>
    </xf>
    <xf numFmtId="3" fontId="6" fillId="3" borderId="38" xfId="0" applyNumberFormat="1" applyFont="1" applyFill="1" applyBorder="1" applyAlignment="1" applyProtection="1">
      <alignment vertical="center"/>
      <protection hidden="1"/>
    </xf>
    <xf numFmtId="3" fontId="5" fillId="0" borderId="48" xfId="0" applyNumberFormat="1" applyFont="1" applyBorder="1" applyAlignment="1" applyProtection="1">
      <alignment vertical="center"/>
      <protection hidden="1"/>
    </xf>
    <xf numFmtId="167" fontId="11" fillId="3" borderId="35" xfId="0" applyNumberFormat="1" applyFont="1" applyFill="1" applyBorder="1" applyAlignment="1" applyProtection="1">
      <alignment vertical="center"/>
      <protection hidden="1"/>
    </xf>
    <xf numFmtId="9" fontId="6" fillId="3" borderId="38" xfId="0" applyNumberFormat="1" applyFont="1" applyFill="1" applyBorder="1" applyAlignment="1" applyProtection="1">
      <alignment vertical="center"/>
      <protection hidden="1"/>
    </xf>
    <xf numFmtId="164" fontId="6" fillId="3" borderId="35" xfId="0" applyNumberFormat="1" applyFont="1" applyFill="1" applyBorder="1" applyAlignment="1" applyProtection="1">
      <alignment vertical="center"/>
      <protection hidden="1"/>
    </xf>
    <xf numFmtId="164" fontId="6" fillId="3" borderId="38" xfId="0" applyNumberFormat="1" applyFont="1" applyFill="1" applyBorder="1" applyAlignment="1" applyProtection="1">
      <alignment vertical="center"/>
      <protection hidden="1"/>
    </xf>
    <xf numFmtId="0" fontId="6" fillId="0" borderId="25" xfId="0" applyFont="1" applyBorder="1" applyAlignment="1">
      <alignment vertical="center"/>
    </xf>
    <xf numFmtId="3" fontId="6" fillId="0" borderId="39" xfId="0" applyNumberFormat="1" applyFont="1" applyBorder="1" applyAlignment="1" applyProtection="1">
      <alignment vertical="center"/>
      <protection hidden="1"/>
    </xf>
    <xf numFmtId="167" fontId="6" fillId="0" borderId="37" xfId="0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 vertical="center"/>
    </xf>
    <xf numFmtId="0" fontId="8" fillId="0" borderId="18" xfId="0" applyFont="1" applyBorder="1" applyAlignment="1">
      <alignment vertical="center"/>
    </xf>
    <xf numFmtId="0" fontId="8" fillId="0" borderId="7" xfId="0" applyFont="1" applyBorder="1" applyAlignment="1">
      <alignment vertical="center"/>
    </xf>
    <xf numFmtId="3" fontId="0" fillId="0" borderId="0" xfId="2" applyNumberFormat="1" applyFont="1"/>
    <xf numFmtId="0" fontId="4" fillId="0" borderId="0" xfId="0" applyFont="1" applyAlignment="1">
      <alignment horizontal="left" vertical="center" wrapText="1"/>
    </xf>
    <xf numFmtId="167" fontId="6" fillId="3" borderId="33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4" fillId="0" borderId="4" xfId="0" applyFont="1" applyBorder="1" applyAlignment="1" applyProtection="1">
      <alignment vertical="center"/>
      <protection hidden="1"/>
    </xf>
    <xf numFmtId="0" fontId="4" fillId="0" borderId="4" xfId="0" applyFont="1" applyBorder="1" applyAlignment="1" applyProtection="1">
      <alignment horizontal="right" vertical="center"/>
      <protection hidden="1"/>
    </xf>
    <xf numFmtId="166" fontId="0" fillId="0" borderId="4" xfId="0" applyNumberFormat="1" applyBorder="1" applyAlignment="1" applyProtection="1">
      <alignment horizontal="right"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4" fillId="0" borderId="0" xfId="0" applyFont="1" applyAlignment="1" applyProtection="1">
      <alignment vertical="center"/>
      <protection hidden="1"/>
    </xf>
    <xf numFmtId="166" fontId="0" fillId="0" borderId="0" xfId="0" applyNumberFormat="1" applyAlignment="1" applyProtection="1">
      <alignment horizontal="right" vertical="center"/>
      <protection hidden="1"/>
    </xf>
    <xf numFmtId="3" fontId="4" fillId="0" borderId="0" xfId="0" applyNumberFormat="1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5" fillId="0" borderId="12" xfId="0" applyFont="1" applyBorder="1" applyAlignment="1">
      <alignment horizontal="right"/>
    </xf>
    <xf numFmtId="3" fontId="5" fillId="0" borderId="2" xfId="0" applyNumberFormat="1" applyFont="1" applyBorder="1"/>
    <xf numFmtId="9" fontId="5" fillId="0" borderId="2" xfId="2" applyFont="1" applyBorder="1"/>
    <xf numFmtId="0" fontId="5" fillId="0" borderId="2" xfId="0" applyFont="1" applyBorder="1"/>
    <xf numFmtId="167" fontId="5" fillId="0" borderId="2" xfId="0" applyNumberFormat="1" applyFont="1" applyBorder="1"/>
    <xf numFmtId="3" fontId="5" fillId="0" borderId="1" xfId="0" applyNumberFormat="1" applyFont="1" applyBorder="1"/>
    <xf numFmtId="0" fontId="0" fillId="0" borderId="27" xfId="0" applyBorder="1" applyAlignment="1">
      <alignment horizontal="right"/>
    </xf>
    <xf numFmtId="0" fontId="4" fillId="0" borderId="13" xfId="0" applyFont="1" applyBorder="1" applyAlignment="1">
      <alignment horizontal="right"/>
    </xf>
    <xf numFmtId="0" fontId="17" fillId="0" borderId="34" xfId="0" applyFont="1" applyBorder="1"/>
    <xf numFmtId="167" fontId="0" fillId="0" borderId="34" xfId="0" applyNumberFormat="1" applyBorder="1"/>
    <xf numFmtId="3" fontId="0" fillId="0" borderId="34" xfId="0" applyNumberFormat="1" applyBorder="1"/>
    <xf numFmtId="3" fontId="4" fillId="0" borderId="34" xfId="0" applyNumberFormat="1" applyFont="1" applyBorder="1"/>
    <xf numFmtId="9" fontId="11" fillId="0" borderId="17" xfId="2" applyFont="1" applyBorder="1"/>
    <xf numFmtId="0" fontId="4" fillId="0" borderId="64" xfId="0" applyFont="1" applyBorder="1" applyAlignment="1" applyProtection="1">
      <alignment horizontal="left" vertical="center"/>
      <protection hidden="1"/>
    </xf>
    <xf numFmtId="0" fontId="4" fillId="0" borderId="65" xfId="0" applyFont="1" applyBorder="1" applyAlignment="1" applyProtection="1">
      <alignment horizontal="left" vertical="center"/>
      <protection hidden="1"/>
    </xf>
    <xf numFmtId="1" fontId="5" fillId="3" borderId="62" xfId="0" applyNumberFormat="1" applyFont="1" applyFill="1" applyBorder="1" applyAlignment="1" applyProtection="1">
      <alignment horizontal="center" vertical="center"/>
      <protection hidden="1"/>
    </xf>
    <xf numFmtId="0" fontId="5" fillId="0" borderId="12" xfId="0" applyFont="1" applyBorder="1" applyAlignment="1" applyProtection="1">
      <alignment horizontal="left" vertical="center"/>
      <protection hidden="1"/>
    </xf>
    <xf numFmtId="3" fontId="0" fillId="0" borderId="0" xfId="0" applyNumberFormat="1" applyAlignment="1">
      <alignment vertical="center"/>
    </xf>
    <xf numFmtId="0" fontId="3" fillId="0" borderId="34" xfId="0" applyFont="1" applyBorder="1" applyAlignment="1">
      <alignment horizontal="center"/>
    </xf>
    <xf numFmtId="167" fontId="6" fillId="3" borderId="67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0" fontId="0" fillId="0" borderId="4" xfId="0" applyBorder="1" applyAlignment="1">
      <alignment horizontal="right" vertical="center"/>
    </xf>
    <xf numFmtId="0" fontId="5" fillId="0" borderId="18" xfId="0" applyFont="1" applyBorder="1" applyProtection="1">
      <protection locked="0"/>
    </xf>
    <xf numFmtId="0" fontId="4" fillId="0" borderId="7" xfId="0" applyFont="1" applyBorder="1" applyProtection="1">
      <protection locked="0"/>
    </xf>
    <xf numFmtId="0" fontId="16" fillId="0" borderId="7" xfId="0" applyFont="1" applyBorder="1" applyProtection="1">
      <protection locked="0"/>
    </xf>
    <xf numFmtId="1" fontId="10" fillId="0" borderId="17" xfId="0" applyNumberFormat="1" applyFont="1" applyBorder="1" applyAlignment="1" applyProtection="1">
      <alignment horizontal="center"/>
      <protection hidden="1"/>
    </xf>
    <xf numFmtId="1" fontId="10" fillId="0" borderId="17" xfId="0" applyNumberFormat="1" applyFont="1" applyBorder="1" applyAlignment="1">
      <alignment horizontal="center"/>
    </xf>
    <xf numFmtId="3" fontId="5" fillId="0" borderId="0" xfId="0" applyNumberFormat="1" applyFont="1" applyAlignment="1">
      <alignment horizontal="center"/>
    </xf>
    <xf numFmtId="164" fontId="5" fillId="0" borderId="0" xfId="2" applyNumberFormat="1" applyFont="1" applyAlignment="1">
      <alignment horizontal="center"/>
    </xf>
    <xf numFmtId="166" fontId="5" fillId="0" borderId="0" xfId="0" applyNumberFormat="1" applyFont="1"/>
    <xf numFmtId="0" fontId="16" fillId="0" borderId="0" xfId="0" applyFont="1"/>
    <xf numFmtId="0" fontId="5" fillId="8" borderId="27" xfId="0" applyFont="1" applyFill="1" applyBorder="1" applyAlignment="1">
      <alignment horizontal="center" vertical="center"/>
    </xf>
    <xf numFmtId="0" fontId="5" fillId="8" borderId="0" xfId="0" applyFont="1" applyFill="1" applyAlignment="1">
      <alignment horizontal="center" vertical="center"/>
    </xf>
    <xf numFmtId="0" fontId="5" fillId="8" borderId="28" xfId="0" applyFont="1" applyFill="1" applyBorder="1" applyAlignment="1">
      <alignment horizontal="center" vertical="center"/>
    </xf>
    <xf numFmtId="166" fontId="5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right"/>
    </xf>
    <xf numFmtId="3" fontId="5" fillId="0" borderId="19" xfId="0" applyNumberFormat="1" applyFont="1" applyBorder="1" applyAlignment="1" applyProtection="1">
      <alignment horizontal="right"/>
      <protection hidden="1"/>
    </xf>
    <xf numFmtId="3" fontId="5" fillId="0" borderId="7" xfId="0" applyNumberFormat="1" applyFont="1" applyBorder="1"/>
    <xf numFmtId="3" fontId="5" fillId="0" borderId="68" xfId="0" applyNumberFormat="1" applyFont="1" applyBorder="1"/>
    <xf numFmtId="3" fontId="5" fillId="0" borderId="67" xfId="0" applyNumberFormat="1" applyFont="1" applyBorder="1"/>
    <xf numFmtId="3" fontId="5" fillId="0" borderId="58" xfId="0" applyNumberFormat="1" applyFont="1" applyBorder="1"/>
    <xf numFmtId="3" fontId="5" fillId="0" borderId="41" xfId="0" applyNumberFormat="1" applyFont="1" applyBorder="1"/>
    <xf numFmtId="3" fontId="5" fillId="0" borderId="16" xfId="0" applyNumberFormat="1" applyFont="1" applyBorder="1"/>
    <xf numFmtId="3" fontId="5" fillId="0" borderId="69" xfId="0" applyNumberFormat="1" applyFont="1" applyBorder="1"/>
    <xf numFmtId="3" fontId="5" fillId="0" borderId="12" xfId="0" applyNumberFormat="1" applyFont="1" applyBorder="1"/>
    <xf numFmtId="0" fontId="5" fillId="0" borderId="2" xfId="0" applyFont="1" applyBorder="1" applyAlignment="1">
      <alignment horizontal="center"/>
    </xf>
    <xf numFmtId="166" fontId="5" fillId="0" borderId="2" xfId="0" applyNumberFormat="1" applyFont="1" applyBorder="1"/>
    <xf numFmtId="3" fontId="5" fillId="0" borderId="13" xfId="0" applyNumberFormat="1" applyFont="1" applyBorder="1"/>
    <xf numFmtId="3" fontId="5" fillId="0" borderId="34" xfId="0" applyNumberFormat="1" applyFont="1" applyBorder="1"/>
    <xf numFmtId="0" fontId="5" fillId="0" borderId="34" xfId="0" applyFont="1" applyBorder="1" applyAlignment="1">
      <alignment horizontal="center"/>
    </xf>
    <xf numFmtId="0" fontId="5" fillId="0" borderId="62" xfId="0" applyFont="1" applyBorder="1" applyAlignment="1">
      <alignment horizontal="center" vertical="center"/>
    </xf>
    <xf numFmtId="3" fontId="5" fillId="0" borderId="26" xfId="0" applyNumberFormat="1" applyFont="1" applyBorder="1"/>
    <xf numFmtId="3" fontId="5" fillId="0" borderId="13" xfId="0" applyNumberFormat="1" applyFont="1" applyBorder="1" applyAlignment="1">
      <alignment horizontal="center"/>
    </xf>
    <xf numFmtId="0" fontId="11" fillId="0" borderId="0" xfId="0" applyFont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left" vertical="center"/>
      <protection locked="0"/>
    </xf>
    <xf numFmtId="0" fontId="11" fillId="0" borderId="0" xfId="0" applyFont="1" applyAlignment="1">
      <alignment horizontal="left" vertical="center"/>
    </xf>
    <xf numFmtId="0" fontId="11" fillId="0" borderId="71" xfId="0" applyFont="1" applyBorder="1" applyProtection="1">
      <protection hidden="1"/>
    </xf>
    <xf numFmtId="0" fontId="11" fillId="0" borderId="73" xfId="0" applyFont="1" applyBorder="1" applyProtection="1">
      <protection hidden="1"/>
    </xf>
    <xf numFmtId="0" fontId="11" fillId="0" borderId="0" xfId="0" applyFont="1" applyAlignment="1" applyProtection="1">
      <alignment vertical="center"/>
      <protection locked="0"/>
    </xf>
    <xf numFmtId="1" fontId="10" fillId="5" borderId="33" xfId="0" applyNumberFormat="1" applyFont="1" applyFill="1" applyBorder="1" applyAlignment="1" applyProtection="1">
      <alignment horizontal="center" vertical="center"/>
      <protection hidden="1"/>
    </xf>
    <xf numFmtId="0" fontId="11" fillId="0" borderId="45" xfId="0" applyFont="1" applyBorder="1" applyAlignment="1" applyProtection="1">
      <alignment vertical="center"/>
      <protection hidden="1"/>
    </xf>
    <xf numFmtId="0" fontId="10" fillId="0" borderId="75" xfId="0" applyFont="1" applyBorder="1" applyAlignment="1">
      <alignment horizontal="right" vertical="center"/>
    </xf>
    <xf numFmtId="166" fontId="11" fillId="5" borderId="35" xfId="0" applyNumberFormat="1" applyFont="1" applyFill="1" applyBorder="1" applyAlignment="1" applyProtection="1">
      <alignment horizontal="center" vertical="center"/>
      <protection hidden="1"/>
    </xf>
    <xf numFmtId="0" fontId="10" fillId="0" borderId="45" xfId="0" applyFont="1" applyBorder="1" applyAlignment="1" applyProtection="1">
      <alignment vertical="center"/>
      <protection hidden="1"/>
    </xf>
    <xf numFmtId="0" fontId="11" fillId="0" borderId="75" xfId="0" applyFont="1" applyBorder="1" applyAlignment="1">
      <alignment horizontal="right" vertical="center"/>
    </xf>
    <xf numFmtId="3" fontId="10" fillId="0" borderId="35" xfId="0" applyNumberFormat="1" applyFont="1" applyBorder="1" applyAlignment="1" applyProtection="1">
      <alignment horizontal="center" vertical="center"/>
      <protection hidden="1"/>
    </xf>
    <xf numFmtId="166" fontId="11" fillId="0" borderId="35" xfId="0" applyNumberFormat="1" applyFont="1" applyBorder="1" applyAlignment="1" applyProtection="1">
      <alignment horizontal="center" vertical="center"/>
      <protection hidden="1"/>
    </xf>
    <xf numFmtId="0" fontId="11" fillId="0" borderId="45" xfId="0" applyFont="1" applyBorder="1" applyAlignment="1" applyProtection="1">
      <alignment horizontal="left" vertical="center"/>
      <protection hidden="1"/>
    </xf>
    <xf numFmtId="0" fontId="10" fillId="0" borderId="75" xfId="0" quotePrefix="1" applyFont="1" applyBorder="1" applyAlignment="1">
      <alignment horizontal="right" vertical="center"/>
    </xf>
    <xf numFmtId="0" fontId="10" fillId="0" borderId="45" xfId="0" applyFont="1" applyBorder="1" applyAlignment="1" applyProtection="1">
      <alignment horizontal="left" vertical="center"/>
      <protection hidden="1"/>
    </xf>
    <xf numFmtId="0" fontId="11" fillId="0" borderId="75" xfId="0" applyFont="1" applyBorder="1" applyAlignment="1" applyProtection="1">
      <alignment horizontal="right" vertical="center"/>
      <protection hidden="1"/>
    </xf>
    <xf numFmtId="0" fontId="10" fillId="0" borderId="75" xfId="0" applyFont="1" applyBorder="1" applyAlignment="1" applyProtection="1">
      <alignment horizontal="right" vertical="center"/>
      <protection hidden="1"/>
    </xf>
    <xf numFmtId="0" fontId="11" fillId="0" borderId="76" xfId="0" applyFont="1" applyBorder="1" applyAlignment="1" applyProtection="1">
      <alignment vertical="center"/>
      <protection hidden="1"/>
    </xf>
    <xf numFmtId="0" fontId="10" fillId="0" borderId="28" xfId="0" applyFont="1" applyBorder="1" applyAlignment="1">
      <alignment horizontal="right" vertical="center"/>
    </xf>
    <xf numFmtId="0" fontId="11" fillId="0" borderId="13" xfId="0" applyFont="1" applyBorder="1" applyAlignment="1" applyProtection="1">
      <alignment horizontal="center" vertical="center"/>
      <protection hidden="1"/>
    </xf>
    <xf numFmtId="0" fontId="35" fillId="0" borderId="0" xfId="0" applyFont="1"/>
    <xf numFmtId="167" fontId="11" fillId="0" borderId="0" xfId="0" applyNumberFormat="1" applyFont="1" applyAlignment="1">
      <alignment horizontal="center"/>
    </xf>
    <xf numFmtId="164" fontId="11" fillId="0" borderId="0" xfId="0" applyNumberFormat="1" applyFont="1" applyAlignment="1" applyProtection="1">
      <alignment horizontal="right"/>
      <protection hidden="1"/>
    </xf>
    <xf numFmtId="0" fontId="35" fillId="0" borderId="0" xfId="0" applyFont="1" applyProtection="1">
      <protection hidden="1"/>
    </xf>
    <xf numFmtId="0" fontId="11" fillId="0" borderId="31" xfId="0" applyFont="1" applyBorder="1" applyAlignment="1">
      <alignment vertical="center"/>
    </xf>
    <xf numFmtId="0" fontId="11" fillId="0" borderId="77" xfId="0" applyFont="1" applyBorder="1" applyAlignment="1">
      <alignment vertical="center"/>
    </xf>
    <xf numFmtId="0" fontId="11" fillId="0" borderId="46" xfId="0" quotePrefix="1" applyFont="1" applyBorder="1" applyAlignment="1">
      <alignment horizontal="right" vertical="center"/>
    </xf>
    <xf numFmtId="0" fontId="11" fillId="0" borderId="13" xfId="0" applyFont="1" applyBorder="1" applyAlignment="1">
      <alignment horizontal="center" vertical="center"/>
    </xf>
    <xf numFmtId="9" fontId="11" fillId="3" borderId="17" xfId="0" applyNumberFormat="1" applyFont="1" applyFill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11" fillId="0" borderId="64" xfId="0" applyFont="1" applyBorder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4" fillId="5" borderId="19" xfId="0" applyFont="1" applyFill="1" applyBorder="1" applyAlignment="1" applyProtection="1">
      <alignment horizontal="center" vertical="center"/>
      <protection hidden="1"/>
    </xf>
    <xf numFmtId="0" fontId="4" fillId="5" borderId="32" xfId="0" applyFont="1" applyFill="1" applyBorder="1" applyAlignment="1" applyProtection="1">
      <alignment horizontal="center" vertical="center"/>
      <protection hidden="1"/>
    </xf>
    <xf numFmtId="3" fontId="0" fillId="0" borderId="0" xfId="0" applyNumberFormat="1" applyAlignment="1" applyProtection="1">
      <alignment vertical="center"/>
      <protection hidden="1"/>
    </xf>
    <xf numFmtId="0" fontId="5" fillId="0" borderId="27" xfId="0" applyFont="1" applyBorder="1" applyAlignment="1" applyProtection="1">
      <alignment vertical="center"/>
      <protection hidden="1"/>
    </xf>
    <xf numFmtId="0" fontId="11" fillId="0" borderId="34" xfId="0" applyFont="1" applyBorder="1" applyAlignment="1" applyProtection="1">
      <alignment horizontal="right" vertical="center"/>
      <protection hidden="1"/>
    </xf>
    <xf numFmtId="0" fontId="11" fillId="0" borderId="17" xfId="0" applyFont="1" applyBorder="1" applyAlignment="1" applyProtection="1">
      <alignment horizontal="center" vertical="center"/>
      <protection hidden="1"/>
    </xf>
    <xf numFmtId="0" fontId="11" fillId="0" borderId="35" xfId="0" applyFont="1" applyBorder="1" applyAlignment="1" applyProtection="1">
      <alignment horizontal="center" vertical="center"/>
      <protection hidden="1"/>
    </xf>
    <xf numFmtId="0" fontId="5" fillId="0" borderId="27" xfId="0" applyFont="1" applyBorder="1" applyProtection="1">
      <protection hidden="1"/>
    </xf>
    <xf numFmtId="0" fontId="11" fillId="0" borderId="31" xfId="0" applyFont="1" applyBorder="1" applyAlignment="1">
      <alignment horizontal="right" vertical="center"/>
    </xf>
    <xf numFmtId="0" fontId="11" fillId="0" borderId="34" xfId="0" applyFont="1" applyBorder="1" applyAlignment="1" applyProtection="1">
      <alignment vertical="center"/>
      <protection hidden="1"/>
    </xf>
    <xf numFmtId="3" fontId="11" fillId="0" borderId="43" xfId="0" applyNumberFormat="1" applyFont="1" applyBorder="1" applyAlignment="1" applyProtection="1">
      <alignment vertical="center"/>
      <protection hidden="1"/>
    </xf>
    <xf numFmtId="0" fontId="11" fillId="0" borderId="82" xfId="0" applyFont="1" applyBorder="1" applyProtection="1">
      <protection hidden="1"/>
    </xf>
    <xf numFmtId="167" fontId="4" fillId="0" borderId="0" xfId="0" applyNumberFormat="1" applyFont="1" applyAlignment="1" applyProtection="1">
      <alignment vertical="center"/>
      <protection hidden="1"/>
    </xf>
    <xf numFmtId="0" fontId="11" fillId="0" borderId="10" xfId="0" applyFont="1" applyBorder="1" applyAlignment="1">
      <alignment vertical="center"/>
    </xf>
    <xf numFmtId="0" fontId="11" fillId="0" borderId="27" xfId="0" applyFont="1" applyBorder="1" applyAlignment="1">
      <alignment horizontal="center"/>
    </xf>
    <xf numFmtId="0" fontId="11" fillId="0" borderId="60" xfId="0" applyFont="1" applyBorder="1" applyProtection="1">
      <protection hidden="1"/>
    </xf>
    <xf numFmtId="0" fontId="11" fillId="0" borderId="25" xfId="0" applyFont="1" applyBorder="1" applyProtection="1">
      <protection hidden="1"/>
    </xf>
    <xf numFmtId="9" fontId="43" fillId="7" borderId="17" xfId="0" applyNumberFormat="1" applyFont="1" applyFill="1" applyBorder="1" applyAlignment="1" applyProtection="1">
      <alignment horizontal="center" vertical="center"/>
      <protection locked="0"/>
    </xf>
    <xf numFmtId="166" fontId="43" fillId="7" borderId="17" xfId="0" applyNumberFormat="1" applyFont="1" applyFill="1" applyBorder="1" applyAlignment="1" applyProtection="1">
      <alignment horizontal="center" vertical="center"/>
      <protection locked="0"/>
    </xf>
    <xf numFmtId="0" fontId="43" fillId="0" borderId="20" xfId="0" applyFont="1" applyBorder="1" applyAlignment="1">
      <alignment horizontal="center" vertical="center"/>
    </xf>
    <xf numFmtId="166" fontId="43" fillId="7" borderId="20" xfId="0" applyNumberFormat="1" applyFont="1" applyFill="1" applyBorder="1" applyAlignment="1" applyProtection="1">
      <alignment horizontal="center" vertical="center"/>
      <protection locked="0"/>
    </xf>
    <xf numFmtId="0" fontId="43" fillId="0" borderId="10" xfId="0" applyFont="1" applyBorder="1" applyAlignment="1">
      <alignment horizontal="left" vertical="center"/>
    </xf>
    <xf numFmtId="1" fontId="43" fillId="7" borderId="17" xfId="0" applyNumberFormat="1" applyFont="1" applyFill="1" applyBorder="1" applyAlignment="1" applyProtection="1">
      <alignment horizontal="center" vertical="center"/>
      <protection locked="0"/>
    </xf>
    <xf numFmtId="0" fontId="43" fillId="0" borderId="44" xfId="0" applyFont="1" applyBorder="1" applyAlignment="1">
      <alignment horizontal="center" vertical="center"/>
    </xf>
    <xf numFmtId="0" fontId="43" fillId="0" borderId="83" xfId="0" applyFont="1" applyBorder="1" applyAlignment="1">
      <alignment horizontal="center" vertical="center"/>
    </xf>
    <xf numFmtId="0" fontId="11" fillId="0" borderId="7" xfId="0" applyFont="1" applyBorder="1" applyAlignment="1" applyProtection="1">
      <alignment horizontal="left" vertical="center"/>
      <protection locked="0"/>
    </xf>
    <xf numFmtId="0" fontId="11" fillId="0" borderId="27" xfId="0" applyFont="1" applyBorder="1"/>
    <xf numFmtId="0" fontId="11" fillId="0" borderId="25" xfId="0" applyFont="1" applyBorder="1" applyAlignment="1" applyProtection="1">
      <alignment vertical="center"/>
      <protection locked="0"/>
    </xf>
    <xf numFmtId="167" fontId="6" fillId="3" borderId="44" xfId="0" applyNumberFormat="1" applyFont="1" applyFill="1" applyBorder="1" applyAlignment="1" applyProtection="1">
      <alignment vertical="center"/>
      <protection hidden="1"/>
    </xf>
    <xf numFmtId="0" fontId="36" fillId="0" borderId="73" xfId="0" applyFont="1" applyBorder="1"/>
    <xf numFmtId="0" fontId="0" fillId="0" borderId="72" xfId="0" applyBorder="1"/>
    <xf numFmtId="164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vertical="center"/>
      <protection locked="0"/>
    </xf>
    <xf numFmtId="0" fontId="7" fillId="2" borderId="0" xfId="0" applyFont="1" applyFill="1" applyAlignment="1">
      <alignment horizontal="center" vertical="center"/>
    </xf>
    <xf numFmtId="0" fontId="45" fillId="0" borderId="0" xfId="0" applyFont="1" applyAlignment="1">
      <alignment vertical="center"/>
    </xf>
    <xf numFmtId="0" fontId="46" fillId="0" borderId="0" xfId="0" applyFont="1"/>
    <xf numFmtId="0" fontId="46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41" fillId="0" borderId="0" xfId="0" applyFont="1"/>
    <xf numFmtId="0" fontId="41" fillId="0" borderId="0" xfId="0" applyFont="1" applyAlignment="1">
      <alignment vertical="center"/>
    </xf>
    <xf numFmtId="3" fontId="5" fillId="10" borderId="21" xfId="0" applyNumberFormat="1" applyFont="1" applyFill="1" applyBorder="1" applyAlignment="1" applyProtection="1">
      <alignment horizontal="center" vertical="center"/>
      <protection hidden="1"/>
    </xf>
    <xf numFmtId="3" fontId="5" fillId="10" borderId="19" xfId="0" applyNumberFormat="1" applyFont="1" applyFill="1" applyBorder="1" applyAlignment="1" applyProtection="1">
      <alignment horizontal="center" vertical="center"/>
      <protection hidden="1"/>
    </xf>
    <xf numFmtId="3" fontId="4" fillId="10" borderId="17" xfId="0" applyNumberFormat="1" applyFont="1" applyFill="1" applyBorder="1" applyProtection="1">
      <protection hidden="1"/>
    </xf>
    <xf numFmtId="3" fontId="5" fillId="10" borderId="22" xfId="0" applyNumberFormat="1" applyFont="1" applyFill="1" applyBorder="1" applyAlignment="1" applyProtection="1">
      <alignment horizontal="center" vertical="center"/>
      <protection hidden="1"/>
    </xf>
    <xf numFmtId="166" fontId="42" fillId="7" borderId="101" xfId="0" applyNumberFormat="1" applyFont="1" applyFill="1" applyBorder="1" applyAlignment="1" applyProtection="1">
      <alignment horizontal="center" vertical="center"/>
      <protection locked="0"/>
    </xf>
    <xf numFmtId="0" fontId="37" fillId="0" borderId="0" xfId="0" applyFont="1"/>
    <xf numFmtId="0" fontId="6" fillId="0" borderId="0" xfId="0" applyFont="1" applyProtection="1">
      <protection hidden="1"/>
    </xf>
    <xf numFmtId="0" fontId="5" fillId="0" borderId="0" xfId="0" applyFont="1" applyProtection="1">
      <protection hidden="1"/>
    </xf>
    <xf numFmtId="0" fontId="6" fillId="0" borderId="23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3" fontId="0" fillId="0" borderId="0" xfId="0" applyNumberFormat="1" applyProtection="1">
      <protection hidden="1"/>
    </xf>
    <xf numFmtId="0" fontId="48" fillId="0" borderId="0" xfId="0" applyFont="1"/>
    <xf numFmtId="166" fontId="48" fillId="0" borderId="0" xfId="0" applyNumberFormat="1" applyFont="1"/>
    <xf numFmtId="0" fontId="49" fillId="0" borderId="0" xfId="0" applyFont="1"/>
    <xf numFmtId="166" fontId="48" fillId="0" borderId="0" xfId="0" applyNumberFormat="1" applyFont="1" applyAlignment="1">
      <alignment horizontal="center"/>
    </xf>
    <xf numFmtId="3" fontId="48" fillId="0" borderId="0" xfId="0" applyNumberFormat="1" applyFont="1"/>
    <xf numFmtId="0" fontId="48" fillId="0" borderId="0" xfId="0" applyFont="1" applyAlignment="1">
      <alignment horizontal="center"/>
    </xf>
    <xf numFmtId="0" fontId="48" fillId="0" borderId="19" xfId="0" applyFont="1" applyBorder="1" applyAlignment="1">
      <alignment horizontal="center" vertical="center"/>
    </xf>
    <xf numFmtId="0" fontId="50" fillId="0" borderId="0" xfId="0" applyFont="1"/>
    <xf numFmtId="0" fontId="50" fillId="0" borderId="17" xfId="0" applyFont="1" applyBorder="1"/>
    <xf numFmtId="1" fontId="10" fillId="0" borderId="17" xfId="0" applyNumberFormat="1" applyFont="1" applyBorder="1" applyAlignment="1">
      <alignment horizontal="center" vertical="center"/>
    </xf>
    <xf numFmtId="1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3" fontId="11" fillId="5" borderId="32" xfId="0" applyNumberFormat="1" applyFont="1" applyFill="1" applyBorder="1" applyAlignment="1" applyProtection="1">
      <alignment horizontal="center" vertical="center"/>
      <protection hidden="1"/>
    </xf>
    <xf numFmtId="0" fontId="11" fillId="0" borderId="25" xfId="0" applyFont="1" applyBorder="1" applyAlignment="1">
      <alignment vertical="center"/>
    </xf>
    <xf numFmtId="0" fontId="6" fillId="7" borderId="32" xfId="0" applyFont="1" applyFill="1" applyBorder="1" applyAlignment="1" applyProtection="1">
      <alignment horizontal="center" vertical="center"/>
      <protection locked="0"/>
    </xf>
    <xf numFmtId="0" fontId="6" fillId="7" borderId="17" xfId="0" applyFont="1" applyFill="1" applyBorder="1" applyAlignment="1" applyProtection="1">
      <alignment horizontal="center" vertical="center"/>
      <protection locked="0"/>
    </xf>
    <xf numFmtId="0" fontId="6" fillId="7" borderId="84" xfId="0" applyFont="1" applyFill="1" applyBorder="1" applyAlignment="1" applyProtection="1">
      <alignment horizontal="center" vertical="center"/>
      <protection locked="0"/>
    </xf>
    <xf numFmtId="1" fontId="6" fillId="7" borderId="32" xfId="0" applyNumberFormat="1" applyFont="1" applyFill="1" applyBorder="1" applyAlignment="1" applyProtection="1">
      <alignment horizontal="center" vertical="center"/>
      <protection locked="0"/>
    </xf>
    <xf numFmtId="1" fontId="6" fillId="7" borderId="17" xfId="0" applyNumberFormat="1" applyFont="1" applyFill="1" applyBorder="1" applyAlignment="1" applyProtection="1">
      <alignment horizontal="center" vertical="center"/>
      <protection locked="0"/>
    </xf>
    <xf numFmtId="1" fontId="6" fillId="7" borderId="84" xfId="0" applyNumberFormat="1" applyFont="1" applyFill="1" applyBorder="1" applyAlignment="1" applyProtection="1">
      <alignment horizontal="center" vertical="center"/>
      <protection locked="0"/>
    </xf>
    <xf numFmtId="1" fontId="3" fillId="8" borderId="62" xfId="0" applyNumberFormat="1" applyFont="1" applyFill="1" applyBorder="1" applyAlignment="1" applyProtection="1">
      <alignment horizontal="center" vertical="center"/>
      <protection hidden="1"/>
    </xf>
    <xf numFmtId="0" fontId="3" fillId="5" borderId="4" xfId="0" applyFont="1" applyFill="1" applyBorder="1" applyAlignment="1" applyProtection="1">
      <alignment vertical="center"/>
      <protection hidden="1"/>
    </xf>
    <xf numFmtId="3" fontId="3" fillId="0" borderId="60" xfId="0" applyNumberFormat="1" applyFont="1" applyBorder="1" applyAlignment="1" applyProtection="1">
      <alignment vertical="center"/>
      <protection hidden="1"/>
    </xf>
    <xf numFmtId="167" fontId="6" fillId="0" borderId="0" xfId="0" applyNumberFormat="1" applyFont="1" applyAlignment="1">
      <alignment horizontal="center"/>
    </xf>
    <xf numFmtId="0" fontId="11" fillId="0" borderId="2" xfId="0" applyFont="1" applyBorder="1" applyAlignment="1" applyProtection="1">
      <alignment vertical="center"/>
      <protection locked="0"/>
    </xf>
    <xf numFmtId="0" fontId="3" fillId="0" borderId="0" xfId="0" applyFont="1" applyAlignment="1">
      <alignment horizontal="left" vertical="center"/>
    </xf>
    <xf numFmtId="17" fontId="0" fillId="0" borderId="0" xfId="0" applyNumberFormat="1" applyAlignment="1">
      <alignment horizontal="center" vertical="center"/>
    </xf>
    <xf numFmtId="1" fontId="5" fillId="3" borderId="0" xfId="0" applyNumberFormat="1" applyFont="1" applyFill="1" applyAlignment="1">
      <alignment horizontal="center"/>
    </xf>
    <xf numFmtId="164" fontId="0" fillId="0" borderId="0" xfId="2" applyNumberFormat="1" applyFont="1"/>
    <xf numFmtId="164" fontId="11" fillId="0" borderId="0" xfId="2" applyNumberFormat="1" applyFont="1"/>
    <xf numFmtId="3" fontId="11" fillId="0" borderId="0" xfId="2" applyNumberFormat="1" applyFont="1"/>
    <xf numFmtId="9" fontId="11" fillId="0" borderId="0" xfId="2" applyFont="1"/>
    <xf numFmtId="1" fontId="5" fillId="0" borderId="0" xfId="0" applyNumberFormat="1" applyFont="1" applyAlignment="1">
      <alignment horizontal="left"/>
    </xf>
    <xf numFmtId="0" fontId="0" fillId="0" borderId="0" xfId="0" applyAlignment="1">
      <alignment horizontal="right" vertical="center"/>
    </xf>
    <xf numFmtId="3" fontId="38" fillId="0" borderId="0" xfId="0" applyNumberFormat="1" applyFont="1" applyAlignment="1">
      <alignment horizontal="right"/>
    </xf>
    <xf numFmtId="0" fontId="38" fillId="0" borderId="0" xfId="0" applyFont="1"/>
    <xf numFmtId="1" fontId="38" fillId="0" borderId="0" xfId="0" applyNumberFormat="1" applyFont="1" applyAlignment="1">
      <alignment horizontal="right"/>
    </xf>
    <xf numFmtId="0" fontId="11" fillId="0" borderId="16" xfId="0" applyFont="1" applyBorder="1" applyAlignment="1">
      <alignment horizontal="left" vertical="center"/>
    </xf>
    <xf numFmtId="0" fontId="22" fillId="0" borderId="0" xfId="0" applyFont="1" applyAlignment="1">
      <alignment horizontal="left" vertical="center" wrapText="1"/>
    </xf>
    <xf numFmtId="0" fontId="11" fillId="0" borderId="76" xfId="0" applyFont="1" applyBorder="1" applyAlignment="1">
      <alignment vertical="center"/>
    </xf>
    <xf numFmtId="0" fontId="11" fillId="0" borderId="77" xfId="0" applyFont="1" applyBorder="1" applyAlignment="1">
      <alignment horizontal="right" vertical="center"/>
    </xf>
    <xf numFmtId="0" fontId="10" fillId="0" borderId="0" xfId="0" applyFont="1" applyAlignment="1">
      <alignment horizontal="left" vertical="center"/>
    </xf>
    <xf numFmtId="0" fontId="10" fillId="0" borderId="31" xfId="0" applyFont="1" applyBorder="1" applyAlignment="1">
      <alignment vertical="center"/>
    </xf>
    <xf numFmtId="0" fontId="10" fillId="0" borderId="92" xfId="0" applyFont="1" applyBorder="1" applyAlignment="1">
      <alignment vertical="center"/>
    </xf>
    <xf numFmtId="0" fontId="10" fillId="0" borderId="93" xfId="0" applyFont="1" applyBorder="1" applyAlignment="1">
      <alignment horizontal="right" vertical="center"/>
    </xf>
    <xf numFmtId="0" fontId="10" fillId="0" borderId="92" xfId="0" applyFont="1" applyBorder="1" applyAlignment="1">
      <alignment horizontal="right" vertical="center"/>
    </xf>
    <xf numFmtId="0" fontId="40" fillId="0" borderId="0" xfId="0" applyFont="1" applyAlignment="1" applyProtection="1">
      <alignment vertical="center"/>
      <protection hidden="1"/>
    </xf>
    <xf numFmtId="0" fontId="0" fillId="0" borderId="2" xfId="0" applyBorder="1" applyAlignment="1">
      <alignment vertical="center"/>
    </xf>
    <xf numFmtId="0" fontId="5" fillId="0" borderId="12" xfId="0" applyFont="1" applyBorder="1" applyAlignment="1">
      <alignment vertical="center"/>
    </xf>
    <xf numFmtId="3" fontId="11" fillId="0" borderId="34" xfId="0" applyNumberFormat="1" applyFont="1" applyBorder="1" applyAlignment="1" applyProtection="1">
      <alignment vertical="center"/>
      <protection hidden="1"/>
    </xf>
    <xf numFmtId="0" fontId="11" fillId="0" borderId="94" xfId="0" applyFont="1" applyBorder="1" applyAlignment="1">
      <alignment vertical="center"/>
    </xf>
    <xf numFmtId="0" fontId="5" fillId="0" borderId="95" xfId="0" applyFont="1" applyBorder="1" applyAlignment="1">
      <alignment horizontal="right" vertical="center"/>
    </xf>
    <xf numFmtId="0" fontId="11" fillId="0" borderId="46" xfId="0" applyFont="1" applyBorder="1" applyAlignment="1" applyProtection="1">
      <alignment vertical="center"/>
      <protection hidden="1"/>
    </xf>
    <xf numFmtId="0" fontId="11" fillId="0" borderId="94" xfId="0" applyFont="1" applyBorder="1" applyAlignment="1" applyProtection="1">
      <alignment vertical="center"/>
      <protection hidden="1"/>
    </xf>
    <xf numFmtId="0" fontId="11" fillId="0" borderId="95" xfId="0" applyFont="1" applyBorder="1" applyAlignment="1" applyProtection="1">
      <alignment vertical="center"/>
      <protection hidden="1"/>
    </xf>
    <xf numFmtId="0" fontId="17" fillId="0" borderId="7" xfId="0" applyFont="1" applyBorder="1" applyAlignment="1" applyProtection="1">
      <alignment vertical="center"/>
      <protection locked="0"/>
    </xf>
    <xf numFmtId="0" fontId="4" fillId="0" borderId="7" xfId="0" applyFont="1" applyBorder="1" applyAlignment="1" applyProtection="1">
      <alignment vertical="center"/>
      <protection locked="0"/>
    </xf>
    <xf numFmtId="0" fontId="4" fillId="2" borderId="7" xfId="0" applyFont="1" applyFill="1" applyBorder="1" applyAlignment="1" applyProtection="1">
      <alignment vertical="center"/>
      <protection locked="0"/>
    </xf>
    <xf numFmtId="0" fontId="4" fillId="0" borderId="8" xfId="0" applyFont="1" applyBorder="1" applyAlignment="1" applyProtection="1">
      <alignment vertical="center"/>
      <protection locked="0"/>
    </xf>
    <xf numFmtId="0" fontId="11" fillId="2" borderId="0" xfId="0" applyFont="1" applyFill="1" applyAlignment="1" applyProtection="1">
      <alignment vertical="center"/>
      <protection locked="0"/>
    </xf>
    <xf numFmtId="0" fontId="11" fillId="0" borderId="31" xfId="0" applyFont="1" applyBorder="1" applyAlignment="1" applyProtection="1">
      <alignment vertical="center"/>
      <protection locked="0"/>
    </xf>
    <xf numFmtId="0" fontId="11" fillId="0" borderId="16" xfId="0" applyFont="1" applyBorder="1" applyAlignment="1" applyProtection="1">
      <alignment vertical="center"/>
      <protection locked="0"/>
    </xf>
    <xf numFmtId="0" fontId="11" fillId="2" borderId="16" xfId="0" applyFont="1" applyFill="1" applyBorder="1" applyAlignment="1" applyProtection="1">
      <alignment vertical="center"/>
      <protection locked="0"/>
    </xf>
    <xf numFmtId="0" fontId="11" fillId="0" borderId="59" xfId="0" applyFont="1" applyBorder="1" applyAlignment="1" applyProtection="1">
      <alignment vertical="center"/>
      <protection locked="0"/>
    </xf>
    <xf numFmtId="0" fontId="11" fillId="2" borderId="31" xfId="0" applyFont="1" applyFill="1" applyBorder="1" applyAlignment="1" applyProtection="1">
      <alignment vertical="center"/>
      <protection locked="0"/>
    </xf>
    <xf numFmtId="3" fontId="2" fillId="2" borderId="0" xfId="0" applyNumberFormat="1" applyFont="1" applyFill="1" applyProtection="1">
      <protection hidden="1"/>
    </xf>
    <xf numFmtId="17" fontId="5" fillId="0" borderId="0" xfId="0" applyNumberFormat="1" applyFont="1"/>
    <xf numFmtId="17" fontId="10" fillId="0" borderId="0" xfId="0" applyNumberFormat="1" applyFont="1"/>
    <xf numFmtId="1" fontId="10" fillId="0" borderId="0" xfId="0" applyNumberFormat="1" applyFont="1"/>
    <xf numFmtId="3" fontId="10" fillId="0" borderId="0" xfId="0" applyNumberFormat="1" applyFont="1"/>
    <xf numFmtId="0" fontId="11" fillId="11" borderId="0" xfId="0" applyFont="1" applyFill="1"/>
    <xf numFmtId="3" fontId="11" fillId="11" borderId="0" xfId="0" applyNumberFormat="1" applyFont="1" applyFill="1"/>
    <xf numFmtId="0" fontId="2" fillId="0" borderId="0" xfId="0" applyFont="1"/>
    <xf numFmtId="0" fontId="10" fillId="0" borderId="0" xfId="0" applyFont="1" applyAlignment="1">
      <alignment horizontal="center"/>
    </xf>
    <xf numFmtId="0" fontId="10" fillId="0" borderId="12" xfId="0" applyFont="1" applyBorder="1"/>
    <xf numFmtId="17" fontId="10" fillId="0" borderId="2" xfId="0" applyNumberFormat="1" applyFont="1" applyBorder="1"/>
    <xf numFmtId="17" fontId="10" fillId="0" borderId="1" xfId="0" applyNumberFormat="1" applyFont="1" applyBorder="1"/>
    <xf numFmtId="0" fontId="10" fillId="0" borderId="27" xfId="0" applyFont="1" applyBorder="1" applyAlignment="1">
      <alignment horizontal="center"/>
    </xf>
    <xf numFmtId="1" fontId="10" fillId="0" borderId="28" xfId="0" applyNumberFormat="1" applyFont="1" applyBorder="1"/>
    <xf numFmtId="0" fontId="10" fillId="0" borderId="28" xfId="0" applyFont="1" applyBorder="1"/>
    <xf numFmtId="0" fontId="11" fillId="0" borderId="28" xfId="0" applyFont="1" applyBorder="1"/>
    <xf numFmtId="0" fontId="11" fillId="0" borderId="13" xfId="0" applyFont="1" applyBorder="1"/>
    <xf numFmtId="0" fontId="10" fillId="0" borderId="34" xfId="0" applyFont="1" applyBorder="1" applyAlignment="1">
      <alignment horizontal="right"/>
    </xf>
    <xf numFmtId="3" fontId="10" fillId="0" borderId="34" xfId="0" applyNumberFormat="1" applyFont="1" applyBorder="1"/>
    <xf numFmtId="0" fontId="0" fillId="0" borderId="0" xfId="0" applyProtection="1">
      <protection locked="0"/>
    </xf>
    <xf numFmtId="0" fontId="4" fillId="0" borderId="34" xfId="0" applyFont="1" applyBorder="1" applyAlignment="1" applyProtection="1">
      <alignment horizontal="left" vertical="center"/>
      <protection hidden="1"/>
    </xf>
    <xf numFmtId="0" fontId="11" fillId="0" borderId="34" xfId="0" applyFont="1" applyBorder="1" applyAlignment="1" applyProtection="1">
      <alignment horizontal="left" vertical="center"/>
      <protection hidden="1"/>
    </xf>
    <xf numFmtId="0" fontId="5" fillId="0" borderId="27" xfId="0" applyFont="1" applyBorder="1" applyAlignment="1">
      <alignment horizontal="center"/>
    </xf>
    <xf numFmtId="9" fontId="11" fillId="3" borderId="38" xfId="0" applyNumberFormat="1" applyFont="1" applyFill="1" applyBorder="1" applyAlignment="1" applyProtection="1">
      <alignment vertical="center"/>
      <protection hidden="1"/>
    </xf>
    <xf numFmtId="0" fontId="2" fillId="0" borderId="0" xfId="0" applyFont="1" applyAlignment="1">
      <alignment horizontal="right"/>
    </xf>
    <xf numFmtId="0" fontId="8" fillId="0" borderId="0" xfId="0" applyFont="1" applyAlignment="1">
      <alignment vertical="center"/>
    </xf>
    <xf numFmtId="2" fontId="4" fillId="0" borderId="0" xfId="0" applyNumberFormat="1" applyFont="1" applyAlignment="1">
      <alignment horizontal="left" vertical="center"/>
    </xf>
    <xf numFmtId="0" fontId="11" fillId="0" borderId="7" xfId="0" applyFont="1" applyBorder="1" applyAlignment="1" applyProtection="1">
      <alignment vertical="center"/>
      <protection locked="0"/>
    </xf>
    <xf numFmtId="0" fontId="11" fillId="0" borderId="72" xfId="0" applyFont="1" applyBorder="1" applyAlignment="1">
      <alignment horizontal="left" vertical="center"/>
    </xf>
    <xf numFmtId="0" fontId="0" fillId="0" borderId="73" xfId="0" applyBorder="1"/>
    <xf numFmtId="0" fontId="10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11" fillId="0" borderId="70" xfId="0" applyFont="1" applyBorder="1" applyAlignment="1" applyProtection="1">
      <alignment horizontal="left" vertical="center"/>
      <protection hidden="1"/>
    </xf>
    <xf numFmtId="0" fontId="11" fillId="0" borderId="71" xfId="0" applyFont="1" applyBorder="1" applyAlignment="1" applyProtection="1">
      <alignment horizontal="left" vertical="center"/>
      <protection hidden="1"/>
    </xf>
    <xf numFmtId="0" fontId="11" fillId="0" borderId="72" xfId="0" applyFont="1" applyBorder="1" applyAlignment="1" applyProtection="1">
      <alignment horizontal="left" vertical="center"/>
      <protection hidden="1"/>
    </xf>
    <xf numFmtId="0" fontId="11" fillId="0" borderId="73" xfId="0" applyFont="1" applyBorder="1" applyAlignment="1" applyProtection="1">
      <alignment horizontal="left" vertical="center"/>
      <protection hidden="1"/>
    </xf>
    <xf numFmtId="0" fontId="11" fillId="0" borderId="72" xfId="0" applyFont="1" applyBorder="1" applyAlignment="1" applyProtection="1">
      <alignment vertical="center"/>
      <protection hidden="1"/>
    </xf>
    <xf numFmtId="0" fontId="17" fillId="0" borderId="0" xfId="0" applyFont="1" applyAlignment="1">
      <alignment vertical="center"/>
    </xf>
    <xf numFmtId="3" fontId="11" fillId="0" borderId="45" xfId="0" applyNumberFormat="1" applyFont="1" applyBorder="1" applyAlignment="1" applyProtection="1">
      <alignment horizontal="right" vertical="center" wrapText="1"/>
      <protection hidden="1"/>
    </xf>
    <xf numFmtId="0" fontId="11" fillId="0" borderId="43" xfId="0" applyFont="1" applyBorder="1" applyAlignment="1" applyProtection="1">
      <alignment horizontal="right" vertical="center"/>
      <protection hidden="1"/>
    </xf>
    <xf numFmtId="0" fontId="11" fillId="0" borderId="27" xfId="0" applyFont="1" applyBorder="1" applyAlignment="1" applyProtection="1">
      <alignment horizontal="left" vertical="center"/>
      <protection hidden="1"/>
    </xf>
    <xf numFmtId="0" fontId="11" fillId="2" borderId="0" xfId="0" applyFont="1" applyFill="1" applyAlignment="1" applyProtection="1">
      <alignment vertical="center"/>
      <protection hidden="1"/>
    </xf>
    <xf numFmtId="0" fontId="11" fillId="0" borderId="31" xfId="0" applyFont="1" applyBorder="1" applyAlignment="1" applyProtection="1">
      <alignment vertical="center"/>
      <protection hidden="1"/>
    </xf>
    <xf numFmtId="0" fontId="38" fillId="0" borderId="0" xfId="0" applyFont="1" applyAlignment="1" applyProtection="1">
      <alignment horizontal="left" vertical="center"/>
      <protection hidden="1"/>
    </xf>
    <xf numFmtId="1" fontId="11" fillId="3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3" fillId="0" borderId="0" xfId="0" applyFont="1" applyProtection="1">
      <protection hidden="1"/>
    </xf>
    <xf numFmtId="0" fontId="5" fillId="0" borderId="31" xfId="0" applyFont="1" applyBorder="1" applyAlignment="1">
      <alignment vertical="center"/>
    </xf>
    <xf numFmtId="0" fontId="11" fillId="0" borderId="0" xfId="0" applyFont="1" applyAlignment="1">
      <alignment horizontal="left" vertical="center" wrapText="1"/>
    </xf>
    <xf numFmtId="0" fontId="5" fillId="0" borderId="0" xfId="0" applyFont="1" applyAlignment="1" applyProtection="1">
      <alignment horizontal="left" vertical="center"/>
      <protection hidden="1"/>
    </xf>
    <xf numFmtId="0" fontId="11" fillId="0" borderId="20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2" fillId="0" borderId="44" xfId="0" applyFont="1" applyBorder="1" applyAlignment="1">
      <alignment horizontal="left" vertical="center"/>
    </xf>
    <xf numFmtId="0" fontId="3" fillId="0" borderId="54" xfId="0" applyFont="1" applyBorder="1" applyAlignment="1">
      <alignment horizontal="center" vertical="center"/>
    </xf>
    <xf numFmtId="167" fontId="5" fillId="0" borderId="0" xfId="0" applyNumberFormat="1" applyFont="1" applyAlignment="1">
      <alignment horizontal="center"/>
    </xf>
    <xf numFmtId="167" fontId="0" fillId="0" borderId="17" xfId="0" applyNumberFormat="1" applyBorder="1"/>
    <xf numFmtId="0" fontId="11" fillId="0" borderId="25" xfId="0" applyFont="1" applyBorder="1" applyAlignment="1">
      <alignment horizontal="left"/>
    </xf>
    <xf numFmtId="0" fontId="11" fillId="0" borderId="0" xfId="0" applyFont="1" applyAlignment="1">
      <alignment horizontal="left"/>
    </xf>
    <xf numFmtId="0" fontId="11" fillId="2" borderId="0" xfId="0" applyFont="1" applyFill="1" applyAlignment="1">
      <alignment vertical="center"/>
    </xf>
    <xf numFmtId="3" fontId="11" fillId="0" borderId="17" xfId="0" applyNumberFormat="1" applyFont="1" applyBorder="1"/>
    <xf numFmtId="0" fontId="40" fillId="0" borderId="20" xfId="0" applyFont="1" applyBorder="1" applyAlignment="1" applyProtection="1">
      <alignment vertical="center"/>
      <protection hidden="1"/>
    </xf>
    <xf numFmtId="4" fontId="38" fillId="0" borderId="0" xfId="0" applyNumberFormat="1" applyFont="1" applyAlignment="1">
      <alignment vertical="center"/>
    </xf>
    <xf numFmtId="0" fontId="11" fillId="0" borderId="45" xfId="0" applyFont="1" applyBorder="1" applyAlignment="1">
      <alignment horizontal="left" vertical="center" wrapText="1"/>
    </xf>
    <xf numFmtId="1" fontId="6" fillId="7" borderId="60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horizontal="right" vertical="top" wrapText="1"/>
    </xf>
    <xf numFmtId="0" fontId="3" fillId="7" borderId="47" xfId="0" applyFont="1" applyFill="1" applyBorder="1" applyAlignment="1" applyProtection="1">
      <alignment horizontal="center" vertical="center"/>
      <protection locked="0"/>
    </xf>
    <xf numFmtId="1" fontId="6" fillId="7" borderId="36" xfId="0" applyNumberFormat="1" applyFont="1" applyFill="1" applyBorder="1" applyAlignment="1" applyProtection="1">
      <alignment horizontal="center" vertical="center"/>
      <protection locked="0"/>
    </xf>
    <xf numFmtId="0" fontId="3" fillId="5" borderId="34" xfId="0" applyFont="1" applyFill="1" applyBorder="1" applyAlignment="1" applyProtection="1">
      <alignment vertical="center"/>
      <protection hidden="1"/>
    </xf>
    <xf numFmtId="3" fontId="5" fillId="0" borderId="17" xfId="0" applyNumberFormat="1" applyFont="1" applyBorder="1" applyAlignment="1" applyProtection="1">
      <alignment horizontal="center" vertical="center"/>
      <protection hidden="1"/>
    </xf>
    <xf numFmtId="0" fontId="2" fillId="0" borderId="20" xfId="0" applyFont="1" applyBorder="1" applyAlignment="1">
      <alignment horizontal="center" vertical="center"/>
    </xf>
    <xf numFmtId="0" fontId="11" fillId="0" borderId="10" xfId="0" applyFont="1" applyBorder="1" applyAlignment="1" applyProtection="1">
      <alignment vertical="center"/>
      <protection hidden="1"/>
    </xf>
    <xf numFmtId="164" fontId="0" fillId="0" borderId="17" xfId="0" applyNumberFormat="1" applyBorder="1"/>
    <xf numFmtId="0" fontId="11" fillId="0" borderId="23" xfId="0" applyFont="1" applyBorder="1" applyAlignment="1" applyProtection="1">
      <alignment vertical="center"/>
      <protection locked="0"/>
    </xf>
    <xf numFmtId="0" fontId="11" fillId="7" borderId="17" xfId="0" applyFont="1" applyFill="1" applyBorder="1" applyAlignment="1" applyProtection="1">
      <alignment horizontal="center" vertical="center"/>
      <protection locked="0"/>
    </xf>
    <xf numFmtId="0" fontId="11" fillId="0" borderId="119" xfId="0" applyFont="1" applyBorder="1" applyAlignment="1" applyProtection="1">
      <alignment vertical="center"/>
      <protection hidden="1"/>
    </xf>
    <xf numFmtId="0" fontId="10" fillId="0" borderId="120" xfId="0" applyFont="1" applyBorder="1" applyAlignment="1">
      <alignment horizontal="right" vertical="center"/>
    </xf>
    <xf numFmtId="0" fontId="10" fillId="0" borderId="121" xfId="0" quotePrefix="1" applyFont="1" applyBorder="1" applyAlignment="1">
      <alignment horizontal="right" vertical="center"/>
    </xf>
    <xf numFmtId="0" fontId="4" fillId="0" borderId="16" xfId="0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14" fontId="0" fillId="0" borderId="0" xfId="0" applyNumberFormat="1" applyAlignment="1">
      <alignment horizontal="center" vertical="center"/>
    </xf>
    <xf numFmtId="14" fontId="4" fillId="0" borderId="0" xfId="0" applyNumberFormat="1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14" fontId="5" fillId="0" borderId="16" xfId="0" applyNumberFormat="1" applyFont="1" applyBorder="1" applyAlignment="1">
      <alignment horizontal="left" vertical="center"/>
    </xf>
    <xf numFmtId="0" fontId="16" fillId="0" borderId="0" xfId="0" applyFont="1" applyAlignment="1">
      <alignment vertical="center"/>
    </xf>
    <xf numFmtId="3" fontId="4" fillId="0" borderId="0" xfId="0" applyNumberFormat="1" applyFont="1" applyAlignment="1">
      <alignment vertical="center"/>
    </xf>
    <xf numFmtId="2" fontId="4" fillId="0" borderId="0" xfId="0" applyNumberFormat="1" applyFont="1" applyAlignment="1">
      <alignment vertical="center"/>
    </xf>
    <xf numFmtId="14" fontId="5" fillId="0" borderId="16" xfId="0" applyNumberFormat="1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 vertical="center"/>
      <protection hidden="1"/>
    </xf>
    <xf numFmtId="1" fontId="4" fillId="0" borderId="0" xfId="0" applyNumberFormat="1" applyFont="1" applyAlignment="1" applyProtection="1">
      <alignment horizontal="left" vertical="center"/>
      <protection hidden="1"/>
    </xf>
    <xf numFmtId="14" fontId="10" fillId="7" borderId="0" xfId="0" applyNumberFormat="1" applyFont="1" applyFill="1" applyAlignment="1" applyProtection="1">
      <alignment horizontal="left"/>
      <protection locked="0"/>
    </xf>
    <xf numFmtId="14" fontId="10" fillId="0" borderId="0" xfId="0" applyNumberFormat="1" applyFont="1" applyAlignment="1" applyProtection="1">
      <alignment horizontal="left"/>
      <protection locked="0"/>
    </xf>
    <xf numFmtId="3" fontId="6" fillId="0" borderId="30" xfId="0" applyNumberFormat="1" applyFont="1" applyBorder="1" applyAlignment="1" applyProtection="1">
      <alignment horizontal="center" vertical="center"/>
      <protection hidden="1"/>
    </xf>
    <xf numFmtId="3" fontId="6" fillId="0" borderId="57" xfId="0" applyNumberFormat="1" applyFont="1" applyBorder="1" applyAlignment="1" applyProtection="1">
      <alignment horizontal="center" vertical="center"/>
      <protection hidden="1"/>
    </xf>
    <xf numFmtId="3" fontId="6" fillId="0" borderId="35" xfId="0" applyNumberFormat="1" applyFont="1" applyBorder="1" applyAlignment="1" applyProtection="1">
      <alignment horizontal="center" vertical="center"/>
      <protection hidden="1"/>
    </xf>
    <xf numFmtId="3" fontId="6" fillId="0" borderId="88" xfId="0" applyNumberFormat="1" applyFont="1" applyBorder="1" applyAlignment="1" applyProtection="1">
      <alignment horizontal="center" vertical="center"/>
      <protection hidden="1"/>
    </xf>
    <xf numFmtId="3" fontId="3" fillId="0" borderId="117" xfId="0" applyNumberFormat="1" applyFont="1" applyBorder="1" applyAlignment="1" applyProtection="1">
      <alignment horizontal="center" vertical="center"/>
      <protection hidden="1"/>
    </xf>
    <xf numFmtId="3" fontId="6" fillId="7" borderId="32" xfId="0" applyNumberFormat="1" applyFont="1" applyFill="1" applyBorder="1" applyAlignment="1" applyProtection="1">
      <alignment horizontal="center" vertical="center"/>
      <protection locked="0"/>
    </xf>
    <xf numFmtId="164" fontId="6" fillId="7" borderId="33" xfId="2" applyNumberFormat="1" applyFont="1" applyFill="1" applyBorder="1" applyAlignment="1" applyProtection="1">
      <alignment horizontal="center" vertical="center"/>
      <protection locked="0"/>
    </xf>
    <xf numFmtId="3" fontId="6" fillId="7" borderId="17" xfId="0" applyNumberFormat="1" applyFont="1" applyFill="1" applyBorder="1" applyAlignment="1" applyProtection="1">
      <alignment horizontal="center" vertical="center"/>
      <protection locked="0"/>
    </xf>
    <xf numFmtId="164" fontId="6" fillId="7" borderId="35" xfId="2" applyNumberFormat="1" applyFont="1" applyFill="1" applyBorder="1" applyAlignment="1" applyProtection="1">
      <alignment horizontal="center" vertical="center"/>
      <protection locked="0"/>
    </xf>
    <xf numFmtId="3" fontId="6" fillId="7" borderId="84" xfId="0" applyNumberFormat="1" applyFont="1" applyFill="1" applyBorder="1" applyAlignment="1" applyProtection="1">
      <alignment horizontal="center" vertical="center"/>
      <protection locked="0"/>
    </xf>
    <xf numFmtId="164" fontId="6" fillId="7" borderId="88" xfId="2" applyNumberFormat="1" applyFont="1" applyFill="1" applyBorder="1" applyAlignment="1" applyProtection="1">
      <alignment horizontal="center" vertical="center"/>
      <protection locked="0"/>
    </xf>
    <xf numFmtId="0" fontId="3" fillId="3" borderId="116" xfId="0" applyFont="1" applyFill="1" applyBorder="1" applyAlignment="1">
      <alignment horizontal="center" vertical="center"/>
    </xf>
    <xf numFmtId="0" fontId="3" fillId="3" borderId="117" xfId="0" applyFont="1" applyFill="1" applyBorder="1" applyAlignment="1">
      <alignment horizontal="center" vertical="center"/>
    </xf>
    <xf numFmtId="3" fontId="6" fillId="7" borderId="53" xfId="0" applyNumberFormat="1" applyFont="1" applyFill="1" applyBorder="1" applyAlignment="1" applyProtection="1">
      <alignment horizontal="center" vertical="center"/>
      <protection locked="0"/>
    </xf>
    <xf numFmtId="3" fontId="6" fillId="7" borderId="16" xfId="0" applyNumberFormat="1" applyFont="1" applyFill="1" applyBorder="1" applyAlignment="1" applyProtection="1">
      <alignment horizontal="center" vertical="center"/>
      <protection locked="0"/>
    </xf>
    <xf numFmtId="3" fontId="6" fillId="0" borderId="23" xfId="0" applyNumberFormat="1" applyFont="1" applyBorder="1" applyAlignment="1" applyProtection="1">
      <alignment horizontal="center" vertical="center"/>
      <protection hidden="1"/>
    </xf>
    <xf numFmtId="3" fontId="6" fillId="0" borderId="53" xfId="0" applyNumberFormat="1" applyFont="1" applyBorder="1" applyAlignment="1" applyProtection="1">
      <alignment horizontal="center" vertical="center"/>
      <protection hidden="1"/>
    </xf>
    <xf numFmtId="3" fontId="6" fillId="0" borderId="33" xfId="0" applyNumberFormat="1" applyFont="1" applyBorder="1" applyAlignment="1" applyProtection="1">
      <alignment horizontal="center" vertical="center"/>
      <protection hidden="1"/>
    </xf>
    <xf numFmtId="3" fontId="6" fillId="7" borderId="52" xfId="0" applyNumberFormat="1" applyFont="1" applyFill="1" applyBorder="1" applyAlignment="1" applyProtection="1">
      <alignment horizontal="center" vertical="center"/>
      <protection locked="0"/>
    </xf>
    <xf numFmtId="3" fontId="6" fillId="0" borderId="25" xfId="0" applyNumberFormat="1" applyFont="1" applyBorder="1" applyAlignment="1" applyProtection="1">
      <alignment horizontal="center" vertical="center"/>
      <protection hidden="1"/>
    </xf>
    <xf numFmtId="3" fontId="6" fillId="0" borderId="52" xfId="0" applyNumberFormat="1" applyFont="1" applyBorder="1" applyAlignment="1" applyProtection="1">
      <alignment horizontal="center" vertical="center"/>
      <protection hidden="1"/>
    </xf>
    <xf numFmtId="3" fontId="6" fillId="0" borderId="16" xfId="0" applyNumberFormat="1" applyFont="1" applyBorder="1" applyAlignment="1" applyProtection="1">
      <alignment horizontal="center" vertical="center"/>
      <protection hidden="1"/>
    </xf>
    <xf numFmtId="3" fontId="6" fillId="0" borderId="39" xfId="0" applyNumberFormat="1" applyFont="1" applyBorder="1" applyAlignment="1" applyProtection="1">
      <alignment horizontal="center" vertical="center"/>
      <protection hidden="1"/>
    </xf>
    <xf numFmtId="3" fontId="6" fillId="0" borderId="14" xfId="0" applyNumberFormat="1" applyFont="1" applyBorder="1" applyAlignment="1">
      <alignment horizontal="center" vertical="center"/>
    </xf>
    <xf numFmtId="3" fontId="6" fillId="0" borderId="56" xfId="0" applyNumberFormat="1" applyFont="1" applyBorder="1" applyAlignment="1">
      <alignment horizontal="center" vertical="center"/>
    </xf>
    <xf numFmtId="3" fontId="6" fillId="0" borderId="14" xfId="0" applyNumberFormat="1" applyFont="1" applyBorder="1" applyAlignment="1" applyProtection="1">
      <alignment horizontal="center" vertical="center"/>
      <protection hidden="1"/>
    </xf>
    <xf numFmtId="3" fontId="6" fillId="0" borderId="56" xfId="0" applyNumberFormat="1" applyFont="1" applyBorder="1" applyAlignment="1" applyProtection="1">
      <alignment horizontal="center" vertical="center"/>
      <protection hidden="1"/>
    </xf>
    <xf numFmtId="3" fontId="6" fillId="7" borderId="39" xfId="0" applyNumberFormat="1" applyFont="1" applyFill="1" applyBorder="1" applyAlignment="1" applyProtection="1">
      <alignment horizontal="center" vertical="center"/>
      <protection locked="0"/>
    </xf>
    <xf numFmtId="3" fontId="6" fillId="7" borderId="14" xfId="0" applyNumberFormat="1" applyFont="1" applyFill="1" applyBorder="1" applyAlignment="1" applyProtection="1">
      <alignment horizontal="center" vertical="center"/>
      <protection locked="0"/>
    </xf>
    <xf numFmtId="3" fontId="6" fillId="0" borderId="37" xfId="0" applyNumberFormat="1" applyFont="1" applyBorder="1" applyAlignment="1" applyProtection="1">
      <alignment horizontal="center" vertical="center"/>
      <protection hidden="1"/>
    </xf>
    <xf numFmtId="3" fontId="6" fillId="5" borderId="38" xfId="0" applyNumberFormat="1" applyFont="1" applyFill="1" applyBorder="1" applyAlignment="1">
      <alignment horizontal="center" vertical="center"/>
    </xf>
    <xf numFmtId="3" fontId="6" fillId="0" borderId="16" xfId="0" applyNumberFormat="1" applyFont="1" applyBorder="1" applyAlignment="1">
      <alignment horizontal="center" vertical="center"/>
    </xf>
    <xf numFmtId="3" fontId="6" fillId="0" borderId="23" xfId="0" applyNumberFormat="1" applyFont="1" applyBorder="1" applyAlignment="1">
      <alignment horizontal="center" vertical="center"/>
    </xf>
    <xf numFmtId="3" fontId="6" fillId="7" borderId="38" xfId="0" applyNumberFormat="1" applyFont="1" applyFill="1" applyBorder="1" applyAlignment="1" applyProtection="1">
      <alignment horizontal="center" vertical="center"/>
      <protection locked="0"/>
    </xf>
    <xf numFmtId="3" fontId="6" fillId="0" borderId="25" xfId="0" applyNumberFormat="1" applyFont="1" applyBorder="1" applyAlignment="1">
      <alignment horizontal="center" vertical="center"/>
    </xf>
    <xf numFmtId="3" fontId="6" fillId="5" borderId="87" xfId="0" applyNumberFormat="1" applyFont="1" applyFill="1" applyBorder="1" applyAlignment="1">
      <alignment horizontal="center" vertical="center"/>
    </xf>
    <xf numFmtId="3" fontId="6" fillId="5" borderId="90" xfId="0" applyNumberFormat="1" applyFont="1" applyFill="1" applyBorder="1" applyAlignment="1">
      <alignment horizontal="center" vertical="center"/>
    </xf>
    <xf numFmtId="3" fontId="6" fillId="0" borderId="87" xfId="0" applyNumberFormat="1" applyFont="1" applyBorder="1" applyAlignment="1" applyProtection="1">
      <alignment horizontal="center" vertical="center"/>
      <protection hidden="1"/>
    </xf>
    <xf numFmtId="3" fontId="6" fillId="0" borderId="90" xfId="0" applyNumberFormat="1" applyFont="1" applyBorder="1" applyAlignment="1">
      <alignment horizontal="center" vertical="center"/>
    </xf>
    <xf numFmtId="3" fontId="6" fillId="0" borderId="89" xfId="0" applyNumberFormat="1" applyFont="1" applyBorder="1" applyAlignment="1">
      <alignment horizontal="center" vertical="center"/>
    </xf>
    <xf numFmtId="3" fontId="6" fillId="0" borderId="89" xfId="0" applyNumberFormat="1" applyFont="1" applyBorder="1" applyAlignment="1" applyProtection="1">
      <alignment horizontal="center" vertical="center"/>
      <protection hidden="1"/>
    </xf>
    <xf numFmtId="3" fontId="6" fillId="7" borderId="87" xfId="0" applyNumberFormat="1" applyFont="1" applyFill="1" applyBorder="1" applyAlignment="1" applyProtection="1">
      <alignment horizontal="center" vertical="center"/>
      <protection locked="0"/>
    </xf>
    <xf numFmtId="3" fontId="3" fillId="0" borderId="54" xfId="0" applyNumberFormat="1" applyFont="1" applyBorder="1" applyAlignment="1" applyProtection="1">
      <alignment horizontal="center" vertical="center"/>
      <protection hidden="1"/>
    </xf>
    <xf numFmtId="3" fontId="3" fillId="0" borderId="62" xfId="0" applyNumberFormat="1" applyFont="1" applyBorder="1" applyAlignment="1" applyProtection="1">
      <alignment horizontal="center" vertical="center"/>
      <protection hidden="1"/>
    </xf>
    <xf numFmtId="3" fontId="3" fillId="0" borderId="66" xfId="0" applyNumberFormat="1" applyFont="1" applyBorder="1" applyAlignment="1" applyProtection="1">
      <alignment horizontal="center" vertical="center"/>
      <protection hidden="1"/>
    </xf>
    <xf numFmtId="3" fontId="3" fillId="0" borderId="63" xfId="0" applyNumberFormat="1" applyFont="1" applyBorder="1" applyAlignment="1" applyProtection="1">
      <alignment horizontal="center" vertical="center"/>
      <protection hidden="1"/>
    </xf>
    <xf numFmtId="3" fontId="3" fillId="0" borderId="43" xfId="0" applyNumberFormat="1" applyFont="1" applyBorder="1" applyAlignment="1" applyProtection="1">
      <alignment horizontal="center" vertical="center"/>
      <protection hidden="1"/>
    </xf>
    <xf numFmtId="3" fontId="6" fillId="8" borderId="16" xfId="0" applyNumberFormat="1" applyFont="1" applyFill="1" applyBorder="1" applyAlignment="1" applyProtection="1">
      <alignment horizontal="center" vertical="center"/>
      <protection hidden="1"/>
    </xf>
    <xf numFmtId="3" fontId="6" fillId="8" borderId="33" xfId="0" applyNumberFormat="1" applyFont="1" applyFill="1" applyBorder="1" applyAlignment="1" applyProtection="1">
      <alignment horizontal="center" vertical="center"/>
      <protection hidden="1"/>
    </xf>
    <xf numFmtId="3" fontId="6" fillId="8" borderId="59" xfId="0" applyNumberFormat="1" applyFont="1" applyFill="1" applyBorder="1" applyAlignment="1" applyProtection="1">
      <alignment horizontal="center" vertical="center"/>
      <protection hidden="1"/>
    </xf>
    <xf numFmtId="3" fontId="6" fillId="8" borderId="53" xfId="0" applyNumberFormat="1" applyFont="1" applyFill="1" applyBorder="1" applyAlignment="1" applyProtection="1">
      <alignment horizontal="center" vertical="center"/>
      <protection hidden="1"/>
    </xf>
    <xf numFmtId="3" fontId="6" fillId="5" borderId="53" xfId="0" applyNumberFormat="1" applyFont="1" applyFill="1" applyBorder="1" applyAlignment="1" applyProtection="1">
      <alignment horizontal="center" vertical="center"/>
      <protection hidden="1"/>
    </xf>
    <xf numFmtId="3" fontId="6" fillId="5" borderId="16" xfId="0" applyNumberFormat="1" applyFont="1" applyFill="1" applyBorder="1" applyAlignment="1" applyProtection="1">
      <alignment horizontal="center" vertical="center"/>
      <protection hidden="1"/>
    </xf>
    <xf numFmtId="3" fontId="6" fillId="5" borderId="23" xfId="0" applyNumberFormat="1" applyFont="1" applyFill="1" applyBorder="1" applyAlignment="1" applyProtection="1">
      <alignment horizontal="center" vertical="center"/>
      <protection hidden="1"/>
    </xf>
    <xf numFmtId="3" fontId="6" fillId="5" borderId="10" xfId="0" applyNumberFormat="1" applyFont="1" applyFill="1" applyBorder="1" applyAlignment="1">
      <alignment horizontal="center" vertical="center"/>
    </xf>
    <xf numFmtId="3" fontId="6" fillId="5" borderId="20" xfId="0" applyNumberFormat="1" applyFont="1" applyFill="1" applyBorder="1" applyAlignment="1">
      <alignment horizontal="center" vertical="center"/>
    </xf>
    <xf numFmtId="3" fontId="6" fillId="5" borderId="10" xfId="0" applyNumberFormat="1" applyFont="1" applyFill="1" applyBorder="1" applyAlignment="1" applyProtection="1">
      <alignment horizontal="center" vertical="center"/>
      <protection hidden="1"/>
    </xf>
    <xf numFmtId="3" fontId="6" fillId="5" borderId="35" xfId="0" applyNumberFormat="1" applyFont="1" applyFill="1" applyBorder="1" applyAlignment="1" applyProtection="1">
      <alignment horizontal="center" vertical="center"/>
      <protection hidden="1"/>
    </xf>
    <xf numFmtId="3" fontId="6" fillId="8" borderId="10" xfId="0" applyNumberFormat="1" applyFont="1" applyFill="1" applyBorder="1" applyAlignment="1" applyProtection="1">
      <alignment horizontal="center" vertical="center"/>
      <protection hidden="1"/>
    </xf>
    <xf numFmtId="3" fontId="6" fillId="0" borderId="38" xfId="0" applyNumberFormat="1" applyFont="1" applyBorder="1" applyAlignment="1">
      <alignment horizontal="center" vertical="center"/>
    </xf>
    <xf numFmtId="3" fontId="6" fillId="5" borderId="91" xfId="0" applyNumberFormat="1" applyFont="1" applyFill="1" applyBorder="1" applyAlignment="1">
      <alignment horizontal="center" vertical="center"/>
    </xf>
    <xf numFmtId="3" fontId="6" fillId="5" borderId="89" xfId="0" applyNumberFormat="1" applyFont="1" applyFill="1" applyBorder="1" applyAlignment="1">
      <alignment horizontal="center" vertical="center"/>
    </xf>
    <xf numFmtId="3" fontId="6" fillId="5" borderId="90" xfId="0" applyNumberFormat="1" applyFont="1" applyFill="1" applyBorder="1" applyAlignment="1" applyProtection="1">
      <alignment horizontal="center" vertical="center"/>
      <protection hidden="1"/>
    </xf>
    <xf numFmtId="3" fontId="6" fillId="5" borderId="88" xfId="0" applyNumberFormat="1" applyFont="1" applyFill="1" applyBorder="1" applyAlignment="1" applyProtection="1">
      <alignment horizontal="center" vertical="center"/>
      <protection hidden="1"/>
    </xf>
    <xf numFmtId="3" fontId="6" fillId="0" borderId="91" xfId="0" applyNumberFormat="1" applyFont="1" applyBorder="1" applyAlignment="1">
      <alignment horizontal="center" vertical="center"/>
    </xf>
    <xf numFmtId="3" fontId="6" fillId="8" borderId="90" xfId="0" applyNumberFormat="1" applyFont="1" applyFill="1" applyBorder="1" applyAlignment="1" applyProtection="1">
      <alignment horizontal="center" vertical="center"/>
      <protection hidden="1"/>
    </xf>
    <xf numFmtId="3" fontId="3" fillId="8" borderId="54" xfId="0" applyNumberFormat="1" applyFont="1" applyFill="1" applyBorder="1" applyAlignment="1" applyProtection="1">
      <alignment horizontal="center" vertical="center"/>
      <protection hidden="1"/>
    </xf>
    <xf numFmtId="3" fontId="3" fillId="8" borderId="66" xfId="0" applyNumberFormat="1" applyFont="1" applyFill="1" applyBorder="1" applyAlignment="1" applyProtection="1">
      <alignment horizontal="center" vertical="center"/>
      <protection hidden="1"/>
    </xf>
    <xf numFmtId="3" fontId="3" fillId="8" borderId="62" xfId="0" applyNumberFormat="1" applyFont="1" applyFill="1" applyBorder="1" applyAlignment="1" applyProtection="1">
      <alignment horizontal="center" vertical="center"/>
      <protection hidden="1"/>
    </xf>
    <xf numFmtId="3" fontId="3" fillId="8" borderId="43" xfId="0" applyNumberFormat="1" applyFont="1" applyFill="1" applyBorder="1" applyAlignment="1" applyProtection="1">
      <alignment horizontal="center" vertical="center"/>
      <protection hidden="1"/>
    </xf>
    <xf numFmtId="3" fontId="3" fillId="5" borderId="3" xfId="0" applyNumberFormat="1" applyFont="1" applyFill="1" applyBorder="1" applyAlignment="1">
      <alignment horizontal="center" vertical="center"/>
    </xf>
    <xf numFmtId="3" fontId="3" fillId="5" borderId="47" xfId="0" applyNumberFormat="1" applyFont="1" applyFill="1" applyBorder="1" applyAlignment="1">
      <alignment horizontal="center" vertical="center"/>
    </xf>
    <xf numFmtId="3" fontId="3" fillId="0" borderId="5" xfId="0" applyNumberFormat="1" applyFont="1" applyBorder="1" applyAlignment="1" applyProtection="1">
      <alignment horizontal="center" vertical="center"/>
      <protection hidden="1"/>
    </xf>
    <xf numFmtId="166" fontId="11" fillId="7" borderId="35" xfId="0" applyNumberFormat="1" applyFont="1" applyFill="1" applyBorder="1" applyAlignment="1" applyProtection="1">
      <alignment horizontal="center" vertical="center"/>
      <protection locked="0"/>
    </xf>
    <xf numFmtId="164" fontId="6" fillId="7" borderId="23" xfId="0" applyNumberFormat="1" applyFont="1" applyFill="1" applyBorder="1" applyAlignment="1" applyProtection="1">
      <alignment horizontal="center" vertical="center"/>
      <protection locked="0"/>
    </xf>
    <xf numFmtId="3" fontId="6" fillId="7" borderId="60" xfId="0" applyNumberFormat="1" applyFont="1" applyFill="1" applyBorder="1" applyAlignment="1" applyProtection="1">
      <alignment horizontal="center" vertical="center"/>
      <protection locked="0"/>
    </xf>
    <xf numFmtId="164" fontId="6" fillId="7" borderId="25" xfId="0" applyNumberFormat="1" applyFont="1" applyFill="1" applyBorder="1" applyAlignment="1" applyProtection="1">
      <alignment horizontal="center" vertical="center"/>
      <protection locked="0"/>
    </xf>
    <xf numFmtId="3" fontId="6" fillId="7" borderId="36" xfId="0" applyNumberFormat="1" applyFont="1" applyFill="1" applyBorder="1" applyAlignment="1" applyProtection="1">
      <alignment horizontal="center" vertical="center"/>
      <protection locked="0"/>
    </xf>
    <xf numFmtId="164" fontId="6" fillId="7" borderId="56" xfId="0" applyNumberFormat="1" applyFont="1" applyFill="1" applyBorder="1" applyAlignment="1" applyProtection="1">
      <alignment horizontal="center" vertical="center"/>
      <protection locked="0"/>
    </xf>
    <xf numFmtId="164" fontId="6" fillId="7" borderId="20" xfId="0" applyNumberFormat="1" applyFont="1" applyFill="1" applyBorder="1" applyAlignment="1" applyProtection="1">
      <alignment horizontal="center" vertical="center"/>
      <protection locked="0"/>
    </xf>
    <xf numFmtId="164" fontId="6" fillId="7" borderId="89" xfId="0" applyNumberFormat="1" applyFont="1" applyFill="1" applyBorder="1" applyAlignment="1" applyProtection="1">
      <alignment horizontal="center" vertical="center"/>
      <protection locked="0"/>
    </xf>
    <xf numFmtId="3" fontId="11" fillId="0" borderId="17" xfId="0" applyNumberFormat="1" applyFont="1" applyBorder="1" applyAlignment="1" applyProtection="1">
      <alignment horizontal="center" vertical="center"/>
      <protection hidden="1"/>
    </xf>
    <xf numFmtId="3" fontId="11" fillId="0" borderId="35" xfId="0" applyNumberFormat="1" applyFont="1" applyBorder="1" applyAlignment="1" applyProtection="1">
      <alignment horizontal="center" vertical="center"/>
      <protection hidden="1"/>
    </xf>
    <xf numFmtId="0" fontId="4" fillId="0" borderId="28" xfId="0" applyFont="1" applyBorder="1" applyAlignment="1" applyProtection="1">
      <alignment horizontal="center" vertical="center"/>
      <protection hidden="1"/>
    </xf>
    <xf numFmtId="164" fontId="11" fillId="0" borderId="17" xfId="2" applyNumberFormat="1" applyFont="1" applyBorder="1" applyAlignment="1" applyProtection="1">
      <alignment horizontal="center"/>
      <protection hidden="1"/>
    </xf>
    <xf numFmtId="164" fontId="11" fillId="0" borderId="35" xfId="2" applyNumberFormat="1" applyFont="1" applyBorder="1" applyAlignment="1" applyProtection="1">
      <alignment horizontal="center"/>
      <protection hidden="1"/>
    </xf>
    <xf numFmtId="164" fontId="11" fillId="0" borderId="17" xfId="2" applyNumberFormat="1" applyFont="1" applyBorder="1" applyAlignment="1" applyProtection="1">
      <alignment horizontal="center" vertical="center"/>
      <protection hidden="1"/>
    </xf>
    <xf numFmtId="164" fontId="11" fillId="0" borderId="35" xfId="2" applyNumberFormat="1" applyFont="1" applyBorder="1" applyAlignment="1" applyProtection="1">
      <alignment horizontal="center" vertical="center"/>
      <protection hidden="1"/>
    </xf>
    <xf numFmtId="4" fontId="11" fillId="0" borderId="17" xfId="0" applyNumberFormat="1" applyFont="1" applyBorder="1" applyAlignment="1" applyProtection="1">
      <alignment horizontal="center"/>
      <protection hidden="1"/>
    </xf>
    <xf numFmtId="4" fontId="11" fillId="0" borderId="35" xfId="0" applyNumberFormat="1" applyFont="1" applyBorder="1" applyAlignment="1" applyProtection="1">
      <alignment horizontal="center"/>
      <protection hidden="1"/>
    </xf>
    <xf numFmtId="0" fontId="44" fillId="0" borderId="17" xfId="0" applyFont="1" applyBorder="1" applyAlignment="1" applyProtection="1">
      <alignment horizontal="center" vertical="center"/>
      <protection hidden="1"/>
    </xf>
    <xf numFmtId="4" fontId="11" fillId="0" borderId="17" xfId="0" applyNumberFormat="1" applyFont="1" applyBorder="1" applyAlignment="1" applyProtection="1">
      <alignment horizontal="center" vertical="center"/>
      <protection hidden="1"/>
    </xf>
    <xf numFmtId="4" fontId="11" fillId="0" borderId="35" xfId="0" applyNumberFormat="1" applyFont="1" applyBorder="1" applyAlignment="1" applyProtection="1">
      <alignment horizontal="center" vertical="center"/>
      <protection hidden="1"/>
    </xf>
    <xf numFmtId="4" fontId="11" fillId="5" borderId="17" xfId="0" applyNumberFormat="1" applyFont="1" applyFill="1" applyBorder="1" applyAlignment="1" applyProtection="1">
      <alignment horizontal="center"/>
      <protection hidden="1"/>
    </xf>
    <xf numFmtId="0" fontId="11" fillId="5" borderId="17" xfId="0" applyFont="1" applyFill="1" applyBorder="1" applyAlignment="1">
      <alignment horizontal="center" vertical="center"/>
    </xf>
    <xf numFmtId="0" fontId="44" fillId="5" borderId="17" xfId="0" applyFont="1" applyFill="1" applyBorder="1" applyAlignment="1" applyProtection="1">
      <alignment horizontal="center" vertical="center"/>
      <protection hidden="1"/>
    </xf>
    <xf numFmtId="2" fontId="11" fillId="0" borderId="17" xfId="2" applyNumberFormat="1" applyFont="1" applyBorder="1" applyAlignment="1" applyProtection="1">
      <alignment horizontal="center" vertical="center"/>
      <protection hidden="1"/>
    </xf>
    <xf numFmtId="0" fontId="0" fillId="0" borderId="28" xfId="0" applyBorder="1" applyAlignment="1" applyProtection="1">
      <alignment horizontal="center"/>
      <protection hidden="1"/>
    </xf>
    <xf numFmtId="3" fontId="11" fillId="0" borderId="17" xfId="0" applyNumberFormat="1" applyFont="1" applyBorder="1" applyAlignment="1" applyProtection="1">
      <alignment horizontal="center"/>
      <protection hidden="1"/>
    </xf>
    <xf numFmtId="3" fontId="11" fillId="0" borderId="35" xfId="0" applyNumberFormat="1" applyFont="1" applyBorder="1" applyAlignment="1" applyProtection="1">
      <alignment horizontal="center"/>
      <protection hidden="1"/>
    </xf>
    <xf numFmtId="164" fontId="59" fillId="5" borderId="17" xfId="0" applyNumberFormat="1" applyFont="1" applyFill="1" applyBorder="1" applyAlignment="1" applyProtection="1">
      <alignment horizontal="center"/>
      <protection hidden="1"/>
    </xf>
    <xf numFmtId="3" fontId="11" fillId="7" borderId="17" xfId="0" applyNumberFormat="1" applyFont="1" applyFill="1" applyBorder="1" applyAlignment="1" applyProtection="1">
      <alignment horizontal="center" vertical="center"/>
      <protection locked="0"/>
    </xf>
    <xf numFmtId="3" fontId="11" fillId="7" borderId="35" xfId="0" applyNumberFormat="1" applyFont="1" applyFill="1" applyBorder="1" applyAlignment="1" applyProtection="1">
      <alignment horizontal="center" vertical="center"/>
      <protection locked="0"/>
    </xf>
    <xf numFmtId="3" fontId="11" fillId="0" borderId="19" xfId="0" applyNumberFormat="1" applyFont="1" applyBorder="1" applyAlignment="1" applyProtection="1">
      <alignment horizontal="center" vertical="center"/>
      <protection hidden="1"/>
    </xf>
    <xf numFmtId="3" fontId="11" fillId="0" borderId="22" xfId="0" applyNumberFormat="1" applyFont="1" applyBorder="1" applyAlignment="1" applyProtection="1">
      <alignment horizontal="center" vertical="center"/>
      <protection hidden="1"/>
    </xf>
    <xf numFmtId="3" fontId="43" fillId="5" borderId="60" xfId="0" applyNumberFormat="1" applyFont="1" applyFill="1" applyBorder="1" applyAlignment="1" applyProtection="1">
      <alignment horizontal="center" vertical="center"/>
      <protection hidden="1"/>
    </xf>
    <xf numFmtId="3" fontId="42" fillId="5" borderId="17" xfId="0" applyNumberFormat="1" applyFont="1" applyFill="1" applyBorder="1" applyAlignment="1" applyProtection="1">
      <alignment horizontal="center" vertical="center"/>
      <protection hidden="1"/>
    </xf>
    <xf numFmtId="3" fontId="43" fillId="0" borderId="17" xfId="0" applyNumberFormat="1" applyFont="1" applyBorder="1" applyAlignment="1" applyProtection="1">
      <alignment horizontal="center" vertical="center"/>
      <protection hidden="1"/>
    </xf>
    <xf numFmtId="3" fontId="43" fillId="5" borderId="17" xfId="0" applyNumberFormat="1" applyFont="1" applyFill="1" applyBorder="1" applyAlignment="1" applyProtection="1">
      <alignment horizontal="center" vertical="center"/>
      <protection hidden="1"/>
    </xf>
    <xf numFmtId="164" fontId="43" fillId="7" borderId="17" xfId="0" applyNumberFormat="1" applyFont="1" applyFill="1" applyBorder="1" applyAlignment="1" applyProtection="1">
      <alignment horizontal="center" vertical="center"/>
      <protection locked="0"/>
    </xf>
    <xf numFmtId="164" fontId="43" fillId="5" borderId="17" xfId="2" applyNumberFormat="1" applyFont="1" applyFill="1" applyBorder="1" applyAlignment="1" applyProtection="1">
      <alignment horizontal="center" vertical="center"/>
      <protection hidden="1"/>
    </xf>
    <xf numFmtId="164" fontId="43" fillId="7" borderId="17" xfId="0" applyNumberFormat="1" applyFont="1" applyFill="1" applyBorder="1" applyAlignment="1" applyProtection="1">
      <alignment horizontal="center"/>
      <protection locked="0"/>
    </xf>
    <xf numFmtId="3" fontId="4" fillId="2" borderId="0" xfId="0" applyNumberFormat="1" applyFont="1" applyFill="1" applyAlignment="1">
      <alignment horizontal="center" vertical="center"/>
    </xf>
    <xf numFmtId="3" fontId="4" fillId="0" borderId="0" xfId="0" applyNumberFormat="1" applyFont="1" applyAlignment="1" applyProtection="1">
      <alignment horizontal="center" vertical="center"/>
      <protection hidden="1"/>
    </xf>
    <xf numFmtId="3" fontId="42" fillId="7" borderId="17" xfId="0" applyNumberFormat="1" applyFont="1" applyFill="1" applyBorder="1" applyAlignment="1" applyProtection="1">
      <alignment horizontal="center" vertical="center"/>
      <protection locked="0"/>
    </xf>
    <xf numFmtId="3" fontId="42" fillId="0" borderId="17" xfId="0" applyNumberFormat="1" applyFont="1" applyBorder="1" applyAlignment="1" applyProtection="1">
      <alignment horizontal="center" vertical="center"/>
      <protection hidden="1"/>
    </xf>
    <xf numFmtId="3" fontId="42" fillId="5" borderId="84" xfId="0" applyNumberFormat="1" applyFont="1" applyFill="1" applyBorder="1" applyAlignment="1" applyProtection="1">
      <alignment horizontal="center" vertical="center"/>
      <protection hidden="1"/>
    </xf>
    <xf numFmtId="3" fontId="42" fillId="7" borderId="32" xfId="0" applyNumberFormat="1" applyFont="1" applyFill="1" applyBorder="1" applyAlignment="1" applyProtection="1">
      <alignment horizontal="center" vertical="center"/>
      <protection locked="0"/>
    </xf>
    <xf numFmtId="3" fontId="42" fillId="5" borderId="32" xfId="0" applyNumberFormat="1" applyFont="1" applyFill="1" applyBorder="1" applyAlignment="1" applyProtection="1">
      <alignment horizontal="center" vertical="center"/>
      <protection hidden="1"/>
    </xf>
    <xf numFmtId="3" fontId="4" fillId="2" borderId="0" xfId="0" applyNumberFormat="1" applyFont="1" applyFill="1" applyAlignment="1" applyProtection="1">
      <alignment horizontal="center" vertical="center"/>
      <protection hidden="1"/>
    </xf>
    <xf numFmtId="3" fontId="4" fillId="5" borderId="17" xfId="0" applyNumberFormat="1" applyFont="1" applyFill="1" applyBorder="1" applyAlignment="1" applyProtection="1">
      <alignment horizontal="center" vertical="center"/>
      <protection hidden="1"/>
    </xf>
    <xf numFmtId="0" fontId="3" fillId="0" borderId="60" xfId="0" applyFont="1" applyBorder="1" applyAlignment="1" applyProtection="1">
      <alignment horizontal="center" vertical="center"/>
      <protection hidden="1"/>
    </xf>
    <xf numFmtId="0" fontId="3" fillId="5" borderId="25" xfId="0" applyFont="1" applyFill="1" applyBorder="1" applyAlignment="1" applyProtection="1">
      <alignment horizontal="center" vertical="center"/>
      <protection hidden="1"/>
    </xf>
    <xf numFmtId="0" fontId="5" fillId="0" borderId="12" xfId="0" applyFont="1" applyBorder="1" applyAlignment="1">
      <alignment horizontal="left" vertical="center" indent="1"/>
    </xf>
    <xf numFmtId="0" fontId="5" fillId="0" borderId="12" xfId="0" applyFont="1" applyBorder="1" applyAlignment="1">
      <alignment horizontal="center" vertical="center"/>
    </xf>
    <xf numFmtId="3" fontId="4" fillId="0" borderId="0" xfId="0" applyNumberFormat="1" applyFont="1" applyAlignment="1">
      <alignment horizontal="left" vertical="center"/>
    </xf>
    <xf numFmtId="14" fontId="4" fillId="0" borderId="0" xfId="0" applyNumberFormat="1" applyFont="1" applyAlignment="1">
      <alignment horizontal="center"/>
    </xf>
    <xf numFmtId="3" fontId="0" fillId="10" borderId="38" xfId="2" applyNumberFormat="1" applyFont="1" applyFill="1" applyBorder="1"/>
    <xf numFmtId="3" fontId="0" fillId="10" borderId="17" xfId="0" applyNumberFormat="1" applyFill="1" applyBorder="1"/>
    <xf numFmtId="3" fontId="0" fillId="10" borderId="35" xfId="0" applyNumberFormat="1" applyFill="1" applyBorder="1"/>
    <xf numFmtId="164" fontId="3" fillId="7" borderId="5" xfId="2" applyNumberFormat="1" applyFont="1" applyFill="1" applyBorder="1" applyAlignment="1" applyProtection="1">
      <alignment horizontal="center" vertical="center"/>
      <protection locked="0"/>
    </xf>
    <xf numFmtId="14" fontId="6" fillId="0" borderId="0" xfId="0" applyNumberFormat="1" applyFont="1" applyAlignment="1">
      <alignment horizontal="left" vertical="center"/>
    </xf>
    <xf numFmtId="3" fontId="11" fillId="7" borderId="17" xfId="0" applyNumberFormat="1" applyFont="1" applyFill="1" applyBorder="1" applyAlignment="1" applyProtection="1">
      <alignment horizontal="center"/>
      <protection locked="0"/>
    </xf>
    <xf numFmtId="164" fontId="11" fillId="7" borderId="17" xfId="0" applyNumberFormat="1" applyFont="1" applyFill="1" applyBorder="1" applyAlignment="1" applyProtection="1">
      <alignment horizontal="center"/>
      <protection locked="0"/>
    </xf>
    <xf numFmtId="3" fontId="5" fillId="0" borderId="35" xfId="0" applyNumberFormat="1" applyFont="1" applyBorder="1" applyAlignment="1" applyProtection="1">
      <alignment horizontal="center" vertical="center"/>
      <protection hidden="1"/>
    </xf>
    <xf numFmtId="3" fontId="11" fillId="7" borderId="32" xfId="0" applyNumberFormat="1" applyFont="1" applyFill="1" applyBorder="1" applyAlignment="1" applyProtection="1">
      <alignment horizontal="center" vertical="center"/>
      <protection locked="0"/>
    </xf>
    <xf numFmtId="3" fontId="11" fillId="7" borderId="23" xfId="0" applyNumberFormat="1" applyFont="1" applyFill="1" applyBorder="1" applyAlignment="1" applyProtection="1">
      <alignment horizontal="center" vertical="center"/>
      <protection locked="0"/>
    </xf>
    <xf numFmtId="3" fontId="11" fillId="7" borderId="32" xfId="0" applyNumberFormat="1" applyFont="1" applyFill="1" applyBorder="1" applyAlignment="1" applyProtection="1">
      <alignment horizontal="center"/>
      <protection locked="0"/>
    </xf>
    <xf numFmtId="3" fontId="11" fillId="7" borderId="23" xfId="0" applyNumberFormat="1" applyFont="1" applyFill="1" applyBorder="1" applyAlignment="1" applyProtection="1">
      <alignment horizontal="center"/>
      <protection locked="0"/>
    </xf>
    <xf numFmtId="0" fontId="11" fillId="0" borderId="19" xfId="0" applyFont="1" applyBorder="1" applyAlignment="1">
      <alignment horizontal="center"/>
    </xf>
    <xf numFmtId="0" fontId="11" fillId="0" borderId="18" xfId="0" applyFont="1" applyBorder="1" applyAlignment="1">
      <alignment horizontal="center"/>
    </xf>
    <xf numFmtId="0" fontId="11" fillId="0" borderId="60" xfId="0" applyFont="1" applyBorder="1" applyAlignment="1">
      <alignment horizontal="center"/>
    </xf>
    <xf numFmtId="0" fontId="11" fillId="0" borderId="25" xfId="0" applyFont="1" applyBorder="1" applyAlignment="1">
      <alignment horizontal="center"/>
    </xf>
    <xf numFmtId="167" fontId="5" fillId="0" borderId="0" xfId="0" applyNumberFormat="1" applyFont="1" applyAlignment="1">
      <alignment horizontal="center" vertical="center"/>
    </xf>
    <xf numFmtId="3" fontId="4" fillId="7" borderId="17" xfId="0" applyNumberFormat="1" applyFont="1" applyFill="1" applyBorder="1" applyAlignment="1" applyProtection="1">
      <alignment horizontal="center" vertical="center"/>
      <protection locked="0"/>
    </xf>
    <xf numFmtId="167" fontId="4" fillId="0" borderId="17" xfId="0" applyNumberFormat="1" applyFont="1" applyBorder="1" applyAlignment="1">
      <alignment horizontal="center" vertical="center"/>
    </xf>
    <xf numFmtId="3" fontId="3" fillId="0" borderId="0" xfId="0" applyNumberFormat="1" applyFont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3" fontId="3" fillId="0" borderId="0" xfId="0" applyNumberFormat="1" applyFont="1" applyAlignment="1" applyProtection="1">
      <alignment horizontal="center" vertical="center"/>
      <protection hidden="1"/>
    </xf>
    <xf numFmtId="0" fontId="3" fillId="0" borderId="0" xfId="0" applyFont="1" applyAlignment="1">
      <alignment horizontal="center" vertical="center" wrapText="1"/>
    </xf>
    <xf numFmtId="167" fontId="3" fillId="0" borderId="0" xfId="0" applyNumberFormat="1" applyFont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3" fillId="0" borderId="47" xfId="0" applyNumberFormat="1" applyFont="1" applyBorder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 wrapText="1" indent="3"/>
      <protection hidden="1"/>
    </xf>
    <xf numFmtId="167" fontId="68" fillId="0" borderId="0" xfId="0" applyNumberFormat="1" applyFont="1" applyAlignment="1" applyProtection="1">
      <alignment horizontal="right" vertical="center"/>
      <protection hidden="1"/>
    </xf>
    <xf numFmtId="167" fontId="6" fillId="0" borderId="0" xfId="0" applyNumberFormat="1" applyFont="1" applyAlignment="1" applyProtection="1">
      <alignment horizontal="center" vertical="center"/>
      <protection hidden="1"/>
    </xf>
    <xf numFmtId="167" fontId="6" fillId="0" borderId="0" xfId="0" applyNumberFormat="1" applyFont="1" applyProtection="1">
      <protection hidden="1"/>
    </xf>
    <xf numFmtId="167" fontId="8" fillId="0" borderId="0" xfId="0" applyNumberFormat="1" applyFont="1" applyAlignment="1" applyProtection="1">
      <alignment horizontal="right" vertical="center"/>
      <protection hidden="1"/>
    </xf>
    <xf numFmtId="0" fontId="3" fillId="0" borderId="0" xfId="0" applyFont="1" applyAlignment="1">
      <alignment horizontal="right" vertical="center"/>
    </xf>
    <xf numFmtId="0" fontId="5" fillId="0" borderId="0" xfId="0" applyFont="1" applyAlignment="1">
      <alignment horizontal="left"/>
    </xf>
    <xf numFmtId="3" fontId="11" fillId="5" borderId="17" xfId="0" applyNumberFormat="1" applyFont="1" applyFill="1" applyBorder="1" applyAlignment="1">
      <alignment horizontal="center" vertical="center"/>
    </xf>
    <xf numFmtId="0" fontId="0" fillId="0" borderId="29" xfId="0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3" fontId="11" fillId="0" borderId="32" xfId="0" applyNumberFormat="1" applyFont="1" applyBorder="1" applyAlignment="1">
      <alignment horizontal="center" vertical="center"/>
    </xf>
    <xf numFmtId="3" fontId="11" fillId="0" borderId="33" xfId="0" applyNumberFormat="1" applyFont="1" applyBorder="1" applyAlignment="1">
      <alignment horizontal="center" vertical="center"/>
    </xf>
    <xf numFmtId="3" fontId="11" fillId="0" borderId="32" xfId="0" applyNumberFormat="1" applyFont="1" applyBorder="1" applyAlignment="1" applyProtection="1">
      <alignment horizontal="center" vertical="center"/>
      <protection hidden="1"/>
    </xf>
    <xf numFmtId="3" fontId="10" fillId="5" borderId="36" xfId="0" applyNumberFormat="1" applyFont="1" applyFill="1" applyBorder="1" applyAlignment="1" applyProtection="1">
      <alignment horizontal="center" vertical="center"/>
      <protection hidden="1"/>
    </xf>
    <xf numFmtId="3" fontId="10" fillId="0" borderId="36" xfId="0" applyNumberFormat="1" applyFont="1" applyBorder="1" applyAlignment="1" applyProtection="1">
      <alignment horizontal="center" vertical="center"/>
      <protection hidden="1"/>
    </xf>
    <xf numFmtId="3" fontId="10" fillId="0" borderId="37" xfId="0" applyNumberFormat="1" applyFont="1" applyBorder="1" applyAlignment="1" applyProtection="1">
      <alignment horizontal="center" vertical="center"/>
      <protection hidden="1"/>
    </xf>
    <xf numFmtId="3" fontId="5" fillId="0" borderId="4" xfId="0" applyNumberFormat="1" applyFont="1" applyBorder="1" applyAlignment="1">
      <alignment horizontal="center" vertical="center"/>
    </xf>
    <xf numFmtId="3" fontId="5" fillId="0" borderId="4" xfId="0" applyNumberFormat="1" applyFont="1" applyBorder="1" applyAlignment="1" applyProtection="1">
      <alignment horizontal="center" vertical="center"/>
      <protection hidden="1"/>
    </xf>
    <xf numFmtId="3" fontId="5" fillId="0" borderId="2" xfId="0" applyNumberFormat="1" applyFont="1" applyBorder="1" applyAlignment="1" applyProtection="1">
      <alignment horizontal="center" vertical="center"/>
      <protection hidden="1"/>
    </xf>
    <xf numFmtId="3" fontId="5" fillId="0" borderId="55" xfId="0" applyNumberFormat="1" applyFont="1" applyBorder="1" applyAlignment="1" applyProtection="1">
      <alignment horizontal="center" vertical="center"/>
      <protection hidden="1"/>
    </xf>
    <xf numFmtId="3" fontId="5" fillId="0" borderId="29" xfId="0" applyNumberFormat="1" applyFont="1" applyBorder="1" applyAlignment="1" applyProtection="1">
      <alignment horizontal="center" vertical="center"/>
      <protection hidden="1"/>
    </xf>
    <xf numFmtId="3" fontId="5" fillId="0" borderId="30" xfId="0" applyNumberFormat="1" applyFont="1" applyBorder="1" applyAlignment="1" applyProtection="1">
      <alignment horizontal="center" vertical="center"/>
      <protection hidden="1"/>
    </xf>
    <xf numFmtId="3" fontId="11" fillId="5" borderId="36" xfId="0" applyNumberFormat="1" applyFont="1" applyFill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 applyProtection="1">
      <alignment horizontal="center" vertical="center"/>
      <protection hidden="1"/>
    </xf>
    <xf numFmtId="3" fontId="11" fillId="0" borderId="37" xfId="0" applyNumberFormat="1" applyFont="1" applyBorder="1" applyAlignment="1" applyProtection="1">
      <alignment horizontal="center" vertical="center"/>
      <protection hidden="1"/>
    </xf>
    <xf numFmtId="3" fontId="10" fillId="0" borderId="62" xfId="0" applyNumberFormat="1" applyFont="1" applyBorder="1" applyAlignment="1" applyProtection="1">
      <alignment horizontal="center" vertical="center"/>
      <protection hidden="1"/>
    </xf>
    <xf numFmtId="3" fontId="10" fillId="0" borderId="66" xfId="0" applyNumberFormat="1" applyFont="1" applyBorder="1" applyAlignment="1" applyProtection="1">
      <alignment horizontal="center" vertical="center"/>
      <protection hidden="1"/>
    </xf>
    <xf numFmtId="3" fontId="11" fillId="5" borderId="36" xfId="0" applyNumberFormat="1" applyFont="1" applyFill="1" applyBorder="1" applyAlignment="1">
      <alignment horizontal="center" vertical="center"/>
    </xf>
    <xf numFmtId="3" fontId="6" fillId="0" borderId="32" xfId="0" applyNumberFormat="1" applyFont="1" applyBorder="1" applyAlignment="1" applyProtection="1">
      <alignment horizontal="center" vertical="center"/>
      <protection hidden="1"/>
    </xf>
    <xf numFmtId="4" fontId="6" fillId="0" borderId="17" xfId="0" applyNumberFormat="1" applyFont="1" applyBorder="1" applyAlignment="1" applyProtection="1">
      <alignment horizontal="center" vertical="center"/>
      <protection hidden="1"/>
    </xf>
    <xf numFmtId="4" fontId="6" fillId="7" borderId="17" xfId="0" applyNumberFormat="1" applyFont="1" applyFill="1" applyBorder="1" applyAlignment="1" applyProtection="1">
      <alignment horizontal="center" vertical="center"/>
      <protection locked="0"/>
    </xf>
    <xf numFmtId="164" fontId="6" fillId="0" borderId="17" xfId="0" applyNumberFormat="1" applyFont="1" applyBorder="1" applyAlignment="1" applyProtection="1">
      <alignment horizontal="center" vertical="center"/>
      <protection hidden="1"/>
    </xf>
    <xf numFmtId="164" fontId="6" fillId="7" borderId="17" xfId="0" applyNumberFormat="1" applyFont="1" applyFill="1" applyBorder="1" applyAlignment="1" applyProtection="1">
      <alignment horizontal="center" vertical="center"/>
      <protection locked="0"/>
    </xf>
    <xf numFmtId="3" fontId="6" fillId="0" borderId="36" xfId="0" applyNumberFormat="1" applyFont="1" applyBorder="1" applyAlignment="1" applyProtection="1">
      <alignment horizontal="center" vertical="center"/>
      <protection hidden="1"/>
    </xf>
    <xf numFmtId="4" fontId="6" fillId="7" borderId="20" xfId="0" applyNumberFormat="1" applyFont="1" applyFill="1" applyBorder="1" applyAlignment="1" applyProtection="1">
      <alignment horizontal="center" vertical="center"/>
      <protection locked="0"/>
    </xf>
    <xf numFmtId="3" fontId="6" fillId="7" borderId="20" xfId="0" applyNumberFormat="1" applyFont="1" applyFill="1" applyBorder="1" applyAlignment="1" applyProtection="1">
      <alignment horizontal="center" vertical="center"/>
      <protection locked="0"/>
    </xf>
    <xf numFmtId="3" fontId="6" fillId="0" borderId="20" xfId="0" applyNumberFormat="1" applyFont="1" applyBorder="1" applyAlignment="1" applyProtection="1">
      <alignment horizontal="center" vertical="center"/>
      <protection hidden="1"/>
    </xf>
    <xf numFmtId="3" fontId="6" fillId="0" borderId="32" xfId="0" applyNumberFormat="1" applyFont="1" applyBorder="1" applyAlignment="1" applyProtection="1">
      <alignment horizontal="center"/>
      <protection hidden="1"/>
    </xf>
    <xf numFmtId="3" fontId="6" fillId="0" borderId="23" xfId="0" applyNumberFormat="1" applyFont="1" applyBorder="1" applyAlignment="1" applyProtection="1">
      <alignment horizontal="center"/>
      <protection hidden="1"/>
    </xf>
    <xf numFmtId="3" fontId="10" fillId="0" borderId="17" xfId="0" applyNumberFormat="1" applyFont="1" applyBorder="1" applyAlignment="1" applyProtection="1">
      <alignment horizontal="center" vertical="center"/>
      <protection hidden="1"/>
    </xf>
    <xf numFmtId="3" fontId="10" fillId="0" borderId="17" xfId="0" applyNumberFormat="1" applyFont="1" applyBorder="1" applyAlignment="1" applyProtection="1">
      <alignment horizontal="center"/>
      <protection hidden="1"/>
    </xf>
    <xf numFmtId="164" fontId="10" fillId="0" borderId="17" xfId="2" applyNumberFormat="1" applyFont="1" applyBorder="1" applyAlignment="1" applyProtection="1">
      <alignment horizontal="center" vertical="center"/>
      <protection hidden="1"/>
    </xf>
    <xf numFmtId="164" fontId="10" fillId="0" borderId="17" xfId="2" applyNumberFormat="1" applyFont="1" applyBorder="1" applyAlignment="1" applyProtection="1">
      <alignment horizontal="center"/>
      <protection hidden="1"/>
    </xf>
    <xf numFmtId="3" fontId="10" fillId="6" borderId="17" xfId="0" applyNumberFormat="1" applyFont="1" applyFill="1" applyBorder="1" applyAlignment="1" applyProtection="1">
      <alignment horizontal="center" vertical="center"/>
      <protection hidden="1"/>
    </xf>
    <xf numFmtId="0" fontId="46" fillId="0" borderId="0" xfId="0" applyFont="1" applyAlignment="1">
      <alignment horizontal="center" vertical="center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0" fontId="69" fillId="0" borderId="45" xfId="0" applyFont="1" applyBorder="1" applyAlignment="1" applyProtection="1">
      <alignment horizontal="center" vertical="center"/>
      <protection hidden="1"/>
    </xf>
    <xf numFmtId="0" fontId="70" fillId="0" borderId="45" xfId="0" applyFont="1" applyBorder="1" applyAlignment="1" applyProtection="1">
      <alignment horizontal="right" vertical="center"/>
      <protection hidden="1"/>
    </xf>
    <xf numFmtId="0" fontId="71" fillId="0" borderId="0" xfId="0" applyFont="1"/>
    <xf numFmtId="3" fontId="11" fillId="0" borderId="32" xfId="0" applyNumberFormat="1" applyFont="1" applyBorder="1" applyAlignment="1" applyProtection="1">
      <alignment horizontal="center"/>
      <protection hidden="1"/>
    </xf>
    <xf numFmtId="164" fontId="51" fillId="0" borderId="35" xfId="0" applyNumberFormat="1" applyFont="1" applyBorder="1" applyAlignment="1" applyProtection="1">
      <alignment horizontal="center" vertical="center"/>
      <protection hidden="1"/>
    </xf>
    <xf numFmtId="3" fontId="11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11" fillId="7" borderId="35" xfId="0" applyNumberFormat="1" applyFont="1" applyFill="1" applyBorder="1" applyAlignment="1" applyProtection="1">
      <alignment horizontal="center" vertical="center"/>
      <protection locked="0" hidden="1"/>
    </xf>
    <xf numFmtId="166" fontId="11" fillId="0" borderId="17" xfId="0" applyNumberFormat="1" applyFont="1" applyBorder="1" applyAlignment="1" applyProtection="1">
      <alignment horizontal="center"/>
      <protection hidden="1"/>
    </xf>
    <xf numFmtId="1" fontId="4" fillId="0" borderId="0" xfId="0" applyNumberFormat="1" applyFont="1" applyAlignment="1" applyProtection="1">
      <alignment vertical="center"/>
      <protection hidden="1"/>
    </xf>
    <xf numFmtId="14" fontId="4" fillId="0" borderId="0" xfId="0" applyNumberFormat="1" applyFont="1" applyAlignment="1" applyProtection="1">
      <alignment horizontal="left" vertical="center"/>
      <protection hidden="1"/>
    </xf>
    <xf numFmtId="3" fontId="0" fillId="0" borderId="17" xfId="0" applyNumberFormat="1" applyBorder="1" applyAlignment="1" applyProtection="1">
      <alignment horizontal="center" vertical="center"/>
      <protection hidden="1"/>
    </xf>
    <xf numFmtId="3" fontId="0" fillId="0" borderId="35" xfId="0" applyNumberFormat="1" applyBorder="1" applyAlignment="1" applyProtection="1">
      <alignment horizontal="center" vertical="center"/>
      <protection hidden="1"/>
    </xf>
    <xf numFmtId="0" fontId="5" fillId="0" borderId="124" xfId="0" applyFont="1" applyBorder="1" applyAlignment="1" applyProtection="1">
      <alignment horizontal="center" vertical="center"/>
      <protection hidden="1"/>
    </xf>
    <xf numFmtId="0" fontId="52" fillId="0" borderId="126" xfId="0" applyFont="1" applyBorder="1" applyAlignment="1" applyProtection="1">
      <alignment horizontal="center" vertical="center"/>
      <protection hidden="1"/>
    </xf>
    <xf numFmtId="3" fontId="53" fillId="0" borderId="123" xfId="0" applyNumberFormat="1" applyFont="1" applyBorder="1" applyAlignment="1" applyProtection="1">
      <alignment horizontal="center" vertical="center"/>
      <protection hidden="1"/>
    </xf>
    <xf numFmtId="3" fontId="53" fillId="0" borderId="126" xfId="0" applyNumberFormat="1" applyFont="1" applyBorder="1" applyAlignment="1" applyProtection="1">
      <alignment horizontal="center" vertical="center"/>
      <protection hidden="1"/>
    </xf>
    <xf numFmtId="0" fontId="27" fillId="0" borderId="124" xfId="0" applyFont="1" applyBorder="1" applyAlignment="1" applyProtection="1">
      <alignment horizontal="center" vertical="center"/>
      <protection hidden="1"/>
    </xf>
    <xf numFmtId="3" fontId="54" fillId="0" borderId="123" xfId="0" applyNumberFormat="1" applyFont="1" applyBorder="1" applyAlignment="1" applyProtection="1">
      <alignment horizontal="center" vertical="center"/>
      <protection hidden="1"/>
    </xf>
    <xf numFmtId="0" fontId="55" fillId="0" borderId="124" xfId="0" applyFont="1" applyBorder="1" applyAlignment="1" applyProtection="1">
      <alignment horizontal="center" vertical="center"/>
      <protection hidden="1"/>
    </xf>
    <xf numFmtId="3" fontId="42" fillId="0" borderId="123" xfId="0" applyNumberFormat="1" applyFont="1" applyBorder="1" applyAlignment="1" applyProtection="1">
      <alignment horizontal="center" vertical="center"/>
      <protection hidden="1"/>
    </xf>
    <xf numFmtId="3" fontId="42" fillId="5" borderId="123" xfId="0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19" fillId="2" borderId="0" xfId="0" applyFont="1" applyFill="1" applyAlignment="1" applyProtection="1">
      <alignment horizontal="center"/>
      <protection hidden="1"/>
    </xf>
    <xf numFmtId="0" fontId="8" fillId="2" borderId="0" xfId="0" applyFont="1" applyFill="1" applyAlignment="1" applyProtection="1">
      <alignment horizontal="left" vertical="center"/>
      <protection hidden="1"/>
    </xf>
    <xf numFmtId="0" fontId="24" fillId="2" borderId="0" xfId="0" applyFont="1" applyFill="1" applyAlignment="1" applyProtection="1">
      <alignment horizontal="center"/>
      <protection hidden="1"/>
    </xf>
    <xf numFmtId="0" fontId="27" fillId="0" borderId="17" xfId="0" applyFont="1" applyBorder="1" applyAlignment="1" applyProtection="1">
      <alignment horizontal="center" vertical="center"/>
      <protection hidden="1"/>
    </xf>
    <xf numFmtId="0" fontId="27" fillId="0" borderId="20" xfId="0" applyFont="1" applyBorder="1" applyAlignment="1" applyProtection="1">
      <alignment horizontal="center" vertical="center"/>
      <protection hidden="1"/>
    </xf>
    <xf numFmtId="0" fontId="27" fillId="0" borderId="81" xfId="0" applyFont="1" applyBorder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vertical="center"/>
      <protection hidden="1"/>
    </xf>
    <xf numFmtId="0" fontId="11" fillId="0" borderId="20" xfId="0" applyFont="1" applyBorder="1" applyAlignment="1" applyProtection="1">
      <alignment horizontal="center" vertical="center"/>
      <protection hidden="1"/>
    </xf>
    <xf numFmtId="0" fontId="11" fillId="0" borderId="100" xfId="0" applyFont="1" applyBorder="1" applyAlignment="1" applyProtection="1">
      <alignment horizontal="center" vertical="center"/>
      <protection hidden="1"/>
    </xf>
    <xf numFmtId="0" fontId="6" fillId="2" borderId="0" xfId="0" applyFont="1" applyFill="1" applyProtection="1">
      <protection hidden="1"/>
    </xf>
    <xf numFmtId="0" fontId="7" fillId="0" borderId="0" xfId="0" applyFont="1" applyAlignment="1" applyProtection="1">
      <alignment horizontal="right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7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3" fontId="4" fillId="5" borderId="61" xfId="0" applyNumberFormat="1" applyFont="1" applyFill="1" applyBorder="1" applyAlignment="1" applyProtection="1">
      <alignment vertical="center"/>
      <protection hidden="1"/>
    </xf>
    <xf numFmtId="167" fontId="4" fillId="0" borderId="18" xfId="0" applyNumberFormat="1" applyFont="1" applyBorder="1" applyAlignment="1" applyProtection="1">
      <alignment vertical="center"/>
      <protection hidden="1"/>
    </xf>
    <xf numFmtId="167" fontId="4" fillId="0" borderId="25" xfId="0" applyNumberFormat="1" applyFont="1" applyBorder="1" applyAlignment="1" applyProtection="1">
      <alignment horizontal="center" vertical="center"/>
      <protection hidden="1"/>
    </xf>
    <xf numFmtId="14" fontId="6" fillId="0" borderId="0" xfId="0" applyNumberFormat="1" applyFont="1" applyAlignment="1" applyProtection="1">
      <alignment horizontal="left" vertical="center"/>
      <protection hidden="1"/>
    </xf>
    <xf numFmtId="14" fontId="3" fillId="0" borderId="0" xfId="0" applyNumberFormat="1" applyFont="1" applyAlignment="1">
      <alignment horizontal="left" vertical="center"/>
    </xf>
    <xf numFmtId="0" fontId="5" fillId="0" borderId="0" xfId="0" applyFont="1" applyAlignment="1" applyProtection="1">
      <alignment horizontal="center" vertical="top"/>
      <protection hidden="1"/>
    </xf>
    <xf numFmtId="0" fontId="6" fillId="7" borderId="0" xfId="0" applyFont="1" applyFill="1" applyAlignment="1" applyProtection="1">
      <alignment vertical="center"/>
      <protection locked="0"/>
    </xf>
    <xf numFmtId="167" fontId="6" fillId="0" borderId="127" xfId="0" applyNumberFormat="1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6" fillId="0" borderId="130" xfId="0" applyFont="1" applyBorder="1" applyAlignment="1" applyProtection="1">
      <alignment horizontal="center" vertical="center"/>
      <protection hidden="1"/>
    </xf>
    <xf numFmtId="167" fontId="6" fillId="0" borderId="130" xfId="0" applyNumberFormat="1" applyFont="1" applyBorder="1" applyAlignment="1" applyProtection="1">
      <alignment horizontal="center" vertical="center"/>
      <protection hidden="1"/>
    </xf>
    <xf numFmtId="0" fontId="6" fillId="0" borderId="132" xfId="0" applyFont="1" applyBorder="1" applyAlignment="1" applyProtection="1">
      <alignment horizontal="center" vertical="center"/>
      <protection hidden="1"/>
    </xf>
    <xf numFmtId="167" fontId="6" fillId="0" borderId="132" xfId="0" applyNumberFormat="1" applyFont="1" applyBorder="1" applyAlignment="1" applyProtection="1">
      <alignment horizontal="center" vertical="center"/>
      <protection hidden="1"/>
    </xf>
    <xf numFmtId="0" fontId="6" fillId="0" borderId="135" xfId="0" applyFont="1" applyBorder="1" applyAlignment="1" applyProtection="1">
      <alignment vertical="center"/>
      <protection hidden="1"/>
    </xf>
    <xf numFmtId="0" fontId="6" fillId="0" borderId="131" xfId="0" applyFont="1" applyBorder="1" applyAlignment="1" applyProtection="1">
      <alignment horizontal="left" vertical="center"/>
      <protection hidden="1"/>
    </xf>
    <xf numFmtId="0" fontId="6" fillId="0" borderId="136" xfId="0" applyFont="1" applyBorder="1" applyAlignment="1" applyProtection="1">
      <alignment vertical="center"/>
      <protection hidden="1"/>
    </xf>
    <xf numFmtId="0" fontId="6" fillId="0" borderId="136" xfId="0" applyFont="1" applyBorder="1" applyAlignment="1" applyProtection="1">
      <alignment horizontal="left" vertical="center"/>
      <protection hidden="1"/>
    </xf>
    <xf numFmtId="0" fontId="6" fillId="0" borderId="137" xfId="0" applyFont="1" applyBorder="1" applyAlignment="1" applyProtection="1">
      <alignment vertical="center"/>
      <protection hidden="1"/>
    </xf>
    <xf numFmtId="0" fontId="6" fillId="0" borderId="138" xfId="0" applyFont="1" applyBorder="1" applyAlignment="1" applyProtection="1">
      <alignment vertical="center"/>
      <protection hidden="1"/>
    </xf>
    <xf numFmtId="167" fontId="6" fillId="0" borderId="139" xfId="0" applyNumberFormat="1" applyFont="1" applyBorder="1" applyAlignment="1" applyProtection="1">
      <alignment horizontal="center" vertical="center"/>
      <protection hidden="1"/>
    </xf>
    <xf numFmtId="164" fontId="6" fillId="0" borderId="139" xfId="0" applyNumberFormat="1" applyFont="1" applyBorder="1" applyAlignment="1" applyProtection="1">
      <alignment horizontal="center" vertical="center"/>
      <protection hidden="1"/>
    </xf>
    <xf numFmtId="167" fontId="6" fillId="5" borderId="139" xfId="0" applyNumberFormat="1" applyFont="1" applyFill="1" applyBorder="1" applyAlignment="1" applyProtection="1">
      <alignment horizontal="center" vertical="center"/>
      <protection hidden="1"/>
    </xf>
    <xf numFmtId="1" fontId="3" fillId="0" borderId="139" xfId="0" applyNumberFormat="1" applyFont="1" applyBorder="1" applyAlignment="1" applyProtection="1">
      <alignment horizontal="center" vertical="center"/>
      <protection hidden="1"/>
    </xf>
    <xf numFmtId="166" fontId="6" fillId="0" borderId="139" xfId="0" applyNumberFormat="1" applyFont="1" applyBorder="1" applyAlignment="1" applyProtection="1">
      <alignment horizontal="center" vertical="center"/>
      <protection hidden="1"/>
    </xf>
    <xf numFmtId="3" fontId="3" fillId="0" borderId="139" xfId="0" applyNumberFormat="1" applyFont="1" applyBorder="1" applyAlignment="1" applyProtection="1">
      <alignment horizontal="center" vertical="center"/>
      <protection hidden="1"/>
    </xf>
    <xf numFmtId="0" fontId="3" fillId="3" borderId="0" xfId="0" applyFont="1" applyFill="1" applyAlignment="1" applyProtection="1">
      <alignment horizontal="center" vertical="center"/>
      <protection hidden="1"/>
    </xf>
    <xf numFmtId="0" fontId="3" fillId="0" borderId="143" xfId="0" applyFont="1" applyBorder="1" applyAlignment="1" applyProtection="1">
      <alignment vertical="center"/>
      <protection hidden="1"/>
    </xf>
    <xf numFmtId="0" fontId="6" fillId="0" borderId="144" xfId="0" applyFont="1" applyBorder="1" applyAlignment="1" applyProtection="1">
      <alignment vertical="center"/>
      <protection hidden="1"/>
    </xf>
    <xf numFmtId="0" fontId="3" fillId="0" borderId="144" xfId="0" applyFont="1" applyBorder="1" applyAlignment="1" applyProtection="1">
      <alignment vertical="center"/>
      <protection hidden="1"/>
    </xf>
    <xf numFmtId="0" fontId="3" fillId="0" borderId="144" xfId="0" applyFont="1" applyBorder="1" applyAlignment="1" applyProtection="1">
      <alignment horizontal="left" vertical="center"/>
      <protection hidden="1"/>
    </xf>
    <xf numFmtId="167" fontId="3" fillId="0" borderId="139" xfId="0" applyNumberFormat="1" applyFont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167" fontId="3" fillId="0" borderId="139" xfId="0" applyNumberFormat="1" applyFont="1" applyBorder="1" applyAlignment="1" applyProtection="1">
      <alignment horizontal="center"/>
      <protection hidden="1"/>
    </xf>
    <xf numFmtId="167" fontId="6" fillId="0" borderId="139" xfId="0" applyNumberFormat="1" applyFont="1" applyBorder="1" applyAlignment="1" applyProtection="1">
      <alignment horizontal="center"/>
      <protection hidden="1"/>
    </xf>
    <xf numFmtId="0" fontId="3" fillId="0" borderId="137" xfId="0" applyFont="1" applyBorder="1" applyAlignment="1" applyProtection="1">
      <alignment vertical="center"/>
      <protection hidden="1"/>
    </xf>
    <xf numFmtId="0" fontId="6" fillId="0" borderId="143" xfId="0" applyFont="1" applyBorder="1" applyAlignment="1" applyProtection="1">
      <alignment vertical="center"/>
      <protection hidden="1"/>
    </xf>
    <xf numFmtId="0" fontId="3" fillId="0" borderId="138" xfId="0" applyFont="1" applyBorder="1" applyAlignment="1" applyProtection="1">
      <alignment vertical="center"/>
      <protection hidden="1"/>
    </xf>
    <xf numFmtId="0" fontId="3" fillId="0" borderId="137" xfId="0" applyFont="1" applyBorder="1" applyAlignment="1" applyProtection="1">
      <alignment horizontal="left" vertical="center"/>
      <protection hidden="1"/>
    </xf>
    <xf numFmtId="0" fontId="3" fillId="0" borderId="143" xfId="0" applyFont="1" applyBorder="1" applyAlignment="1" applyProtection="1">
      <alignment horizontal="left" vertical="center"/>
      <protection hidden="1"/>
    </xf>
    <xf numFmtId="0" fontId="6" fillId="5" borderId="139" xfId="0" applyFont="1" applyFill="1" applyBorder="1" applyAlignment="1" applyProtection="1">
      <alignment horizontal="center"/>
      <protection hidden="1"/>
    </xf>
    <xf numFmtId="0" fontId="6" fillId="5" borderId="139" xfId="0" applyFont="1" applyFill="1" applyBorder="1" applyAlignment="1" applyProtection="1">
      <alignment horizontal="center" vertical="center"/>
      <protection hidden="1"/>
    </xf>
    <xf numFmtId="167" fontId="69" fillId="0" borderId="139" xfId="0" applyNumberFormat="1" applyFont="1" applyBorder="1" applyAlignment="1" applyProtection="1">
      <alignment horizontal="center" vertical="center"/>
      <protection hidden="1"/>
    </xf>
    <xf numFmtId="0" fontId="6" fillId="5" borderId="137" xfId="0" applyFont="1" applyFill="1" applyBorder="1" applyAlignment="1" applyProtection="1">
      <alignment vertical="center"/>
      <protection hidden="1"/>
    </xf>
    <xf numFmtId="0" fontId="6" fillId="5" borderId="143" xfId="0" applyFont="1" applyFill="1" applyBorder="1" applyAlignment="1" applyProtection="1">
      <alignment vertical="center"/>
      <protection hidden="1"/>
    </xf>
    <xf numFmtId="167" fontId="6" fillId="5" borderId="139" xfId="0" applyNumberFormat="1" applyFont="1" applyFill="1" applyBorder="1" applyAlignment="1" applyProtection="1">
      <alignment horizontal="center"/>
      <protection hidden="1"/>
    </xf>
    <xf numFmtId="0" fontId="6" fillId="0" borderId="137" xfId="0" applyFont="1" applyBorder="1" applyAlignment="1" applyProtection="1">
      <alignment horizontal="left" vertical="center"/>
      <protection hidden="1"/>
    </xf>
    <xf numFmtId="0" fontId="3" fillId="0" borderId="138" xfId="0" applyFont="1" applyBorder="1" applyAlignment="1" applyProtection="1">
      <alignment horizontal="left" vertical="center"/>
      <protection hidden="1"/>
    </xf>
    <xf numFmtId="0" fontId="3" fillId="0" borderId="138" xfId="0" applyFont="1" applyBorder="1" applyAlignment="1" applyProtection="1">
      <alignment horizontal="right" vertical="center"/>
      <protection hidden="1"/>
    </xf>
    <xf numFmtId="3" fontId="3" fillId="0" borderId="138" xfId="0" applyNumberFormat="1" applyFont="1" applyBorder="1" applyAlignment="1" applyProtection="1">
      <alignment vertical="center"/>
      <protection hidden="1"/>
    </xf>
    <xf numFmtId="0" fontId="6" fillId="0" borderId="137" xfId="0" applyFont="1" applyBorder="1" applyAlignment="1">
      <alignment vertical="center"/>
    </xf>
    <xf numFmtId="0" fontId="0" fillId="0" borderId="137" xfId="0" applyBorder="1" applyAlignment="1">
      <alignment vertical="center"/>
    </xf>
    <xf numFmtId="0" fontId="6" fillId="0" borderId="138" xfId="0" applyFont="1" applyBorder="1" applyAlignment="1">
      <alignment vertical="center"/>
    </xf>
    <xf numFmtId="0" fontId="0" fillId="0" borderId="138" xfId="0" applyBorder="1" applyAlignment="1">
      <alignment vertical="center"/>
    </xf>
    <xf numFmtId="0" fontId="2" fillId="0" borderId="0" xfId="0" applyFont="1" applyAlignment="1" applyProtection="1">
      <alignment horizontal="center"/>
      <protection hidden="1"/>
    </xf>
    <xf numFmtId="4" fontId="3" fillId="0" borderId="139" xfId="0" applyNumberFormat="1" applyFont="1" applyBorder="1" applyAlignment="1" applyProtection="1">
      <alignment horizontal="center"/>
      <protection hidden="1"/>
    </xf>
    <xf numFmtId="0" fontId="3" fillId="0" borderId="137" xfId="0" applyFont="1" applyBorder="1" applyAlignment="1" applyProtection="1">
      <alignment horizontal="left"/>
      <protection hidden="1"/>
    </xf>
    <xf numFmtId="0" fontId="3" fillId="0" borderId="143" xfId="0" applyFont="1" applyBorder="1" applyAlignment="1" applyProtection="1">
      <alignment horizontal="left"/>
      <protection hidden="1"/>
    </xf>
    <xf numFmtId="0" fontId="3" fillId="0" borderId="138" xfId="0" applyFont="1" applyBorder="1" applyAlignment="1" applyProtection="1">
      <alignment horizontal="left"/>
      <protection hidden="1"/>
    </xf>
    <xf numFmtId="0" fontId="3" fillId="0" borderId="144" xfId="0" applyFont="1" applyBorder="1" applyAlignment="1" applyProtection="1">
      <alignment horizontal="left"/>
      <protection hidden="1"/>
    </xf>
    <xf numFmtId="0" fontId="6" fillId="0" borderId="143" xfId="0" applyFont="1" applyBorder="1" applyAlignment="1" applyProtection="1">
      <alignment horizontal="left"/>
      <protection hidden="1"/>
    </xf>
    <xf numFmtId="3" fontId="3" fillId="6" borderId="0" xfId="0" applyNumberFormat="1" applyFont="1" applyFill="1" applyAlignment="1" applyProtection="1">
      <alignment horizontal="center" vertical="center"/>
      <protection hidden="1"/>
    </xf>
    <xf numFmtId="1" fontId="6" fillId="0" borderId="139" xfId="0" applyNumberFormat="1" applyFont="1" applyBorder="1" applyAlignment="1" applyProtection="1">
      <alignment horizontal="center" vertical="center"/>
      <protection hidden="1"/>
    </xf>
    <xf numFmtId="0" fontId="6" fillId="0" borderId="139" xfId="0" applyFont="1" applyBorder="1" applyAlignment="1" applyProtection="1">
      <alignment horizontal="center" vertical="center"/>
      <protection hidden="1"/>
    </xf>
    <xf numFmtId="167" fontId="72" fillId="0" borderId="0" xfId="0" applyNumberFormat="1" applyFont="1" applyAlignment="1" applyProtection="1">
      <alignment horizontal="right" vertical="center"/>
      <protection hidden="1"/>
    </xf>
    <xf numFmtId="0" fontId="6" fillId="0" borderId="138" xfId="0" applyFont="1" applyBorder="1" applyAlignment="1" applyProtection="1">
      <alignment horizontal="left" vertical="center"/>
      <protection hidden="1"/>
    </xf>
    <xf numFmtId="0" fontId="6" fillId="0" borderId="144" xfId="0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 wrapText="1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167" fontId="6" fillId="0" borderId="147" xfId="0" applyNumberFormat="1" applyFont="1" applyBorder="1" applyAlignment="1" applyProtection="1">
      <alignment horizontal="center"/>
      <protection hidden="1"/>
    </xf>
    <xf numFmtId="167" fontId="6" fillId="0" borderId="147" xfId="0" applyNumberFormat="1" applyFont="1" applyBorder="1" applyAlignment="1" applyProtection="1">
      <alignment horizontal="center" vertical="center"/>
      <protection hidden="1"/>
    </xf>
    <xf numFmtId="167" fontId="3" fillId="0" borderId="148" xfId="0" applyNumberFormat="1" applyFont="1" applyBorder="1" applyAlignment="1" applyProtection="1">
      <alignment horizontal="center"/>
      <protection hidden="1"/>
    </xf>
    <xf numFmtId="167" fontId="3" fillId="0" borderId="148" xfId="0" applyNumberFormat="1" applyFont="1" applyBorder="1" applyAlignment="1" applyProtection="1">
      <alignment horizontal="center" vertical="center"/>
      <protection hidden="1"/>
    </xf>
    <xf numFmtId="3" fontId="5" fillId="0" borderId="50" xfId="0" applyNumberFormat="1" applyFont="1" applyBorder="1" applyAlignment="1">
      <alignment horizontal="center" vertical="center"/>
    </xf>
    <xf numFmtId="167" fontId="5" fillId="0" borderId="51" xfId="0" applyNumberFormat="1" applyFont="1" applyBorder="1" applyAlignment="1">
      <alignment horizontal="center" vertical="center"/>
    </xf>
    <xf numFmtId="3" fontId="11" fillId="2" borderId="38" xfId="0" applyNumberFormat="1" applyFont="1" applyFill="1" applyBorder="1" applyAlignment="1">
      <alignment horizontal="center" vertical="center"/>
    </xf>
    <xf numFmtId="167" fontId="11" fillId="0" borderId="35" xfId="0" applyNumberFormat="1" applyFont="1" applyBorder="1" applyAlignment="1">
      <alignment horizontal="center" vertical="center"/>
    </xf>
    <xf numFmtId="167" fontId="6" fillId="3" borderId="35" xfId="0" applyNumberFormat="1" applyFont="1" applyFill="1" applyBorder="1" applyAlignment="1">
      <alignment horizontal="center" vertical="center"/>
    </xf>
    <xf numFmtId="167" fontId="6" fillId="7" borderId="38" xfId="0" applyNumberFormat="1" applyFont="1" applyFill="1" applyBorder="1" applyAlignment="1" applyProtection="1">
      <alignment horizontal="center" vertical="center"/>
      <protection locked="0"/>
    </xf>
    <xf numFmtId="3" fontId="11" fillId="0" borderId="38" xfId="0" applyNumberFormat="1" applyFont="1" applyBorder="1" applyAlignment="1">
      <alignment horizontal="center" vertical="center"/>
    </xf>
    <xf numFmtId="4" fontId="6" fillId="7" borderId="38" xfId="0" applyNumberFormat="1" applyFont="1" applyFill="1" applyBorder="1" applyAlignment="1" applyProtection="1">
      <alignment horizontal="center" vertical="center"/>
      <protection locked="0"/>
    </xf>
    <xf numFmtId="4" fontId="6" fillId="3" borderId="35" xfId="0" applyNumberFormat="1" applyFont="1" applyFill="1" applyBorder="1" applyAlignment="1">
      <alignment horizontal="center" vertical="center"/>
    </xf>
    <xf numFmtId="3" fontId="11" fillId="7" borderId="52" xfId="0" applyNumberFormat="1" applyFont="1" applyFill="1" applyBorder="1" applyAlignment="1" applyProtection="1">
      <alignment horizontal="center" vertical="center"/>
      <protection locked="0"/>
    </xf>
    <xf numFmtId="167" fontId="11" fillId="3" borderId="33" xfId="0" applyNumberFormat="1" applyFont="1" applyFill="1" applyBorder="1" applyAlignment="1">
      <alignment horizontal="center" vertical="center"/>
    </xf>
    <xf numFmtId="167" fontId="6" fillId="3" borderId="33" xfId="0" applyNumberFormat="1" applyFont="1" applyFill="1" applyBorder="1" applyAlignment="1">
      <alignment horizontal="center" vertical="center"/>
    </xf>
    <xf numFmtId="3" fontId="5" fillId="0" borderId="48" xfId="0" applyNumberFormat="1" applyFont="1" applyBorder="1" applyAlignment="1" applyProtection="1">
      <alignment horizontal="center" vertical="center"/>
      <protection hidden="1"/>
    </xf>
    <xf numFmtId="167" fontId="5" fillId="0" borderId="51" xfId="0" applyNumberFormat="1" applyFont="1" applyBorder="1" applyAlignment="1" applyProtection="1">
      <alignment horizontal="center" vertical="center"/>
      <protection hidden="1"/>
    </xf>
    <xf numFmtId="167" fontId="11" fillId="3" borderId="35" xfId="0" applyNumberFormat="1" applyFont="1" applyFill="1" applyBorder="1" applyAlignment="1">
      <alignment horizontal="center" vertical="center"/>
    </xf>
    <xf numFmtId="10" fontId="6" fillId="7" borderId="107" xfId="0" applyNumberFormat="1" applyFont="1" applyFill="1" applyBorder="1" applyAlignment="1" applyProtection="1">
      <alignment horizontal="center" vertical="center"/>
      <protection locked="0"/>
    </xf>
    <xf numFmtId="164" fontId="6" fillId="3" borderId="35" xfId="0" applyNumberFormat="1" applyFont="1" applyFill="1" applyBorder="1" applyAlignment="1">
      <alignment horizontal="center" vertical="center"/>
    </xf>
    <xf numFmtId="10" fontId="6" fillId="7" borderId="38" xfId="0" applyNumberFormat="1" applyFont="1" applyFill="1" applyBorder="1" applyAlignment="1" applyProtection="1">
      <alignment horizontal="center" vertical="center"/>
      <protection locked="0"/>
    </xf>
    <xf numFmtId="164" fontId="6" fillId="3" borderId="17" xfId="0" applyNumberFormat="1" applyFont="1" applyFill="1" applyBorder="1" applyAlignment="1">
      <alignment horizontal="center" vertical="center"/>
    </xf>
    <xf numFmtId="3" fontId="6" fillId="0" borderId="38" xfId="0" applyNumberFormat="1" applyFont="1" applyBorder="1" applyAlignment="1" applyProtection="1">
      <alignment horizontal="center" vertical="center"/>
      <protection hidden="1"/>
    </xf>
    <xf numFmtId="167" fontId="6" fillId="3" borderId="35" xfId="0" applyNumberFormat="1" applyFont="1" applyFill="1" applyBorder="1" applyAlignment="1" applyProtection="1">
      <alignment horizontal="center" vertical="center"/>
      <protection hidden="1"/>
    </xf>
    <xf numFmtId="167" fontId="6" fillId="3" borderId="17" xfId="0" applyNumberFormat="1" applyFont="1" applyFill="1" applyBorder="1" applyAlignment="1" applyProtection="1">
      <alignment horizontal="center" vertical="center"/>
      <protection hidden="1"/>
    </xf>
    <xf numFmtId="3" fontId="58" fillId="7" borderId="38" xfId="0" applyNumberFormat="1" applyFont="1" applyFill="1" applyBorder="1" applyAlignment="1" applyProtection="1">
      <alignment horizontal="center" vertical="center"/>
      <protection locked="0"/>
    </xf>
    <xf numFmtId="167" fontId="6" fillId="3" borderId="17" xfId="0" applyNumberFormat="1" applyFont="1" applyFill="1" applyBorder="1" applyAlignment="1">
      <alignment horizontal="center" vertical="center"/>
    </xf>
    <xf numFmtId="3" fontId="11" fillId="0" borderId="38" xfId="0" applyNumberFormat="1" applyFont="1" applyBorder="1" applyAlignment="1" applyProtection="1">
      <alignment horizontal="center" vertical="center"/>
      <protection hidden="1"/>
    </xf>
    <xf numFmtId="167" fontId="11" fillId="3" borderId="35" xfId="0" applyNumberFormat="1" applyFont="1" applyFill="1" applyBorder="1" applyAlignment="1" applyProtection="1">
      <alignment horizontal="center" vertical="center"/>
      <protection hidden="1"/>
    </xf>
    <xf numFmtId="167" fontId="11" fillId="3" borderId="17" xfId="0" applyNumberFormat="1" applyFont="1" applyFill="1" applyBorder="1" applyAlignment="1" applyProtection="1">
      <alignment horizontal="center" vertical="center"/>
      <protection hidden="1"/>
    </xf>
    <xf numFmtId="167" fontId="11" fillId="3" borderId="20" xfId="0" applyNumberFormat="1" applyFont="1" applyFill="1" applyBorder="1" applyAlignment="1" applyProtection="1">
      <alignment horizontal="center" vertical="center"/>
      <protection hidden="1"/>
    </xf>
    <xf numFmtId="167" fontId="11" fillId="3" borderId="20" xfId="0" applyNumberFormat="1" applyFont="1" applyFill="1" applyBorder="1" applyAlignment="1">
      <alignment horizontal="center" vertical="center"/>
    </xf>
    <xf numFmtId="3" fontId="11" fillId="7" borderId="38" xfId="0" applyNumberFormat="1" applyFont="1" applyFill="1" applyBorder="1" applyAlignment="1" applyProtection="1">
      <alignment horizontal="center" vertical="center"/>
      <protection locked="0"/>
    </xf>
    <xf numFmtId="3" fontId="6" fillId="0" borderId="39" xfId="0" applyNumberFormat="1" applyFont="1" applyBorder="1" applyAlignment="1">
      <alignment horizontal="center" vertical="center"/>
    </xf>
    <xf numFmtId="167" fontId="6" fillId="0" borderId="37" xfId="0" applyNumberFormat="1" applyFont="1" applyBorder="1" applyAlignment="1">
      <alignment horizontal="center" vertical="center"/>
    </xf>
    <xf numFmtId="3" fontId="11" fillId="0" borderId="50" xfId="0" applyNumberFormat="1" applyFont="1" applyBorder="1" applyAlignment="1">
      <alignment horizontal="center" vertical="center"/>
    </xf>
    <xf numFmtId="167" fontId="11" fillId="0" borderId="51" xfId="0" applyNumberFormat="1" applyFont="1" applyBorder="1" applyAlignment="1" applyProtection="1">
      <alignment horizontal="center" vertical="center"/>
      <protection hidden="1"/>
    </xf>
    <xf numFmtId="167" fontId="6" fillId="3" borderId="22" xfId="0" applyNumberFormat="1" applyFont="1" applyFill="1" applyBorder="1" applyAlignment="1" applyProtection="1">
      <alignment horizontal="center" vertical="center"/>
      <protection hidden="1"/>
    </xf>
    <xf numFmtId="3" fontId="6" fillId="7" borderId="21" xfId="0" applyNumberFormat="1" applyFont="1" applyFill="1" applyBorder="1" applyAlignment="1" applyProtection="1">
      <alignment horizontal="center" vertical="center"/>
      <protection locked="0"/>
    </xf>
    <xf numFmtId="167" fontId="6" fillId="3" borderId="37" xfId="0" applyNumberFormat="1" applyFont="1" applyFill="1" applyBorder="1" applyAlignment="1" applyProtection="1">
      <alignment horizontal="center" vertical="center"/>
      <protection hidden="1"/>
    </xf>
    <xf numFmtId="167" fontId="11" fillId="0" borderId="69" xfId="0" applyNumberFormat="1" applyFont="1" applyBorder="1" applyAlignment="1" applyProtection="1">
      <alignment horizontal="center" vertical="center"/>
      <protection hidden="1"/>
    </xf>
    <xf numFmtId="3" fontId="11" fillId="7" borderId="3" xfId="0" applyNumberFormat="1" applyFont="1" applyFill="1" applyBorder="1" applyAlignment="1" applyProtection="1">
      <alignment horizontal="center" vertical="center"/>
      <protection locked="0"/>
    </xf>
    <xf numFmtId="167" fontId="11" fillId="0" borderId="30" xfId="0" applyNumberFormat="1" applyFont="1" applyBorder="1" applyAlignment="1" applyProtection="1">
      <alignment horizontal="center" vertical="center"/>
      <protection hidden="1"/>
    </xf>
    <xf numFmtId="3" fontId="11" fillId="7" borderId="48" xfId="0" applyNumberFormat="1" applyFont="1" applyFill="1" applyBorder="1" applyAlignment="1" applyProtection="1">
      <alignment horizontal="center" vertical="center"/>
      <protection locked="0"/>
    </xf>
    <xf numFmtId="167" fontId="11" fillId="0" borderId="5" xfId="0" applyNumberFormat="1" applyFont="1" applyBorder="1" applyAlignment="1" applyProtection="1">
      <alignment horizontal="center" vertical="center"/>
      <protection hidden="1"/>
    </xf>
    <xf numFmtId="3" fontId="11" fillId="0" borderId="53" xfId="0" applyNumberFormat="1" applyFont="1" applyBorder="1" applyAlignment="1">
      <alignment horizontal="center" vertical="center"/>
    </xf>
    <xf numFmtId="167" fontId="11" fillId="0" borderId="33" xfId="0" applyNumberFormat="1" applyFont="1" applyBorder="1" applyAlignment="1" applyProtection="1">
      <alignment horizontal="center" vertical="center"/>
      <protection hidden="1"/>
    </xf>
    <xf numFmtId="167" fontId="6" fillId="3" borderId="57" xfId="0" applyNumberFormat="1" applyFont="1" applyFill="1" applyBorder="1" applyAlignment="1" applyProtection="1">
      <alignment horizontal="center" vertical="center"/>
      <protection hidden="1"/>
    </xf>
    <xf numFmtId="3" fontId="11" fillId="0" borderId="50" xfId="0" applyNumberFormat="1" applyFont="1" applyBorder="1" applyAlignment="1" applyProtection="1">
      <alignment horizontal="center" vertical="center"/>
      <protection hidden="1"/>
    </xf>
    <xf numFmtId="3" fontId="5" fillId="0" borderId="61" xfId="0" applyNumberFormat="1" applyFont="1" applyBorder="1" applyAlignment="1" applyProtection="1">
      <alignment horizontal="center" vertical="center"/>
      <protection hidden="1"/>
    </xf>
    <xf numFmtId="3" fontId="10" fillId="7" borderId="17" xfId="0" applyNumberFormat="1" applyFont="1" applyFill="1" applyBorder="1" applyAlignment="1" applyProtection="1">
      <alignment horizontal="center" vertical="center"/>
      <protection locked="0"/>
    </xf>
    <xf numFmtId="3" fontId="10" fillId="0" borderId="20" xfId="0" applyNumberFormat="1" applyFont="1" applyBorder="1" applyAlignment="1" applyProtection="1">
      <alignment horizontal="center" vertical="center"/>
      <protection hidden="1"/>
    </xf>
    <xf numFmtId="3" fontId="11" fillId="0" borderId="20" xfId="0" applyNumberFormat="1" applyFont="1" applyBorder="1" applyAlignment="1" applyProtection="1">
      <alignment horizontal="center" vertical="center"/>
      <protection hidden="1"/>
    </xf>
    <xf numFmtId="3" fontId="11" fillId="7" borderId="20" xfId="0" applyNumberFormat="1" applyFont="1" applyFill="1" applyBorder="1" applyAlignment="1" applyProtection="1">
      <alignment horizontal="center" vertical="center"/>
      <protection locked="0"/>
    </xf>
    <xf numFmtId="3" fontId="10" fillId="0" borderId="60" xfId="0" applyNumberFormat="1" applyFont="1" applyBorder="1" applyAlignment="1" applyProtection="1">
      <alignment horizontal="center" vertical="center"/>
      <protection hidden="1"/>
    </xf>
    <xf numFmtId="3" fontId="10" fillId="0" borderId="25" xfId="0" applyNumberFormat="1" applyFont="1" applyBorder="1" applyAlignment="1" applyProtection="1">
      <alignment horizontal="center" vertical="center"/>
      <protection hidden="1"/>
    </xf>
    <xf numFmtId="3" fontId="10" fillId="0" borderId="57" xfId="0" applyNumberFormat="1" applyFont="1" applyBorder="1" applyAlignment="1" applyProtection="1">
      <alignment horizontal="center" vertical="center"/>
      <protection hidden="1"/>
    </xf>
    <xf numFmtId="3" fontId="10" fillId="7" borderId="32" xfId="0" applyNumberFormat="1" applyFont="1" applyFill="1" applyBorder="1" applyAlignment="1" applyProtection="1">
      <alignment horizontal="center" vertical="center"/>
      <protection locked="0"/>
    </xf>
    <xf numFmtId="3" fontId="11" fillId="5" borderId="19" xfId="0" applyNumberFormat="1" applyFont="1" applyFill="1" applyBorder="1" applyAlignment="1" applyProtection="1">
      <alignment horizontal="center" vertical="center"/>
      <protection hidden="1"/>
    </xf>
    <xf numFmtId="3" fontId="10" fillId="7" borderId="60" xfId="0" applyNumberFormat="1" applyFont="1" applyFill="1" applyBorder="1" applyAlignment="1" applyProtection="1">
      <alignment horizontal="center" vertical="center"/>
      <protection locked="0"/>
    </xf>
    <xf numFmtId="3" fontId="10" fillId="5" borderId="17" xfId="0" applyNumberFormat="1" applyFont="1" applyFill="1" applyBorder="1" applyAlignment="1">
      <alignment horizontal="center" vertical="center"/>
    </xf>
    <xf numFmtId="3" fontId="10" fillId="5" borderId="36" xfId="0" applyNumberFormat="1" applyFont="1" applyFill="1" applyBorder="1" applyAlignment="1">
      <alignment horizontal="center" vertical="center"/>
    </xf>
    <xf numFmtId="3" fontId="11" fillId="7" borderId="36" xfId="0" applyNumberFormat="1" applyFont="1" applyFill="1" applyBorder="1" applyAlignment="1" applyProtection="1">
      <alignment horizontal="center" vertical="center"/>
      <protection locked="0"/>
    </xf>
    <xf numFmtId="3" fontId="11" fillId="7" borderId="37" xfId="0" applyNumberFormat="1" applyFont="1" applyFill="1" applyBorder="1" applyAlignment="1" applyProtection="1">
      <alignment horizontal="center" vertical="center"/>
      <protection locked="0"/>
    </xf>
    <xf numFmtId="3" fontId="5" fillId="0" borderId="49" xfId="0" applyNumberFormat="1" applyFont="1" applyBorder="1" applyAlignment="1" applyProtection="1">
      <alignment horizontal="center" vertical="center"/>
      <protection hidden="1"/>
    </xf>
    <xf numFmtId="3" fontId="5" fillId="0" borderId="51" xfId="0" applyNumberFormat="1" applyFont="1" applyBorder="1" applyAlignment="1" applyProtection="1">
      <alignment horizontal="center" vertical="center"/>
      <protection hidden="1"/>
    </xf>
    <xf numFmtId="167" fontId="59" fillId="0" borderId="17" xfId="0" applyNumberFormat="1" applyFont="1" applyBorder="1" applyAlignment="1" applyProtection="1">
      <alignment horizontal="center" vertical="center"/>
      <protection hidden="1"/>
    </xf>
    <xf numFmtId="167" fontId="59" fillId="0" borderId="35" xfId="0" applyNumberFormat="1" applyFont="1" applyBorder="1" applyAlignment="1" applyProtection="1">
      <alignment horizontal="center" vertical="center"/>
      <protection hidden="1"/>
    </xf>
    <xf numFmtId="164" fontId="59" fillId="0" borderId="17" xfId="0" applyNumberFormat="1" applyFont="1" applyBorder="1" applyAlignment="1" applyProtection="1">
      <alignment horizontal="center" vertical="center"/>
      <protection hidden="1"/>
    </xf>
    <xf numFmtId="164" fontId="59" fillId="0" borderId="35" xfId="0" applyNumberFormat="1" applyFont="1" applyBorder="1" applyAlignment="1" applyProtection="1">
      <alignment horizontal="center" vertical="center"/>
      <protection hidden="1"/>
    </xf>
    <xf numFmtId="3" fontId="10" fillId="7" borderId="35" xfId="0" applyNumberFormat="1" applyFont="1" applyFill="1" applyBorder="1" applyAlignment="1" applyProtection="1">
      <alignment horizontal="center" vertical="center"/>
      <protection locked="0"/>
    </xf>
    <xf numFmtId="3" fontId="10" fillId="7" borderId="36" xfId="0" applyNumberFormat="1" applyFont="1" applyFill="1" applyBorder="1" applyAlignment="1" applyProtection="1">
      <alignment horizontal="center" vertical="center"/>
      <protection locked="0"/>
    </xf>
    <xf numFmtId="3" fontId="10" fillId="0" borderId="56" xfId="0" applyNumberFormat="1" applyFont="1" applyBorder="1" applyAlignment="1" applyProtection="1">
      <alignment horizontal="center" vertical="center"/>
      <protection hidden="1"/>
    </xf>
    <xf numFmtId="3" fontId="5" fillId="0" borderId="32" xfId="0" applyNumberFormat="1" applyFont="1" applyBorder="1" applyAlignment="1" applyProtection="1">
      <alignment horizontal="center" vertical="center"/>
      <protection hidden="1"/>
    </xf>
    <xf numFmtId="3" fontId="5" fillId="0" borderId="114" xfId="0" applyNumberFormat="1" applyFont="1" applyBorder="1" applyAlignment="1" applyProtection="1">
      <alignment horizontal="center" vertical="center"/>
      <protection hidden="1"/>
    </xf>
    <xf numFmtId="3" fontId="11" fillId="0" borderId="44" xfId="0" applyNumberFormat="1" applyFont="1" applyBorder="1" applyAlignment="1" applyProtection="1">
      <alignment horizontal="center" vertical="center"/>
      <protection hidden="1"/>
    </xf>
    <xf numFmtId="3" fontId="11" fillId="0" borderId="67" xfId="0" applyNumberFormat="1" applyFont="1" applyBorder="1" applyAlignment="1" applyProtection="1">
      <alignment horizontal="center" vertical="center"/>
      <protection hidden="1"/>
    </xf>
    <xf numFmtId="3" fontId="11" fillId="0" borderId="23" xfId="0" applyNumberFormat="1" applyFont="1" applyBorder="1" applyAlignment="1" applyProtection="1">
      <alignment horizontal="center" vertical="center"/>
      <protection hidden="1"/>
    </xf>
    <xf numFmtId="3" fontId="11" fillId="9" borderId="32" xfId="0" applyNumberFormat="1" applyFont="1" applyFill="1" applyBorder="1" applyAlignment="1" applyProtection="1">
      <alignment horizontal="center" vertical="center"/>
      <protection hidden="1"/>
    </xf>
    <xf numFmtId="3" fontId="11" fillId="9" borderId="35" xfId="0" applyNumberFormat="1" applyFont="1" applyFill="1" applyBorder="1" applyAlignment="1" applyProtection="1">
      <alignment horizontal="center" vertical="center"/>
      <protection hidden="1"/>
    </xf>
    <xf numFmtId="3" fontId="5" fillId="0" borderId="20" xfId="0" applyNumberFormat="1" applyFont="1" applyBorder="1" applyAlignment="1" applyProtection="1">
      <alignment horizontal="center" vertical="center"/>
      <protection hidden="1"/>
    </xf>
    <xf numFmtId="164" fontId="14" fillId="0" borderId="17" xfId="0" applyNumberFormat="1" applyFont="1" applyBorder="1" applyAlignment="1" applyProtection="1">
      <alignment horizontal="center" vertical="center"/>
      <protection hidden="1"/>
    </xf>
    <xf numFmtId="3" fontId="5" fillId="7" borderId="17" xfId="0" applyNumberFormat="1" applyFont="1" applyFill="1" applyBorder="1" applyAlignment="1" applyProtection="1">
      <alignment horizontal="center" vertical="center"/>
      <protection locked="0"/>
    </xf>
    <xf numFmtId="3" fontId="5" fillId="7" borderId="20" xfId="0" applyNumberFormat="1" applyFont="1" applyFill="1" applyBorder="1" applyAlignment="1" applyProtection="1">
      <alignment horizontal="center" vertical="center"/>
      <protection locked="0"/>
    </xf>
    <xf numFmtId="3" fontId="5" fillId="7" borderId="35" xfId="0" applyNumberFormat="1" applyFont="1" applyFill="1" applyBorder="1" applyAlignment="1" applyProtection="1">
      <alignment horizontal="center" vertical="center"/>
      <protection locked="0"/>
    </xf>
    <xf numFmtId="3" fontId="11" fillId="0" borderId="17" xfId="0" applyNumberFormat="1" applyFont="1" applyBorder="1" applyAlignment="1">
      <alignment horizontal="center" vertical="center"/>
    </xf>
    <xf numFmtId="164" fontId="59" fillId="0" borderId="17" xfId="2" applyNumberFormat="1" applyFont="1" applyBorder="1" applyAlignment="1" applyProtection="1">
      <alignment horizontal="center" vertical="center"/>
      <protection hidden="1"/>
    </xf>
    <xf numFmtId="3" fontId="11" fillId="8" borderId="32" xfId="0" applyNumberFormat="1" applyFont="1" applyFill="1" applyBorder="1" applyAlignment="1" applyProtection="1">
      <alignment horizontal="center" vertical="center"/>
      <protection hidden="1"/>
    </xf>
    <xf numFmtId="3" fontId="11" fillId="8" borderId="35" xfId="0" applyNumberFormat="1" applyFont="1" applyFill="1" applyBorder="1" applyAlignment="1" applyProtection="1">
      <alignment horizontal="center" vertical="center"/>
      <protection hidden="1"/>
    </xf>
    <xf numFmtId="3" fontId="4" fillId="0" borderId="4" xfId="0" applyNumberFormat="1" applyFont="1" applyBorder="1" applyAlignment="1" applyProtection="1">
      <alignment horizontal="center" vertical="center"/>
      <protection hidden="1"/>
    </xf>
    <xf numFmtId="3" fontId="5" fillId="0" borderId="47" xfId="0" applyNumberFormat="1" applyFont="1" applyBorder="1" applyAlignment="1" applyProtection="1">
      <alignment horizontal="center" vertical="center"/>
      <protection hidden="1"/>
    </xf>
    <xf numFmtId="3" fontId="5" fillId="0" borderId="24" xfId="0" applyNumberFormat="1" applyFont="1" applyBorder="1" applyAlignment="1" applyProtection="1">
      <alignment horizontal="center" vertical="center"/>
      <protection hidden="1"/>
    </xf>
    <xf numFmtId="3" fontId="11" fillId="7" borderId="59" xfId="0" applyNumberFormat="1" applyFont="1" applyFill="1" applyBorder="1" applyAlignment="1" applyProtection="1">
      <alignment horizontal="center" vertical="center"/>
      <protection locked="0"/>
    </xf>
    <xf numFmtId="3" fontId="11" fillId="0" borderId="53" xfId="0" applyNumberFormat="1" applyFont="1" applyBorder="1" applyAlignment="1" applyProtection="1">
      <alignment horizontal="center" vertical="center"/>
      <protection hidden="1"/>
    </xf>
    <xf numFmtId="3" fontId="11" fillId="7" borderId="44" xfId="0" applyNumberFormat="1" applyFont="1" applyFill="1" applyBorder="1" applyAlignment="1" applyProtection="1">
      <alignment horizontal="center" vertical="center"/>
      <protection locked="0"/>
    </xf>
    <xf numFmtId="3" fontId="10" fillId="0" borderId="44" xfId="0" applyNumberFormat="1" applyFont="1" applyBorder="1" applyAlignment="1" applyProtection="1">
      <alignment horizontal="center" vertical="center"/>
      <protection hidden="1"/>
    </xf>
    <xf numFmtId="3" fontId="10" fillId="0" borderId="38" xfId="0" applyNumberFormat="1" applyFont="1" applyBorder="1" applyAlignment="1" applyProtection="1">
      <alignment horizontal="center" vertical="center"/>
      <protection hidden="1"/>
    </xf>
    <xf numFmtId="3" fontId="11" fillId="0" borderId="8" xfId="0" applyNumberFormat="1" applyFont="1" applyBorder="1" applyAlignment="1" applyProtection="1">
      <alignment horizontal="center" vertical="center"/>
      <protection hidden="1"/>
    </xf>
    <xf numFmtId="3" fontId="11" fillId="0" borderId="21" xfId="0" applyNumberFormat="1" applyFont="1" applyBorder="1" applyAlignment="1" applyProtection="1">
      <alignment horizontal="center" vertical="center"/>
      <protection hidden="1"/>
    </xf>
    <xf numFmtId="3" fontId="11" fillId="7" borderId="8" xfId="0" applyNumberFormat="1" applyFont="1" applyFill="1" applyBorder="1" applyAlignment="1" applyProtection="1">
      <alignment horizontal="center" vertical="center"/>
      <protection locked="0"/>
    </xf>
    <xf numFmtId="3" fontId="11" fillId="7" borderId="21" xfId="0" applyNumberFormat="1" applyFont="1" applyFill="1" applyBorder="1" applyAlignment="1" applyProtection="1">
      <alignment horizontal="center" vertical="center"/>
      <protection locked="0"/>
    </xf>
    <xf numFmtId="3" fontId="11" fillId="7" borderId="21" xfId="0" applyNumberFormat="1" applyFont="1" applyFill="1" applyBorder="1" applyAlignment="1" applyProtection="1">
      <alignment horizontal="center" vertical="center"/>
      <protection locked="0" hidden="1"/>
    </xf>
    <xf numFmtId="3" fontId="11" fillId="5" borderId="8" xfId="0" applyNumberFormat="1" applyFont="1" applyFill="1" applyBorder="1" applyAlignment="1">
      <alignment horizontal="center" vertical="center"/>
    </xf>
    <xf numFmtId="164" fontId="51" fillId="7" borderId="21" xfId="0" applyNumberFormat="1" applyFont="1" applyFill="1" applyBorder="1" applyAlignment="1" applyProtection="1">
      <alignment horizontal="center" vertical="center"/>
      <protection locked="0"/>
    </xf>
    <xf numFmtId="3" fontId="61" fillId="7" borderId="38" xfId="0" applyNumberFormat="1" applyFont="1" applyFill="1" applyBorder="1" applyAlignment="1" applyProtection="1">
      <alignment horizontal="center" vertical="center"/>
      <protection locked="0"/>
    </xf>
    <xf numFmtId="3" fontId="61" fillId="7" borderId="21" xfId="0" applyNumberFormat="1" applyFont="1" applyFill="1" applyBorder="1" applyAlignment="1" applyProtection="1">
      <alignment horizontal="center" vertical="center"/>
      <protection locked="0"/>
    </xf>
    <xf numFmtId="164" fontId="6" fillId="7" borderId="88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vertical="top"/>
      <protection hidden="1"/>
    </xf>
    <xf numFmtId="0" fontId="3" fillId="0" borderId="0" xfId="0" applyFont="1" applyAlignment="1" applyProtection="1">
      <alignment horizontal="left"/>
      <protection hidden="1"/>
    </xf>
    <xf numFmtId="0" fontId="10" fillId="0" borderId="0" xfId="0" applyFont="1" applyAlignment="1" applyProtection="1">
      <alignment horizontal="right" vertical="top" wrapText="1"/>
      <protection hidden="1"/>
    </xf>
    <xf numFmtId="3" fontId="11" fillId="7" borderId="53" xfId="0" applyNumberFormat="1" applyFont="1" applyFill="1" applyBorder="1" applyAlignment="1" applyProtection="1">
      <alignment horizontal="center" vertical="center"/>
      <protection locked="0"/>
    </xf>
    <xf numFmtId="3" fontId="11" fillId="5" borderId="2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0" fillId="0" borderId="0" xfId="0" applyAlignment="1" applyProtection="1">
      <alignment vertical="center"/>
      <protection hidden="1"/>
    </xf>
    <xf numFmtId="4" fontId="3" fillId="0" borderId="0" xfId="0" applyNumberFormat="1" applyFont="1" applyAlignment="1" applyProtection="1">
      <alignment vertical="center"/>
      <protection hidden="1"/>
    </xf>
    <xf numFmtId="0" fontId="11" fillId="0" borderId="45" xfId="0" applyFont="1" applyBorder="1" applyAlignment="1">
      <alignment horizontal="left" vertical="center"/>
    </xf>
    <xf numFmtId="0" fontId="11" fillId="0" borderId="46" xfId="0" applyFont="1" applyBorder="1" applyAlignment="1">
      <alignment horizontal="left" vertical="center"/>
    </xf>
    <xf numFmtId="0" fontId="10" fillId="0" borderId="45" xfId="0" applyFont="1" applyBorder="1" applyAlignment="1">
      <alignment horizontal="left" vertical="center"/>
    </xf>
    <xf numFmtId="0" fontId="11" fillId="0" borderId="76" xfId="0" applyFont="1" applyBorder="1" applyAlignment="1">
      <alignment horizontal="left" vertical="center"/>
    </xf>
    <xf numFmtId="0" fontId="11" fillId="0" borderId="77" xfId="0" applyFont="1" applyBorder="1" applyAlignment="1">
      <alignment horizontal="left" vertical="center"/>
    </xf>
    <xf numFmtId="3" fontId="11" fillId="5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>
      <alignment shrinkToFit="1"/>
    </xf>
    <xf numFmtId="3" fontId="11" fillId="0" borderId="0" xfId="0" applyNumberFormat="1" applyFont="1" applyAlignment="1" applyProtection="1">
      <alignment horizontal="center" vertical="center"/>
      <protection hidden="1"/>
    </xf>
    <xf numFmtId="3" fontId="11" fillId="0" borderId="2" xfId="0" applyNumberFormat="1" applyFont="1" applyBorder="1" applyAlignment="1" applyProtection="1">
      <alignment horizontal="center" vertical="center"/>
      <protection hidden="1"/>
    </xf>
    <xf numFmtId="0" fontId="10" fillId="0" borderId="0" xfId="0" applyFont="1" applyAlignment="1">
      <alignment vertical="top" wrapText="1"/>
    </xf>
    <xf numFmtId="0" fontId="5" fillId="0" borderId="12" xfId="0" applyFont="1" applyBorder="1" applyAlignment="1">
      <alignment horizontal="center"/>
    </xf>
    <xf numFmtId="0" fontId="0" fillId="0" borderId="9" xfId="0" applyBorder="1"/>
    <xf numFmtId="3" fontId="5" fillId="0" borderId="61" xfId="0" applyNumberFormat="1" applyFont="1" applyBorder="1" applyAlignment="1" applyProtection="1">
      <alignment horizontal="center"/>
      <protection hidden="1"/>
    </xf>
    <xf numFmtId="3" fontId="5" fillId="0" borderId="2" xfId="0" applyNumberFormat="1" applyFont="1" applyBorder="1" applyAlignment="1" applyProtection="1">
      <alignment horizontal="center"/>
      <protection hidden="1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right"/>
    </xf>
    <xf numFmtId="3" fontId="10" fillId="0" borderId="4" xfId="0" applyNumberFormat="1" applyFont="1" applyBorder="1" applyAlignment="1">
      <alignment horizontal="center"/>
    </xf>
    <xf numFmtId="3" fontId="10" fillId="0" borderId="4" xfId="0" applyNumberFormat="1" applyFont="1" applyBorder="1" applyAlignment="1" applyProtection="1">
      <alignment horizontal="center"/>
      <protection hidden="1"/>
    </xf>
    <xf numFmtId="3" fontId="5" fillId="0" borderId="62" xfId="0" applyNumberFormat="1" applyFont="1" applyBorder="1" applyAlignment="1" applyProtection="1">
      <alignment horizontal="center"/>
      <protection hidden="1"/>
    </xf>
    <xf numFmtId="3" fontId="5" fillId="0" borderId="63" xfId="0" applyNumberFormat="1" applyFont="1" applyBorder="1" applyAlignment="1" applyProtection="1">
      <alignment horizontal="center"/>
      <protection hidden="1"/>
    </xf>
    <xf numFmtId="0" fontId="4" fillId="0" borderId="27" xfId="0" applyFont="1" applyBorder="1" applyAlignment="1">
      <alignment horizontal="left"/>
    </xf>
    <xf numFmtId="0" fontId="0" fillId="0" borderId="27" xfId="0" applyBorder="1" applyAlignment="1">
      <alignment horizontal="center"/>
    </xf>
    <xf numFmtId="0" fontId="11" fillId="0" borderId="13" xfId="0" applyFont="1" applyBorder="1" applyAlignment="1">
      <alignment horizontal="center"/>
    </xf>
    <xf numFmtId="3" fontId="5" fillId="0" borderId="30" xfId="0" applyNumberFormat="1" applyFont="1" applyBorder="1" applyAlignment="1" applyProtection="1">
      <alignment horizontal="center"/>
      <protection hidden="1"/>
    </xf>
    <xf numFmtId="3" fontId="5" fillId="0" borderId="5" xfId="0" applyNumberFormat="1" applyFont="1" applyBorder="1" applyAlignment="1" applyProtection="1">
      <alignment horizontal="center"/>
      <protection hidden="1"/>
    </xf>
    <xf numFmtId="3" fontId="11" fillId="7" borderId="0" xfId="0" applyNumberFormat="1" applyFont="1" applyFill="1" applyAlignment="1" applyProtection="1">
      <alignment horizontal="center" vertical="center"/>
      <protection locked="0"/>
    </xf>
    <xf numFmtId="3" fontId="11" fillId="0" borderId="35" xfId="0" applyNumberFormat="1" applyFont="1" applyBorder="1" applyAlignment="1">
      <alignment horizontal="center" vertical="center"/>
    </xf>
    <xf numFmtId="3" fontId="3" fillId="5" borderId="48" xfId="0" applyNumberFormat="1" applyFont="1" applyFill="1" applyBorder="1" applyAlignment="1">
      <alignment horizontal="center" vertical="center"/>
    </xf>
    <xf numFmtId="3" fontId="3" fillId="5" borderId="29" xfId="0" applyNumberFormat="1" applyFont="1" applyFill="1" applyBorder="1" applyAlignment="1">
      <alignment horizontal="center" vertical="center"/>
    </xf>
    <xf numFmtId="3" fontId="3" fillId="7" borderId="30" xfId="0" applyNumberFormat="1" applyFont="1" applyFill="1" applyBorder="1" applyAlignment="1" applyProtection="1">
      <alignment horizontal="center" vertical="center"/>
      <protection locked="0"/>
    </xf>
    <xf numFmtId="3" fontId="3" fillId="0" borderId="123" xfId="0" applyNumberFormat="1" applyFont="1" applyBorder="1" applyAlignment="1" applyProtection="1">
      <alignment horizontal="center" vertical="center"/>
      <protection hidden="1"/>
    </xf>
    <xf numFmtId="0" fontId="3" fillId="0" borderId="123" xfId="0" applyFont="1" applyBorder="1" applyAlignment="1" applyProtection="1">
      <alignment vertical="center"/>
      <protection hidden="1"/>
    </xf>
    <xf numFmtId="164" fontId="51" fillId="0" borderId="8" xfId="0" applyNumberFormat="1" applyFont="1" applyBorder="1" applyAlignment="1" applyProtection="1">
      <alignment horizontal="center" vertical="center"/>
      <protection hidden="1"/>
    </xf>
    <xf numFmtId="164" fontId="61" fillId="0" borderId="8" xfId="0" applyNumberFormat="1" applyFont="1" applyBorder="1" applyAlignment="1" applyProtection="1">
      <alignment horizontal="center" vertical="center"/>
      <protection hidden="1"/>
    </xf>
    <xf numFmtId="164" fontId="59" fillId="7" borderId="17" xfId="2" applyNumberFormat="1" applyFont="1" applyFill="1" applyBorder="1" applyAlignment="1" applyProtection="1">
      <alignment horizontal="center" vertical="center"/>
      <protection locked="0"/>
    </xf>
    <xf numFmtId="164" fontId="59" fillId="7" borderId="20" xfId="2" applyNumberFormat="1" applyFont="1" applyFill="1" applyBorder="1" applyAlignment="1" applyProtection="1">
      <alignment horizontal="center" vertical="center"/>
      <protection locked="0"/>
    </xf>
    <xf numFmtId="164" fontId="59" fillId="7" borderId="35" xfId="2" applyNumberFormat="1" applyFont="1" applyFill="1" applyBorder="1" applyAlignment="1" applyProtection="1">
      <alignment horizontal="center" vertical="center"/>
      <protection locked="0"/>
    </xf>
    <xf numFmtId="164" fontId="59" fillId="7" borderId="17" xfId="0" applyNumberFormat="1" applyFont="1" applyFill="1" applyBorder="1" applyAlignment="1" applyProtection="1">
      <alignment horizontal="center" vertical="center"/>
      <protection locked="0"/>
    </xf>
    <xf numFmtId="164" fontId="59" fillId="7" borderId="35" xfId="0" applyNumberFormat="1" applyFont="1" applyFill="1" applyBorder="1" applyAlignment="1" applyProtection="1">
      <alignment horizontal="center" vertical="center"/>
      <protection locked="0"/>
    </xf>
    <xf numFmtId="166" fontId="59" fillId="0" borderId="17" xfId="0" applyNumberFormat="1" applyFont="1" applyBorder="1" applyAlignment="1" applyProtection="1">
      <alignment horizontal="center" vertical="center"/>
      <protection hidden="1"/>
    </xf>
    <xf numFmtId="167" fontId="59" fillId="7" borderId="17" xfId="0" applyNumberFormat="1" applyFont="1" applyFill="1" applyBorder="1" applyAlignment="1" applyProtection="1">
      <alignment horizontal="center" vertical="center"/>
      <protection locked="0"/>
    </xf>
    <xf numFmtId="167" fontId="59" fillId="7" borderId="35" xfId="0" applyNumberFormat="1" applyFont="1" applyFill="1" applyBorder="1" applyAlignment="1" applyProtection="1">
      <alignment horizontal="center" vertical="center"/>
      <protection locked="0"/>
    </xf>
    <xf numFmtId="164" fontId="59" fillId="0" borderId="19" xfId="2" applyNumberFormat="1" applyFont="1" applyBorder="1" applyAlignment="1" applyProtection="1">
      <alignment horizontal="center" vertical="center"/>
      <protection hidden="1"/>
    </xf>
    <xf numFmtId="164" fontId="59" fillId="7" borderId="19" xfId="2" applyNumberFormat="1" applyFont="1" applyFill="1" applyBorder="1" applyAlignment="1" applyProtection="1">
      <alignment horizontal="center" vertical="center"/>
      <protection locked="0"/>
    </xf>
    <xf numFmtId="164" fontId="59" fillId="7" borderId="22" xfId="2" applyNumberFormat="1" applyFont="1" applyFill="1" applyBorder="1" applyAlignment="1" applyProtection="1">
      <alignment horizontal="center" vertical="center"/>
      <protection locked="0"/>
    </xf>
    <xf numFmtId="164" fontId="59" fillId="0" borderId="17" xfId="2" applyNumberFormat="1" applyFont="1" applyBorder="1" applyAlignment="1" applyProtection="1">
      <alignment horizontal="center"/>
      <protection hidden="1"/>
    </xf>
    <xf numFmtId="164" fontId="59" fillId="0" borderId="35" xfId="2" applyNumberFormat="1" applyFont="1" applyBorder="1" applyAlignment="1" applyProtection="1">
      <alignment horizontal="center"/>
      <protection hidden="1"/>
    </xf>
    <xf numFmtId="0" fontId="6" fillId="0" borderId="143" xfId="0" applyFont="1" applyBorder="1" applyAlignment="1">
      <alignment horizontal="right" vertical="center"/>
    </xf>
    <xf numFmtId="0" fontId="6" fillId="0" borderId="144" xfId="0" applyFont="1" applyBorder="1" applyAlignment="1">
      <alignment horizontal="right" vertical="center"/>
    </xf>
    <xf numFmtId="0" fontId="73" fillId="0" borderId="72" xfId="0" applyFont="1" applyBorder="1" applyAlignment="1" applyProtection="1">
      <alignment horizontal="left" vertical="center"/>
      <protection hidden="1"/>
    </xf>
    <xf numFmtId="0" fontId="44" fillId="0" borderId="35" xfId="0" applyFont="1" applyBorder="1" applyAlignment="1" applyProtection="1">
      <alignment horizontal="center" vertical="center"/>
      <protection hidden="1"/>
    </xf>
    <xf numFmtId="0" fontId="51" fillId="0" borderId="0" xfId="0" applyFont="1" applyAlignment="1" applyProtection="1">
      <alignment horizontal="right"/>
      <protection hidden="1"/>
    </xf>
    <xf numFmtId="4" fontId="59" fillId="0" borderId="139" xfId="0" applyNumberFormat="1" applyFont="1" applyBorder="1" applyAlignment="1" applyProtection="1">
      <alignment horizontal="center"/>
      <protection hidden="1"/>
    </xf>
    <xf numFmtId="4" fontId="59" fillId="6" borderId="139" xfId="0" applyNumberFormat="1" applyFont="1" applyFill="1" applyBorder="1" applyAlignment="1" applyProtection="1">
      <alignment horizontal="center"/>
      <protection hidden="1"/>
    </xf>
    <xf numFmtId="0" fontId="59" fillId="0" borderId="0" xfId="0" applyFont="1" applyAlignment="1" applyProtection="1">
      <alignment horizontal="right"/>
      <protection hidden="1"/>
    </xf>
    <xf numFmtId="164" fontId="3" fillId="0" borderId="139" xfId="2" applyNumberFormat="1" applyFont="1" applyBorder="1" applyAlignment="1" applyProtection="1">
      <alignment horizontal="center"/>
      <protection hidden="1"/>
    </xf>
    <xf numFmtId="2" fontId="3" fillId="0" borderId="143" xfId="0" applyNumberFormat="1" applyFont="1" applyBorder="1" applyAlignment="1" applyProtection="1">
      <alignment horizontal="center" vertical="center"/>
      <protection hidden="1"/>
    </xf>
    <xf numFmtId="0" fontId="3" fillId="0" borderId="66" xfId="0" applyFont="1" applyBorder="1" applyAlignment="1">
      <alignment horizontal="center" vertical="center"/>
    </xf>
    <xf numFmtId="0" fontId="3" fillId="0" borderId="34" xfId="0" applyFont="1" applyBorder="1" applyAlignment="1">
      <alignment horizontal="center" vertical="center"/>
    </xf>
    <xf numFmtId="0" fontId="10" fillId="0" borderId="0" xfId="0" applyFont="1" applyAlignment="1" applyProtection="1">
      <alignment vertical="center"/>
      <protection hidden="1"/>
    </xf>
    <xf numFmtId="0" fontId="10" fillId="0" borderId="65" xfId="0" applyFont="1" applyBorder="1" applyAlignment="1">
      <alignment horizontal="right" vertical="center" indent="1"/>
    </xf>
    <xf numFmtId="0" fontId="11" fillId="0" borderId="138" xfId="0" applyFont="1" applyBorder="1" applyAlignment="1" applyProtection="1">
      <alignment horizontal="center"/>
      <protection hidden="1"/>
    </xf>
    <xf numFmtId="0" fontId="11" fillId="0" borderId="144" xfId="0" applyFont="1" applyBorder="1" applyAlignment="1" applyProtection="1">
      <alignment horizontal="center"/>
      <protection hidden="1"/>
    </xf>
    <xf numFmtId="0" fontId="21" fillId="0" borderId="0" xfId="0" applyFont="1" applyAlignment="1">
      <alignment horizontal="left" vertical="center"/>
    </xf>
    <xf numFmtId="3" fontId="3" fillId="0" borderId="122" xfId="0" applyNumberFormat="1" applyFont="1" applyBorder="1" applyAlignment="1" applyProtection="1">
      <alignment horizontal="center" vertical="center" wrapText="1"/>
      <protection hidden="1"/>
    </xf>
    <xf numFmtId="167" fontId="69" fillId="0" borderId="47" xfId="0" applyNumberFormat="1" applyFont="1" applyBorder="1" applyAlignment="1" applyProtection="1">
      <alignment horizontal="center" vertical="center"/>
      <protection hidden="1"/>
    </xf>
    <xf numFmtId="167" fontId="69" fillId="0" borderId="5" xfId="0" applyNumberFormat="1" applyFont="1" applyBorder="1" applyAlignment="1" applyProtection="1">
      <alignment horizontal="center" vertical="center"/>
      <protection hidden="1"/>
    </xf>
    <xf numFmtId="166" fontId="11" fillId="0" borderId="35" xfId="0" applyNumberFormat="1" applyFont="1" applyBorder="1" applyAlignment="1" applyProtection="1">
      <alignment horizontal="center"/>
      <protection hidden="1"/>
    </xf>
    <xf numFmtId="165" fontId="6" fillId="7" borderId="38" xfId="0" applyNumberFormat="1" applyFont="1" applyFill="1" applyBorder="1" applyAlignment="1" applyProtection="1">
      <alignment horizontal="center" vertical="center"/>
      <protection locked="0"/>
    </xf>
    <xf numFmtId="0" fontId="6" fillId="0" borderId="10" xfId="0" applyFont="1" applyBorder="1" applyAlignment="1">
      <alignment vertical="center"/>
    </xf>
    <xf numFmtId="0" fontId="10" fillId="0" borderId="64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6" fillId="0" borderId="14" xfId="0" applyFont="1" applyBorder="1" applyAlignment="1">
      <alignment vertical="center"/>
    </xf>
    <xf numFmtId="0" fontId="10" fillId="0" borderId="16" xfId="0" applyFont="1" applyBorder="1" applyAlignment="1">
      <alignment vertical="center"/>
    </xf>
    <xf numFmtId="0" fontId="10" fillId="0" borderId="4" xfId="0" applyFont="1" applyBorder="1" applyAlignment="1">
      <alignment vertical="center"/>
    </xf>
    <xf numFmtId="49" fontId="10" fillId="0" borderId="4" xfId="0" applyNumberFormat="1" applyFont="1" applyBorder="1" applyAlignment="1">
      <alignment horizontal="left" vertical="center"/>
    </xf>
    <xf numFmtId="49" fontId="10" fillId="0" borderId="4" xfId="0" applyNumberFormat="1" applyFont="1" applyBorder="1" applyAlignment="1" applyProtection="1">
      <alignment horizontal="left" vertical="center"/>
      <protection hidden="1"/>
    </xf>
    <xf numFmtId="0" fontId="5" fillId="0" borderId="16" xfId="0" applyFont="1" applyBorder="1" applyAlignment="1">
      <alignment vertical="center"/>
    </xf>
    <xf numFmtId="0" fontId="11" fillId="0" borderId="25" xfId="0" applyFont="1" applyBorder="1" applyAlignment="1">
      <alignment horizontal="right" vertical="center"/>
    </xf>
    <xf numFmtId="0" fontId="6" fillId="0" borderId="25" xfId="0" applyFont="1" applyBorder="1" applyAlignment="1">
      <alignment horizontal="right" vertical="center"/>
    </xf>
    <xf numFmtId="0" fontId="6" fillId="0" borderId="63" xfId="0" applyFont="1" applyBorder="1" applyAlignment="1">
      <alignment vertical="center"/>
    </xf>
    <xf numFmtId="4" fontId="3" fillId="6" borderId="139" xfId="0" applyNumberFormat="1" applyFont="1" applyFill="1" applyBorder="1" applyAlignment="1" applyProtection="1">
      <alignment horizontal="center"/>
      <protection hidden="1"/>
    </xf>
    <xf numFmtId="4" fontId="11" fillId="8" borderId="17" xfId="0" applyNumberFormat="1" applyFont="1" applyFill="1" applyBorder="1" applyAlignment="1" applyProtection="1">
      <alignment horizontal="center"/>
      <protection hidden="1"/>
    </xf>
    <xf numFmtId="0" fontId="75" fillId="0" borderId="0" xfId="0" applyFont="1" applyAlignment="1" applyProtection="1">
      <alignment horizontal="right"/>
      <protection hidden="1"/>
    </xf>
    <xf numFmtId="2" fontId="75" fillId="0" borderId="139" xfId="0" applyNumberFormat="1" applyFont="1" applyBorder="1" applyAlignment="1" applyProtection="1">
      <alignment horizontal="center" vertical="center"/>
      <protection hidden="1"/>
    </xf>
    <xf numFmtId="0" fontId="21" fillId="0" borderId="0" xfId="0" applyFont="1"/>
    <xf numFmtId="3" fontId="11" fillId="7" borderId="20" xfId="0" applyNumberFormat="1" applyFont="1" applyFill="1" applyBorder="1" applyAlignment="1" applyProtection="1">
      <alignment horizontal="center" vertical="center"/>
      <protection locked="0" hidden="1"/>
    </xf>
    <xf numFmtId="3" fontId="11" fillId="7" borderId="56" xfId="0" applyNumberFormat="1" applyFont="1" applyFill="1" applyBorder="1" applyAlignment="1" applyProtection="1">
      <alignment horizontal="center" vertical="center"/>
      <protection locked="0"/>
    </xf>
    <xf numFmtId="0" fontId="76" fillId="0" borderId="0" xfId="0" applyFont="1" applyProtection="1">
      <protection hidden="1"/>
    </xf>
    <xf numFmtId="167" fontId="76" fillId="0" borderId="0" xfId="0" applyNumberFormat="1" applyFont="1" applyAlignment="1">
      <alignment horizontal="left"/>
    </xf>
    <xf numFmtId="0" fontId="3" fillId="0" borderId="139" xfId="0" applyFont="1" applyBorder="1" applyAlignment="1" applyProtection="1">
      <alignment horizontal="center" vertical="center"/>
      <protection hidden="1"/>
    </xf>
    <xf numFmtId="0" fontId="5" fillId="0" borderId="25" xfId="0" applyFont="1" applyBorder="1" applyAlignment="1">
      <alignment horizontal="right" vertical="center"/>
    </xf>
    <xf numFmtId="0" fontId="5" fillId="0" borderId="55" xfId="0" applyFont="1" applyBorder="1" applyAlignment="1">
      <alignment horizontal="right" vertical="center"/>
    </xf>
    <xf numFmtId="167" fontId="6" fillId="3" borderId="10" xfId="0" applyNumberFormat="1" applyFont="1" applyFill="1" applyBorder="1" applyAlignment="1" applyProtection="1">
      <alignment vertical="center"/>
      <protection hidden="1"/>
    </xf>
    <xf numFmtId="164" fontId="6" fillId="7" borderId="38" xfId="0" applyNumberFormat="1" applyFont="1" applyFill="1" applyBorder="1" applyAlignment="1" applyProtection="1">
      <alignment horizontal="center" vertical="center"/>
      <protection locked="0"/>
    </xf>
    <xf numFmtId="0" fontId="78" fillId="0" borderId="23" xfId="0" applyFont="1" applyBorder="1" applyAlignment="1" applyProtection="1">
      <alignment vertical="center"/>
      <protection locked="0"/>
    </xf>
    <xf numFmtId="165" fontId="11" fillId="0" borderId="53" xfId="0" applyNumberFormat="1" applyFont="1" applyBorder="1" applyAlignment="1" applyProtection="1">
      <alignment horizontal="center" vertical="center"/>
      <protection hidden="1"/>
    </xf>
    <xf numFmtId="0" fontId="5" fillId="0" borderId="64" xfId="0" applyFont="1" applyBorder="1" applyAlignment="1">
      <alignment vertical="center"/>
    </xf>
    <xf numFmtId="3" fontId="5" fillId="0" borderId="50" xfId="0" applyNumberFormat="1" applyFont="1" applyBorder="1" applyAlignment="1" applyProtection="1">
      <alignment horizontal="center" vertical="center"/>
      <protection hidden="1"/>
    </xf>
    <xf numFmtId="165" fontId="0" fillId="0" borderId="44" xfId="0" applyNumberFormat="1" applyBorder="1" applyAlignment="1">
      <alignment horizontal="center" vertical="center"/>
    </xf>
    <xf numFmtId="165" fontId="2" fillId="0" borderId="10" xfId="0" applyNumberFormat="1" applyFont="1" applyBorder="1" applyAlignment="1">
      <alignment horizontal="center" vertical="center"/>
    </xf>
    <xf numFmtId="3" fontId="2" fillId="0" borderId="7" xfId="0" applyNumberFormat="1" applyFont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5" fillId="0" borderId="0" xfId="0" applyNumberFormat="1" applyFont="1" applyAlignment="1" applyProtection="1">
      <alignment horizontal="center" vertical="center"/>
      <protection hidden="1"/>
    </xf>
    <xf numFmtId="3" fontId="2" fillId="0" borderId="16" xfId="0" applyNumberFormat="1" applyFont="1" applyBorder="1" applyAlignment="1">
      <alignment horizontal="center" vertical="center"/>
    </xf>
    <xf numFmtId="3" fontId="10" fillId="0" borderId="0" xfId="0" applyNumberFormat="1" applyFont="1" applyAlignment="1" applyProtection="1">
      <alignment horizontal="center" vertical="center"/>
      <protection hidden="1"/>
    </xf>
    <xf numFmtId="170" fontId="0" fillId="0" borderId="44" xfId="0" applyNumberFormat="1" applyBorder="1" applyAlignment="1">
      <alignment horizontal="center" vertical="center"/>
    </xf>
    <xf numFmtId="170" fontId="2" fillId="0" borderId="10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Protection="1">
      <protection hidden="1"/>
    </xf>
    <xf numFmtId="0" fontId="11" fillId="0" borderId="10" xfId="0" applyFont="1" applyBorder="1" applyProtection="1">
      <protection hidden="1"/>
    </xf>
    <xf numFmtId="0" fontId="10" fillId="0" borderId="158" xfId="0" applyFont="1" applyBorder="1" applyProtection="1">
      <protection hidden="1"/>
    </xf>
    <xf numFmtId="1" fontId="11" fillId="0" borderId="17" xfId="0" applyNumberFormat="1" applyFont="1" applyBorder="1" applyAlignment="1" applyProtection="1">
      <alignment horizontal="center" vertical="center"/>
      <protection hidden="1"/>
    </xf>
    <xf numFmtId="166" fontId="11" fillId="0" borderId="17" xfId="2" applyNumberFormat="1" applyFont="1" applyBorder="1" applyAlignment="1" applyProtection="1">
      <alignment horizontal="center" vertical="center"/>
      <protection hidden="1"/>
    </xf>
    <xf numFmtId="3" fontId="6" fillId="0" borderId="44" xfId="0" applyNumberFormat="1" applyFont="1" applyBorder="1" applyAlignment="1" applyProtection="1">
      <alignment horizontal="center" vertical="center"/>
      <protection hidden="1"/>
    </xf>
    <xf numFmtId="3" fontId="2" fillId="5" borderId="17" xfId="0" applyNumberFormat="1" applyFont="1" applyFill="1" applyBorder="1" applyAlignment="1" applyProtection="1">
      <alignment horizontal="center" vertical="center"/>
      <protection hidden="1"/>
    </xf>
    <xf numFmtId="0" fontId="3" fillId="5" borderId="34" xfId="0" applyFont="1" applyFill="1" applyBorder="1" applyAlignment="1" applyProtection="1">
      <alignment horizontal="center" vertical="center"/>
      <protection hidden="1"/>
    </xf>
    <xf numFmtId="164" fontId="3" fillId="8" borderId="63" xfId="0" applyNumberFormat="1" applyFont="1" applyFill="1" applyBorder="1" applyAlignment="1" applyProtection="1">
      <alignment horizontal="center" vertical="center"/>
      <protection hidden="1"/>
    </xf>
    <xf numFmtId="164" fontId="3" fillId="7" borderId="6" xfId="0" applyNumberFormat="1" applyFont="1" applyFill="1" applyBorder="1" applyAlignment="1" applyProtection="1">
      <alignment horizontal="center" vertical="center"/>
      <protection locked="0"/>
    </xf>
    <xf numFmtId="0" fontId="3" fillId="0" borderId="124" xfId="0" applyFont="1" applyBorder="1" applyAlignment="1" applyProtection="1">
      <alignment horizontal="center" vertical="center"/>
      <protection hidden="1"/>
    </xf>
    <xf numFmtId="166" fontId="11" fillId="0" borderId="35" xfId="2" applyNumberFormat="1" applyFont="1" applyBorder="1" applyAlignment="1" applyProtection="1">
      <alignment horizontal="center" vertical="center"/>
      <protection hidden="1"/>
    </xf>
    <xf numFmtId="0" fontId="11" fillId="0" borderId="17" xfId="0" applyFont="1" applyBorder="1" applyAlignment="1" applyProtection="1">
      <alignment horizontal="center"/>
      <protection hidden="1"/>
    </xf>
    <xf numFmtId="0" fontId="11" fillId="0" borderId="10" xfId="0" applyFont="1" applyBorder="1" applyAlignment="1" applyProtection="1">
      <alignment horizontal="center"/>
      <protection hidden="1"/>
    </xf>
    <xf numFmtId="0" fontId="11" fillId="0" borderId="44" xfId="0" applyFont="1" applyBorder="1" applyAlignment="1" applyProtection="1">
      <alignment horizontal="center"/>
      <protection hidden="1"/>
    </xf>
    <xf numFmtId="0" fontId="10" fillId="0" borderId="10" xfId="0" applyFont="1" applyBorder="1" applyProtection="1">
      <protection hidden="1"/>
    </xf>
    <xf numFmtId="0" fontId="10" fillId="0" borderId="44" xfId="0" applyFont="1" applyBorder="1" applyProtection="1">
      <protection hidden="1"/>
    </xf>
    <xf numFmtId="0" fontId="0" fillId="0" borderId="10" xfId="0" applyBorder="1"/>
    <xf numFmtId="0" fontId="11" fillId="0" borderId="160" xfId="0" applyFont="1" applyBorder="1" applyProtection="1">
      <protection hidden="1"/>
    </xf>
    <xf numFmtId="17" fontId="11" fillId="0" borderId="0" xfId="0" applyNumberFormat="1" applyFont="1" applyAlignment="1">
      <alignment horizontal="center" vertical="center"/>
    </xf>
    <xf numFmtId="6" fontId="11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vertical="center"/>
    </xf>
    <xf numFmtId="0" fontId="6" fillId="0" borderId="19" xfId="0" applyFont="1" applyBorder="1" applyAlignment="1" applyProtection="1">
      <alignment vertical="center"/>
      <protection hidden="1"/>
    </xf>
    <xf numFmtId="0" fontId="6" fillId="0" borderId="18" xfId="0" applyFont="1" applyBorder="1" applyAlignment="1" applyProtection="1">
      <alignment vertical="center"/>
      <protection hidden="1"/>
    </xf>
    <xf numFmtId="0" fontId="6" fillId="0" borderId="21" xfId="0" applyFont="1" applyBorder="1" applyAlignment="1" applyProtection="1">
      <alignment horizontal="center" vertical="center"/>
      <protection hidden="1"/>
    </xf>
    <xf numFmtId="0" fontId="6" fillId="0" borderId="19" xfId="0" applyFont="1" applyBorder="1" applyAlignment="1" applyProtection="1">
      <alignment horizontal="center" vertical="center"/>
      <protection hidden="1"/>
    </xf>
    <xf numFmtId="0" fontId="6" fillId="0" borderId="19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6" fillId="0" borderId="8" xfId="0" applyFont="1" applyBorder="1" applyAlignment="1" applyProtection="1">
      <alignment horizontal="center" vertical="center"/>
      <protection hidden="1"/>
    </xf>
    <xf numFmtId="0" fontId="6" fillId="0" borderId="18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32" xfId="0" applyFont="1" applyBorder="1" applyAlignment="1" applyProtection="1">
      <alignment vertical="center"/>
      <protection hidden="1"/>
    </xf>
    <xf numFmtId="0" fontId="6" fillId="0" borderId="23" xfId="0" applyFont="1" applyBorder="1" applyAlignment="1" applyProtection="1">
      <alignment vertical="center"/>
      <protection hidden="1"/>
    </xf>
    <xf numFmtId="0" fontId="6" fillId="0" borderId="53" xfId="0" applyFont="1" applyBorder="1" applyAlignment="1" applyProtection="1">
      <alignment horizontal="center" vertical="center"/>
      <protection hidden="1"/>
    </xf>
    <xf numFmtId="0" fontId="6" fillId="0" borderId="32" xfId="0" applyFont="1" applyBorder="1" applyAlignment="1" applyProtection="1">
      <alignment horizontal="center" vertical="center"/>
      <protection hidden="1"/>
    </xf>
    <xf numFmtId="0" fontId="6" fillId="0" borderId="32" xfId="0" applyFont="1" applyBorder="1" applyAlignment="1">
      <alignment horizontal="center" vertical="center"/>
    </xf>
    <xf numFmtId="0" fontId="6" fillId="0" borderId="33" xfId="0" applyFont="1" applyBorder="1" applyAlignment="1">
      <alignment horizontal="center" vertical="center"/>
    </xf>
    <xf numFmtId="0" fontId="6" fillId="0" borderId="59" xfId="0" applyFont="1" applyBorder="1" applyAlignment="1" applyProtection="1">
      <alignment horizontal="center" vertical="center"/>
      <protection hidden="1"/>
    </xf>
    <xf numFmtId="0" fontId="6" fillId="0" borderId="53" xfId="0" applyFont="1" applyBorder="1" applyAlignment="1">
      <alignment horizontal="center" vertical="center"/>
    </xf>
    <xf numFmtId="0" fontId="6" fillId="0" borderId="17" xfId="0" applyFont="1" applyBorder="1" applyAlignment="1" applyProtection="1">
      <alignment horizontal="center" vertical="center"/>
      <protection hidden="1"/>
    </xf>
    <xf numFmtId="0" fontId="6" fillId="0" borderId="20" xfId="0" applyFont="1" applyBorder="1" applyAlignment="1" applyProtection="1">
      <alignment horizontal="center" vertical="center"/>
      <protection hidden="1"/>
    </xf>
    <xf numFmtId="10" fontId="3" fillId="5" borderId="17" xfId="2" applyNumberFormat="1" applyFont="1" applyFill="1" applyBorder="1" applyAlignment="1" applyProtection="1">
      <alignment horizontal="center" vertical="center"/>
      <protection hidden="1"/>
    </xf>
    <xf numFmtId="10" fontId="3" fillId="5" borderId="19" xfId="2" applyNumberFormat="1" applyFont="1" applyFill="1" applyBorder="1" applyAlignment="1" applyProtection="1">
      <alignment horizontal="center" vertical="center"/>
      <protection hidden="1"/>
    </xf>
    <xf numFmtId="10" fontId="3" fillId="7" borderId="19" xfId="0" applyNumberFormat="1" applyFont="1" applyFill="1" applyBorder="1" applyAlignment="1">
      <alignment horizontal="center" vertical="center"/>
    </xf>
    <xf numFmtId="10" fontId="3" fillId="5" borderId="19" xfId="0" applyNumberFormat="1" applyFont="1" applyFill="1" applyBorder="1" applyAlignment="1">
      <alignment horizontal="center" vertical="center"/>
    </xf>
    <xf numFmtId="10" fontId="6" fillId="5" borderId="35" xfId="0" applyNumberFormat="1" applyFont="1" applyFill="1" applyBorder="1" applyAlignment="1">
      <alignment horizontal="center" vertical="center"/>
    </xf>
    <xf numFmtId="10" fontId="3" fillId="5" borderId="17" xfId="0" applyNumberFormat="1" applyFont="1" applyFill="1" applyBorder="1" applyAlignment="1">
      <alignment horizontal="center" vertical="center"/>
    </xf>
    <xf numFmtId="10" fontId="3" fillId="7" borderId="17" xfId="0" applyNumberFormat="1" applyFont="1" applyFill="1" applyBorder="1" applyAlignment="1">
      <alignment horizontal="center" vertical="center"/>
    </xf>
    <xf numFmtId="10" fontId="6" fillId="5" borderId="20" xfId="0" applyNumberFormat="1" applyFont="1" applyFill="1" applyBorder="1" applyAlignment="1">
      <alignment horizontal="center" vertical="center"/>
    </xf>
    <xf numFmtId="10" fontId="0" fillId="5" borderId="38" xfId="0" applyNumberFormat="1" applyFill="1" applyBorder="1"/>
    <xf numFmtId="10" fontId="6" fillId="5" borderId="17" xfId="0" applyNumberFormat="1" applyFont="1" applyFill="1" applyBorder="1" applyAlignment="1">
      <alignment horizontal="center" vertical="center"/>
    </xf>
    <xf numFmtId="10" fontId="0" fillId="5" borderId="35" xfId="0" applyNumberFormat="1" applyFill="1" applyBorder="1"/>
    <xf numFmtId="3" fontId="6" fillId="0" borderId="17" xfId="0" applyNumberFormat="1" applyFont="1" applyBorder="1" applyAlignment="1" applyProtection="1">
      <alignment horizontal="center" vertical="center"/>
      <protection hidden="1"/>
    </xf>
    <xf numFmtId="164" fontId="6" fillId="0" borderId="17" xfId="2" applyNumberFormat="1" applyFont="1" applyFill="1" applyBorder="1" applyAlignment="1" applyProtection="1">
      <alignment horizontal="center" vertical="center"/>
      <protection hidden="1"/>
    </xf>
    <xf numFmtId="3" fontId="6" fillId="5" borderId="19" xfId="2" applyNumberFormat="1" applyFont="1" applyFill="1" applyBorder="1" applyAlignment="1">
      <alignment horizontal="center" vertical="center"/>
    </xf>
    <xf numFmtId="3" fontId="79" fillId="0" borderId="35" xfId="2" applyNumberFormat="1" applyFont="1" applyBorder="1" applyAlignment="1" applyProtection="1">
      <alignment horizontal="center" vertical="center"/>
      <protection locked="0"/>
    </xf>
    <xf numFmtId="3" fontId="6" fillId="5" borderId="17" xfId="0" applyNumberFormat="1" applyFont="1" applyFill="1" applyBorder="1" applyAlignment="1">
      <alignment horizontal="center" vertical="center"/>
    </xf>
    <xf numFmtId="3" fontId="6" fillId="0" borderId="17" xfId="0" applyNumberFormat="1" applyFont="1" applyBorder="1" applyAlignment="1">
      <alignment horizontal="center" vertical="center"/>
    </xf>
    <xf numFmtId="3" fontId="6" fillId="0" borderId="35" xfId="0" applyNumberFormat="1" applyFont="1" applyBorder="1" applyAlignment="1">
      <alignment horizontal="center" vertical="center"/>
    </xf>
    <xf numFmtId="3" fontId="6" fillId="5" borderId="17" xfId="2" applyNumberFormat="1" applyFont="1" applyFill="1" applyBorder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3" fontId="54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>
      <alignment horizontal="left" vertical="center"/>
    </xf>
    <xf numFmtId="164" fontId="5" fillId="0" borderId="0" xfId="2" applyNumberFormat="1" applyFont="1" applyFill="1" applyBorder="1" applyAlignment="1" applyProtection="1">
      <alignment horizontal="right"/>
      <protection hidden="1"/>
    </xf>
    <xf numFmtId="10" fontId="5" fillId="0" borderId="0" xfId="2" applyNumberFormat="1" applyFont="1" applyFill="1" applyBorder="1" applyAlignment="1" applyProtection="1">
      <alignment horizontal="right"/>
      <protection hidden="1"/>
    </xf>
    <xf numFmtId="164" fontId="39" fillId="0" borderId="0" xfId="2" applyNumberFormat="1" applyFont="1" applyFill="1" applyBorder="1" applyAlignment="1" applyProtection="1">
      <alignment horizontal="center"/>
    </xf>
    <xf numFmtId="164" fontId="5" fillId="0" borderId="0" xfId="0" applyNumberFormat="1" applyFont="1"/>
    <xf numFmtId="3" fontId="39" fillId="0" borderId="0" xfId="2" applyNumberFormat="1" applyFont="1" applyFill="1" applyBorder="1" applyAlignment="1" applyProtection="1">
      <alignment horizontal="center"/>
    </xf>
    <xf numFmtId="166" fontId="4" fillId="0" borderId="0" xfId="0" applyNumberFormat="1" applyFont="1"/>
    <xf numFmtId="0" fontId="4" fillId="0" borderId="0" xfId="0" applyFont="1" applyAlignment="1">
      <alignment horizontal="right"/>
    </xf>
    <xf numFmtId="0" fontId="5" fillId="0" borderId="0" xfId="0" applyFont="1" applyAlignment="1" applyProtection="1">
      <alignment horizontal="left"/>
      <protection hidden="1"/>
    </xf>
    <xf numFmtId="10" fontId="5" fillId="0" borderId="0" xfId="2" applyNumberFormat="1" applyFont="1" applyFill="1" applyBorder="1" applyAlignment="1" applyProtection="1">
      <alignment horizontal="right"/>
    </xf>
    <xf numFmtId="0" fontId="5" fillId="0" borderId="0" xfId="0" applyFont="1" applyAlignment="1" applyProtection="1">
      <alignment horizontal="right"/>
      <protection hidden="1"/>
    </xf>
    <xf numFmtId="3" fontId="5" fillId="0" borderId="0" xfId="2" applyNumberFormat="1" applyFont="1" applyFill="1" applyBorder="1" applyAlignment="1" applyProtection="1">
      <alignment horizontal="right"/>
    </xf>
    <xf numFmtId="164" fontId="4" fillId="0" borderId="0" xfId="2" applyNumberFormat="1" applyFont="1" applyFill="1" applyBorder="1" applyAlignment="1" applyProtection="1">
      <alignment horizontal="right"/>
    </xf>
    <xf numFmtId="10" fontId="4" fillId="0" borderId="0" xfId="2" applyNumberFormat="1" applyFont="1" applyFill="1" applyBorder="1" applyAlignment="1" applyProtection="1">
      <alignment horizontal="right"/>
    </xf>
    <xf numFmtId="164" fontId="5" fillId="0" borderId="0" xfId="2" applyNumberFormat="1" applyFont="1" applyFill="1" applyBorder="1" applyAlignment="1" applyProtection="1">
      <alignment horizontal="right"/>
    </xf>
    <xf numFmtId="10" fontId="4" fillId="0" borderId="0" xfId="0" applyNumberFormat="1" applyFont="1" applyAlignment="1">
      <alignment horizontal="right"/>
    </xf>
    <xf numFmtId="10" fontId="46" fillId="0" borderId="0" xfId="2" applyNumberFormat="1" applyFont="1" applyFill="1" applyBorder="1" applyProtection="1"/>
    <xf numFmtId="164" fontId="5" fillId="0" borderId="0" xfId="2" applyNumberFormat="1" applyFont="1" applyFill="1" applyBorder="1" applyProtection="1"/>
    <xf numFmtId="167" fontId="3" fillId="0" borderId="161" xfId="0" applyNumberFormat="1" applyFont="1" applyBorder="1" applyAlignment="1" applyProtection="1">
      <alignment horizontal="center" vertical="center"/>
      <protection hidden="1"/>
    </xf>
    <xf numFmtId="0" fontId="6" fillId="0" borderId="162" xfId="0" applyFont="1" applyBorder="1" applyAlignment="1" applyProtection="1">
      <alignment horizontal="center" vertical="center"/>
      <protection hidden="1"/>
    </xf>
    <xf numFmtId="167" fontId="6" fillId="0" borderId="162" xfId="0" applyNumberFormat="1" applyFont="1" applyBorder="1" applyAlignment="1" applyProtection="1">
      <alignment horizontal="center" vertical="center"/>
      <protection hidden="1"/>
    </xf>
    <xf numFmtId="0" fontId="6" fillId="0" borderId="67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9" fontId="10" fillId="0" borderId="24" xfId="0" applyNumberFormat="1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left" vertical="top" wrapText="1"/>
      <protection hidden="1"/>
    </xf>
    <xf numFmtId="0" fontId="11" fillId="13" borderId="34" xfId="0" applyFont="1" applyFill="1" applyBorder="1" applyAlignment="1">
      <alignment horizontal="center" vertical="center"/>
    </xf>
    <xf numFmtId="0" fontId="11" fillId="13" borderId="26" xfId="0" applyFont="1" applyFill="1" applyBorder="1" applyAlignment="1">
      <alignment horizontal="center" vertical="center"/>
    </xf>
    <xf numFmtId="49" fontId="83" fillId="13" borderId="13" xfId="0" applyNumberFormat="1" applyFont="1" applyFill="1" applyBorder="1" applyAlignment="1">
      <alignment horizontal="center"/>
    </xf>
    <xf numFmtId="0" fontId="83" fillId="13" borderId="26" xfId="0" applyFont="1" applyFill="1" applyBorder="1" applyAlignment="1">
      <alignment horizontal="center"/>
    </xf>
    <xf numFmtId="0" fontId="80" fillId="13" borderId="2" xfId="0" applyFont="1" applyFill="1" applyBorder="1"/>
    <xf numFmtId="0" fontId="80" fillId="13" borderId="9" xfId="0" applyFont="1" applyFill="1" applyBorder="1"/>
    <xf numFmtId="0" fontId="85" fillId="13" borderId="29" xfId="0" applyFont="1" applyFill="1" applyBorder="1" applyAlignment="1" applyProtection="1">
      <alignment horizontal="center" vertical="center"/>
      <protection hidden="1"/>
    </xf>
    <xf numFmtId="0" fontId="85" fillId="13" borderId="55" xfId="0" applyFont="1" applyFill="1" applyBorder="1" applyAlignment="1" applyProtection="1">
      <alignment horizontal="center" vertical="center"/>
      <protection hidden="1"/>
    </xf>
    <xf numFmtId="0" fontId="85" fillId="13" borderId="30" xfId="0" applyFont="1" applyFill="1" applyBorder="1" applyAlignment="1" applyProtection="1">
      <alignment horizontal="center" vertical="center"/>
      <protection hidden="1"/>
    </xf>
    <xf numFmtId="0" fontId="80" fillId="13" borderId="0" xfId="0" applyFont="1" applyFill="1"/>
    <xf numFmtId="0" fontId="62" fillId="13" borderId="60" xfId="0" applyFont="1" applyFill="1" applyBorder="1" applyAlignment="1" applyProtection="1">
      <alignment horizontal="center" vertical="center"/>
      <protection hidden="1"/>
    </xf>
    <xf numFmtId="0" fontId="62" fillId="13" borderId="152" xfId="0" applyFont="1" applyFill="1" applyBorder="1" applyAlignment="1" applyProtection="1">
      <alignment horizontal="center" vertical="center"/>
      <protection hidden="1"/>
    </xf>
    <xf numFmtId="0" fontId="80" fillId="13" borderId="102" xfId="0" applyFont="1" applyFill="1" applyBorder="1" applyAlignment="1">
      <alignment horizontal="center"/>
    </xf>
    <xf numFmtId="0" fontId="80" fillId="13" borderId="103" xfId="0" applyFont="1" applyFill="1" applyBorder="1"/>
    <xf numFmtId="0" fontId="80" fillId="13" borderId="109" xfId="0" applyFont="1" applyFill="1" applyBorder="1"/>
    <xf numFmtId="0" fontId="85" fillId="13" borderId="110" xfId="0" applyFont="1" applyFill="1" applyBorder="1" applyAlignment="1" applyProtection="1">
      <alignment horizontal="center"/>
      <protection hidden="1"/>
    </xf>
    <xf numFmtId="0" fontId="85" fillId="13" borderId="111" xfId="0" applyFont="1" applyFill="1" applyBorder="1" applyAlignment="1" applyProtection="1">
      <alignment horizontal="center"/>
      <protection hidden="1"/>
    </xf>
    <xf numFmtId="0" fontId="85" fillId="13" borderId="112" xfId="0" applyFont="1" applyFill="1" applyBorder="1" applyAlignment="1" applyProtection="1">
      <alignment horizontal="center"/>
      <protection hidden="1"/>
    </xf>
    <xf numFmtId="0" fontId="84" fillId="13" borderId="0" xfId="0" applyFont="1" applyFill="1" applyAlignment="1">
      <alignment horizontal="left"/>
    </xf>
    <xf numFmtId="0" fontId="84" fillId="13" borderId="31" xfId="0" applyFont="1" applyFill="1" applyBorder="1" applyAlignment="1">
      <alignment horizontal="left"/>
    </xf>
    <xf numFmtId="1" fontId="62" fillId="13" borderId="60" xfId="0" applyNumberFormat="1" applyFont="1" applyFill="1" applyBorder="1" applyAlignment="1" applyProtection="1">
      <alignment horizontal="center"/>
      <protection hidden="1"/>
    </xf>
    <xf numFmtId="1" fontId="62" fillId="13" borderId="25" xfId="0" applyNumberFormat="1" applyFont="1" applyFill="1" applyBorder="1" applyAlignment="1" applyProtection="1">
      <alignment horizontal="center"/>
      <protection hidden="1"/>
    </xf>
    <xf numFmtId="1" fontId="62" fillId="13" borderId="152" xfId="0" applyNumberFormat="1" applyFont="1" applyFill="1" applyBorder="1" applyAlignment="1" applyProtection="1">
      <alignment horizontal="center"/>
      <protection hidden="1"/>
    </xf>
    <xf numFmtId="0" fontId="86" fillId="13" borderId="105" xfId="0" applyFont="1" applyFill="1" applyBorder="1" applyAlignment="1">
      <alignment horizontal="center"/>
    </xf>
    <xf numFmtId="0" fontId="86" fillId="13" borderId="106" xfId="0" applyFont="1" applyFill="1" applyBorder="1"/>
    <xf numFmtId="0" fontId="80" fillId="13" borderId="113" xfId="0" applyFont="1" applyFill="1" applyBorder="1"/>
    <xf numFmtId="168" fontId="83" fillId="13" borderId="60" xfId="0" applyNumberFormat="1" applyFont="1" applyFill="1" applyBorder="1" applyAlignment="1">
      <alignment horizontal="center" vertical="center"/>
    </xf>
    <xf numFmtId="168" fontId="83" fillId="13" borderId="25" xfId="0" applyNumberFormat="1" applyFont="1" applyFill="1" applyBorder="1" applyAlignment="1">
      <alignment horizontal="center" vertical="center"/>
    </xf>
    <xf numFmtId="168" fontId="83" fillId="13" borderId="57" xfId="0" applyNumberFormat="1" applyFont="1" applyFill="1" applyBorder="1" applyAlignment="1">
      <alignment horizontal="center" vertical="center"/>
    </xf>
    <xf numFmtId="168" fontId="83" fillId="13" borderId="153" xfId="0" applyNumberFormat="1" applyFont="1" applyFill="1" applyBorder="1" applyAlignment="1">
      <alignment horizontal="center"/>
    </xf>
    <xf numFmtId="168" fontId="83" fillId="13" borderId="154" xfId="0" applyNumberFormat="1" applyFont="1" applyFill="1" applyBorder="1" applyAlignment="1">
      <alignment horizontal="center"/>
    </xf>
    <xf numFmtId="168" fontId="83" fillId="13" borderId="155" xfId="0" applyNumberFormat="1" applyFont="1" applyFill="1" applyBorder="1" applyAlignment="1">
      <alignment horizontal="center"/>
    </xf>
    <xf numFmtId="0" fontId="87" fillId="13" borderId="64" xfId="0" applyFont="1" applyFill="1" applyBorder="1" applyAlignment="1">
      <alignment horizontal="center" vertical="center"/>
    </xf>
    <xf numFmtId="0" fontId="87" fillId="13" borderId="64" xfId="0" applyFont="1" applyFill="1" applyBorder="1" applyAlignment="1">
      <alignment horizontal="center" vertical="center" wrapText="1"/>
    </xf>
    <xf numFmtId="0" fontId="85" fillId="13" borderId="64" xfId="0" applyFont="1" applyFill="1" applyBorder="1" applyAlignment="1">
      <alignment horizontal="center" vertical="center"/>
    </xf>
    <xf numFmtId="3" fontId="87" fillId="13" borderId="64" xfId="0" applyNumberFormat="1" applyFont="1" applyFill="1" applyBorder="1" applyAlignment="1" applyProtection="1">
      <alignment horizontal="center" vertical="center"/>
      <protection hidden="1"/>
    </xf>
    <xf numFmtId="3" fontId="87" fillId="13" borderId="53" xfId="0" applyNumberFormat="1" applyFont="1" applyFill="1" applyBorder="1" applyAlignment="1" applyProtection="1">
      <alignment horizontal="center" vertical="center"/>
      <protection hidden="1"/>
    </xf>
    <xf numFmtId="3" fontId="87" fillId="13" borderId="16" xfId="0" applyNumberFormat="1" applyFont="1" applyFill="1" applyBorder="1" applyAlignment="1" applyProtection="1">
      <alignment horizontal="center" vertical="center"/>
      <protection hidden="1"/>
    </xf>
    <xf numFmtId="3" fontId="87" fillId="13" borderId="23" xfId="0" applyNumberFormat="1" applyFont="1" applyFill="1" applyBorder="1" applyAlignment="1" applyProtection="1">
      <alignment horizontal="center" vertical="center"/>
      <protection hidden="1"/>
    </xf>
    <xf numFmtId="3" fontId="87" fillId="13" borderId="33" xfId="0" applyNumberFormat="1" applyFont="1" applyFill="1" applyBorder="1" applyAlignment="1" applyProtection="1">
      <alignment horizontal="center" vertical="center"/>
      <protection hidden="1"/>
    </xf>
    <xf numFmtId="3" fontId="85" fillId="13" borderId="4" xfId="0" applyNumberFormat="1" applyFont="1" applyFill="1" applyBorder="1" applyAlignment="1" applyProtection="1">
      <alignment vertical="center"/>
      <protection hidden="1"/>
    </xf>
    <xf numFmtId="0" fontId="85" fillId="13" borderId="4" xfId="0" applyFont="1" applyFill="1" applyBorder="1" applyAlignment="1" applyProtection="1">
      <alignment vertical="center"/>
      <protection hidden="1"/>
    </xf>
    <xf numFmtId="0" fontId="85" fillId="13" borderId="4" xfId="0" applyFont="1" applyFill="1" applyBorder="1" applyAlignment="1" applyProtection="1">
      <alignment horizontal="center" vertical="center"/>
      <protection hidden="1"/>
    </xf>
    <xf numFmtId="0" fontId="85" fillId="13" borderId="39" xfId="0" applyFont="1" applyFill="1" applyBorder="1" applyAlignment="1">
      <alignment horizontal="center" vertical="center"/>
    </xf>
    <xf numFmtId="0" fontId="85" fillId="13" borderId="14" xfId="0" applyFont="1" applyFill="1" applyBorder="1" applyAlignment="1">
      <alignment horizontal="center" vertical="center"/>
    </xf>
    <xf numFmtId="0" fontId="85" fillId="13" borderId="37" xfId="0" applyFont="1" applyFill="1" applyBorder="1" applyAlignment="1">
      <alignment horizontal="center" vertical="center"/>
    </xf>
    <xf numFmtId="0" fontId="83" fillId="13" borderId="41" xfId="0" applyFont="1" applyFill="1" applyBorder="1" applyAlignment="1" applyProtection="1">
      <alignment horizontal="center"/>
      <protection hidden="1"/>
    </xf>
    <xf numFmtId="0" fontId="83" fillId="13" borderId="33" xfId="0" applyFont="1" applyFill="1" applyBorder="1" applyAlignment="1" applyProtection="1">
      <alignment horizontal="center"/>
      <protection hidden="1"/>
    </xf>
    <xf numFmtId="0" fontId="81" fillId="13" borderId="42" xfId="0" applyFont="1" applyFill="1" applyBorder="1" applyAlignment="1">
      <alignment horizontal="center" vertical="center" wrapText="1"/>
    </xf>
    <xf numFmtId="0" fontId="82" fillId="13" borderId="108" xfId="0" applyFont="1" applyFill="1" applyBorder="1" applyAlignment="1">
      <alignment horizontal="right" vertical="center" wrapText="1"/>
    </xf>
    <xf numFmtId="0" fontId="5" fillId="4" borderId="63" xfId="0" applyFont="1" applyFill="1" applyBorder="1" applyAlignment="1" applyProtection="1">
      <alignment horizontal="right" vertical="center"/>
      <protection hidden="1"/>
    </xf>
    <xf numFmtId="0" fontId="5" fillId="4" borderId="4" xfId="0" applyFont="1" applyFill="1" applyBorder="1" applyAlignment="1" applyProtection="1">
      <alignment vertical="center"/>
      <protection hidden="1"/>
    </xf>
    <xf numFmtId="3" fontId="5" fillId="4" borderId="3" xfId="0" applyNumberFormat="1" applyFont="1" applyFill="1" applyBorder="1" applyAlignment="1" applyProtection="1">
      <alignment horizontal="center" vertical="center"/>
      <protection hidden="1"/>
    </xf>
    <xf numFmtId="3" fontId="5" fillId="4" borderId="5" xfId="0" applyNumberFormat="1" applyFont="1" applyFill="1" applyBorder="1" applyAlignment="1" applyProtection="1">
      <alignment horizontal="center" vertical="center"/>
      <protection hidden="1"/>
    </xf>
    <xf numFmtId="167" fontId="5" fillId="3" borderId="5" xfId="0" applyNumberFormat="1" applyFont="1" applyFill="1" applyBorder="1" applyAlignment="1" applyProtection="1">
      <alignment horizontal="center" vertical="center"/>
      <protection hidden="1"/>
    </xf>
    <xf numFmtId="167" fontId="5" fillId="3" borderId="6" xfId="0" applyNumberFormat="1" applyFont="1" applyFill="1" applyBorder="1" applyAlignment="1" applyProtection="1">
      <alignment horizontal="center" vertical="center"/>
      <protection hidden="1"/>
    </xf>
    <xf numFmtId="0" fontId="85" fillId="13" borderId="29" xfId="0" applyFont="1" applyFill="1" applyBorder="1" applyAlignment="1">
      <alignment horizontal="center" vertical="center"/>
    </xf>
    <xf numFmtId="1" fontId="62" fillId="13" borderId="60" xfId="0" applyNumberFormat="1" applyFont="1" applyFill="1" applyBorder="1" applyAlignment="1" applyProtection="1">
      <alignment horizontal="center" vertical="center"/>
      <protection hidden="1"/>
    </xf>
    <xf numFmtId="1" fontId="62" fillId="13" borderId="57" xfId="0" applyNumberFormat="1" applyFont="1" applyFill="1" applyBorder="1" applyAlignment="1" applyProtection="1">
      <alignment horizontal="center" vertical="center"/>
      <protection hidden="1"/>
    </xf>
    <xf numFmtId="1" fontId="62" fillId="13" borderId="62" xfId="0" applyNumberFormat="1" applyFont="1" applyFill="1" applyBorder="1" applyAlignment="1" applyProtection="1">
      <alignment horizontal="center" vertical="center"/>
      <protection hidden="1"/>
    </xf>
    <xf numFmtId="1" fontId="62" fillId="13" borderId="66" xfId="0" applyNumberFormat="1" applyFont="1" applyFill="1" applyBorder="1" applyAlignment="1" applyProtection="1">
      <alignment horizontal="center" vertical="center"/>
      <protection hidden="1"/>
    </xf>
    <xf numFmtId="168" fontId="83" fillId="13" borderId="62" xfId="0" applyNumberFormat="1" applyFont="1" applyFill="1" applyBorder="1" applyAlignment="1">
      <alignment horizontal="center" vertical="center"/>
    </xf>
    <xf numFmtId="168" fontId="83" fillId="13" borderId="66" xfId="0" applyNumberFormat="1" applyFont="1" applyFill="1" applyBorder="1" applyAlignment="1">
      <alignment horizontal="center" vertical="center"/>
    </xf>
    <xf numFmtId="3" fontId="85" fillId="13" borderId="29" xfId="0" applyNumberFormat="1" applyFont="1" applyFill="1" applyBorder="1" applyAlignment="1">
      <alignment horizontal="center" vertical="center"/>
    </xf>
    <xf numFmtId="3" fontId="85" fillId="13" borderId="29" xfId="0" applyNumberFormat="1" applyFont="1" applyFill="1" applyBorder="1" applyAlignment="1" applyProtection="1">
      <alignment horizontal="center" vertical="center"/>
      <protection hidden="1"/>
    </xf>
    <xf numFmtId="3" fontId="85" fillId="13" borderId="30" xfId="0" applyNumberFormat="1" applyFont="1" applyFill="1" applyBorder="1" applyAlignment="1" applyProtection="1">
      <alignment horizontal="center" vertical="center"/>
      <protection hidden="1"/>
    </xf>
    <xf numFmtId="1" fontId="62" fillId="13" borderId="60" xfId="0" applyNumberFormat="1" applyFont="1" applyFill="1" applyBorder="1" applyAlignment="1">
      <alignment horizontal="center" vertical="center"/>
    </xf>
    <xf numFmtId="0" fontId="83" fillId="13" borderId="17" xfId="0" applyFont="1" applyFill="1" applyBorder="1" applyAlignment="1" applyProtection="1">
      <alignment horizontal="center" vertical="center"/>
      <protection hidden="1"/>
    </xf>
    <xf numFmtId="1" fontId="83" fillId="13" borderId="35" xfId="0" applyNumberFormat="1" applyFont="1" applyFill="1" applyBorder="1" applyAlignment="1" applyProtection="1">
      <alignment horizontal="center"/>
      <protection hidden="1"/>
    </xf>
    <xf numFmtId="0" fontId="83" fillId="13" borderId="0" xfId="0" applyFont="1" applyFill="1" applyAlignment="1">
      <alignment horizontal="center" vertical="center"/>
    </xf>
    <xf numFmtId="0" fontId="85" fillId="13" borderId="17" xfId="0" applyFont="1" applyFill="1" applyBorder="1" applyAlignment="1">
      <alignment horizontal="center" vertical="center"/>
    </xf>
    <xf numFmtId="17" fontId="83" fillId="13" borderId="17" xfId="0" applyNumberFormat="1" applyFont="1" applyFill="1" applyBorder="1" applyAlignment="1" applyProtection="1">
      <alignment horizontal="center" vertical="center"/>
      <protection hidden="1"/>
    </xf>
    <xf numFmtId="166" fontId="42" fillId="7" borderId="163" xfId="0" applyNumberFormat="1" applyFont="1" applyFill="1" applyBorder="1" applyAlignment="1" applyProtection="1">
      <alignment horizontal="center" vertical="center"/>
      <protection locked="0"/>
    </xf>
    <xf numFmtId="0" fontId="26" fillId="0" borderId="0" xfId="0" applyFont="1" applyAlignment="1">
      <alignment horizontal="left"/>
    </xf>
    <xf numFmtId="3" fontId="56" fillId="0" borderId="32" xfId="0" applyNumberFormat="1" applyFont="1" applyBorder="1" applyAlignment="1" applyProtection="1">
      <alignment horizontal="center" vertical="center"/>
      <protection hidden="1"/>
    </xf>
    <xf numFmtId="3" fontId="43" fillId="5" borderId="32" xfId="0" applyNumberFormat="1" applyFont="1" applyFill="1" applyBorder="1" applyAlignment="1" applyProtection="1">
      <alignment horizontal="center" vertical="center"/>
      <protection hidden="1"/>
    </xf>
    <xf numFmtId="0" fontId="80" fillId="13" borderId="17" xfId="0" applyFont="1" applyFill="1" applyBorder="1" applyAlignment="1">
      <alignment horizontal="center" vertical="center"/>
    </xf>
    <xf numFmtId="0" fontId="85" fillId="13" borderId="164" xfId="0" applyFont="1" applyFill="1" applyBorder="1" applyAlignment="1">
      <alignment horizontal="center" vertical="center"/>
    </xf>
    <xf numFmtId="17" fontId="83" fillId="13" borderId="164" xfId="0" applyNumberFormat="1" applyFont="1" applyFill="1" applyBorder="1" applyAlignment="1">
      <alignment horizontal="center" vertical="center"/>
    </xf>
    <xf numFmtId="0" fontId="83" fillId="13" borderId="164" xfId="0" applyFont="1" applyFill="1" applyBorder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center" vertical="center"/>
      <protection hidden="1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167" fontId="54" fillId="0" borderId="0" xfId="0" applyNumberFormat="1" applyFont="1" applyAlignment="1" applyProtection="1">
      <alignment horizontal="center" vertical="center"/>
      <protection hidden="1"/>
    </xf>
    <xf numFmtId="17" fontId="83" fillId="13" borderId="164" xfId="0" applyNumberFormat="1" applyFont="1" applyFill="1" applyBorder="1" applyAlignment="1" applyProtection="1">
      <alignment horizontal="center" vertical="center"/>
      <protection hidden="1"/>
    </xf>
    <xf numFmtId="3" fontId="83" fillId="13" borderId="164" xfId="0" applyNumberFormat="1" applyFont="1" applyFill="1" applyBorder="1" applyAlignment="1" applyProtection="1">
      <alignment horizontal="center" vertical="center"/>
      <protection hidden="1"/>
    </xf>
    <xf numFmtId="17" fontId="43" fillId="7" borderId="17" xfId="0" applyNumberFormat="1" applyFont="1" applyFill="1" applyBorder="1" applyAlignment="1" applyProtection="1">
      <alignment horizontal="center" vertical="center"/>
      <protection locked="0"/>
    </xf>
    <xf numFmtId="0" fontId="85" fillId="13" borderId="0" xfId="0" applyFont="1" applyFill="1" applyAlignment="1" applyProtection="1">
      <alignment horizontal="center" vertical="center"/>
      <protection hidden="1"/>
    </xf>
    <xf numFmtId="1" fontId="85" fillId="13" borderId="0" xfId="0" applyNumberFormat="1" applyFont="1" applyFill="1" applyAlignment="1" applyProtection="1">
      <alignment horizontal="center" vertical="center"/>
      <protection hidden="1"/>
    </xf>
    <xf numFmtId="49" fontId="85" fillId="13" borderId="0" xfId="0" applyNumberFormat="1" applyFont="1" applyFill="1" applyAlignment="1" applyProtection="1">
      <alignment horizontal="center" vertical="center"/>
      <protection hidden="1"/>
    </xf>
    <xf numFmtId="49" fontId="87" fillId="13" borderId="141" xfId="0" applyNumberFormat="1" applyFont="1" applyFill="1" applyBorder="1" applyAlignment="1" applyProtection="1">
      <alignment horizontal="center" vertical="center"/>
      <protection hidden="1"/>
    </xf>
    <xf numFmtId="0" fontId="87" fillId="13" borderId="142" xfId="0" applyFont="1" applyFill="1" applyBorder="1" applyAlignment="1" applyProtection="1">
      <alignment horizontal="center" vertical="center"/>
      <protection hidden="1"/>
    </xf>
    <xf numFmtId="0" fontId="62" fillId="13" borderId="0" xfId="0" applyFont="1" applyFill="1" applyAlignment="1" applyProtection="1">
      <alignment horizontal="left" vertical="center"/>
      <protection hidden="1"/>
    </xf>
    <xf numFmtId="0" fontId="85" fillId="13" borderId="0" xfId="0" applyFont="1" applyFill="1" applyAlignment="1">
      <alignment horizontal="center"/>
    </xf>
    <xf numFmtId="0" fontId="62" fillId="13" borderId="0" xfId="0" applyFont="1" applyFill="1" applyAlignment="1" applyProtection="1">
      <alignment horizontal="left" vertical="center" wrapText="1"/>
      <protection hidden="1"/>
    </xf>
    <xf numFmtId="164" fontId="85" fillId="13" borderId="137" xfId="0" applyNumberFormat="1" applyFont="1" applyFill="1" applyBorder="1" applyAlignment="1" applyProtection="1">
      <alignment horizontal="center" vertical="center"/>
      <protection hidden="1"/>
    </xf>
    <xf numFmtId="3" fontId="85" fillId="13" borderId="137" xfId="0" applyNumberFormat="1" applyFont="1" applyFill="1" applyBorder="1" applyAlignment="1" applyProtection="1">
      <alignment horizontal="center" vertical="center"/>
      <protection hidden="1"/>
    </xf>
    <xf numFmtId="166" fontId="85" fillId="13" borderId="137" xfId="0" applyNumberFormat="1" applyFont="1" applyFill="1" applyBorder="1" applyAlignment="1" applyProtection="1">
      <alignment horizontal="center" vertical="center"/>
      <protection hidden="1"/>
    </xf>
    <xf numFmtId="0" fontId="85" fillId="13" borderId="0" xfId="0" applyFont="1" applyFill="1" applyAlignment="1" applyProtection="1">
      <alignment horizontal="center" vertical="top"/>
      <protection hidden="1"/>
    </xf>
    <xf numFmtId="166" fontId="3" fillId="0" borderId="139" xfId="0" applyNumberFormat="1" applyFont="1" applyBorder="1" applyAlignment="1" applyProtection="1">
      <alignment horizontal="center" vertical="center"/>
      <protection hidden="1"/>
    </xf>
    <xf numFmtId="0" fontId="85" fillId="13" borderId="170" xfId="0" applyFont="1" applyFill="1" applyBorder="1" applyAlignment="1" applyProtection="1">
      <alignment horizontal="center" vertical="center"/>
      <protection hidden="1"/>
    </xf>
    <xf numFmtId="0" fontId="6" fillId="0" borderId="174" xfId="0" applyFont="1" applyBorder="1" applyAlignment="1" applyProtection="1">
      <alignment horizontal="center" vertical="center"/>
      <protection hidden="1"/>
    </xf>
    <xf numFmtId="0" fontId="6" fillId="7" borderId="173" xfId="0" applyFont="1" applyFill="1" applyBorder="1" applyAlignment="1" applyProtection="1">
      <alignment vertical="center"/>
      <protection locked="0"/>
    </xf>
    <xf numFmtId="0" fontId="6" fillId="0" borderId="175" xfId="0" applyFont="1" applyBorder="1" applyAlignment="1" applyProtection="1">
      <alignment horizontal="center" vertical="center"/>
      <protection hidden="1"/>
    </xf>
    <xf numFmtId="0" fontId="6" fillId="0" borderId="176" xfId="0" applyFont="1" applyBorder="1" applyAlignment="1" applyProtection="1">
      <alignment horizontal="center" vertical="center"/>
      <protection hidden="1"/>
    </xf>
    <xf numFmtId="0" fontId="3" fillId="0" borderId="177" xfId="0" applyFont="1" applyBorder="1" applyAlignment="1" applyProtection="1">
      <alignment vertical="center"/>
      <protection hidden="1"/>
    </xf>
    <xf numFmtId="167" fontId="3" fillId="0" borderId="178" xfId="0" applyNumberFormat="1" applyFont="1" applyBorder="1" applyAlignment="1" applyProtection="1">
      <alignment horizontal="center" vertical="center"/>
      <protection hidden="1"/>
    </xf>
    <xf numFmtId="0" fontId="6" fillId="7" borderId="177" xfId="0" applyFont="1" applyFill="1" applyBorder="1" applyAlignment="1" applyProtection="1">
      <alignment vertical="center"/>
      <protection locked="0"/>
    </xf>
    <xf numFmtId="0" fontId="6" fillId="7" borderId="179" xfId="0" applyFont="1" applyFill="1" applyBorder="1" applyAlignment="1" applyProtection="1">
      <alignment vertical="center"/>
      <protection locked="0"/>
    </xf>
    <xf numFmtId="0" fontId="6" fillId="0" borderId="172" xfId="0" applyFont="1" applyBorder="1" applyAlignment="1" applyProtection="1">
      <alignment horizontal="center" vertical="center"/>
      <protection hidden="1"/>
    </xf>
    <xf numFmtId="0" fontId="6" fillId="0" borderId="180" xfId="0" applyFont="1" applyBorder="1" applyAlignment="1" applyProtection="1">
      <alignment horizontal="center" vertical="center"/>
      <protection hidden="1"/>
    </xf>
    <xf numFmtId="0" fontId="6" fillId="0" borderId="181" xfId="0" applyFont="1" applyBorder="1" applyAlignment="1" applyProtection="1">
      <alignment horizontal="center" vertical="center"/>
      <protection hidden="1"/>
    </xf>
    <xf numFmtId="0" fontId="6" fillId="0" borderId="173" xfId="0" applyFont="1" applyBorder="1" applyAlignment="1">
      <alignment vertical="center"/>
    </xf>
    <xf numFmtId="0" fontId="6" fillId="0" borderId="184" xfId="0" applyFont="1" applyBorder="1" applyAlignment="1" applyProtection="1">
      <alignment horizontal="center" vertical="center"/>
      <protection hidden="1"/>
    </xf>
    <xf numFmtId="0" fontId="3" fillId="0" borderId="185" xfId="0" applyFont="1" applyBorder="1" applyAlignment="1" applyProtection="1">
      <alignment vertical="center"/>
      <protection hidden="1"/>
    </xf>
    <xf numFmtId="167" fontId="3" fillId="0" borderId="186" xfId="0" applyNumberFormat="1" applyFont="1" applyBorder="1" applyAlignment="1" applyProtection="1">
      <alignment horizontal="center" vertical="center"/>
      <protection hidden="1"/>
    </xf>
    <xf numFmtId="0" fontId="87" fillId="13" borderId="173" xfId="0" applyFont="1" applyFill="1" applyBorder="1" applyAlignment="1" applyProtection="1">
      <alignment horizontal="center" vertical="center"/>
      <protection hidden="1"/>
    </xf>
    <xf numFmtId="0" fontId="6" fillId="3" borderId="172" xfId="0" applyFont="1" applyFill="1" applyBorder="1" applyAlignment="1" applyProtection="1">
      <alignment horizontal="center" vertical="center"/>
      <protection hidden="1"/>
    </xf>
    <xf numFmtId="1" fontId="3" fillId="0" borderId="189" xfId="0" applyNumberFormat="1" applyFont="1" applyBorder="1" applyAlignment="1" applyProtection="1">
      <alignment horizontal="center" vertical="center"/>
      <protection hidden="1"/>
    </xf>
    <xf numFmtId="166" fontId="6" fillId="0" borderId="189" xfId="0" applyNumberFormat="1" applyFont="1" applyBorder="1" applyAlignment="1" applyProtection="1">
      <alignment horizontal="center" vertical="center"/>
      <protection hidden="1"/>
    </xf>
    <xf numFmtId="3" fontId="3" fillId="0" borderId="189" xfId="0" applyNumberFormat="1" applyFont="1" applyBorder="1" applyAlignment="1" applyProtection="1">
      <alignment horizontal="center" vertical="center"/>
      <protection hidden="1"/>
    </xf>
    <xf numFmtId="166" fontId="3" fillId="0" borderId="189" xfId="0" applyNumberFormat="1" applyFont="1" applyBorder="1" applyAlignment="1" applyProtection="1">
      <alignment horizontal="center" vertical="center"/>
      <protection hidden="1"/>
    </xf>
    <xf numFmtId="0" fontId="6" fillId="0" borderId="192" xfId="0" applyFont="1" applyBorder="1" applyAlignment="1" applyProtection="1">
      <alignment vertical="center"/>
      <protection hidden="1"/>
    </xf>
    <xf numFmtId="0" fontId="6" fillId="0" borderId="196" xfId="0" applyFont="1" applyBorder="1" applyAlignment="1">
      <alignment vertical="center"/>
    </xf>
    <xf numFmtId="0" fontId="0" fillId="0" borderId="196" xfId="0" applyBorder="1" applyAlignment="1">
      <alignment vertical="center"/>
    </xf>
    <xf numFmtId="0" fontId="6" fillId="0" borderId="195" xfId="0" applyFont="1" applyBorder="1" applyAlignment="1">
      <alignment horizontal="right" vertical="center"/>
    </xf>
    <xf numFmtId="3" fontId="6" fillId="0" borderId="196" xfId="0" applyNumberFormat="1" applyFont="1" applyBorder="1" applyAlignment="1">
      <alignment horizontal="right" vertical="center"/>
    </xf>
    <xf numFmtId="0" fontId="3" fillId="0" borderId="197" xfId="0" applyFont="1" applyBorder="1" applyAlignment="1" applyProtection="1">
      <alignment vertical="center"/>
      <protection hidden="1"/>
    </xf>
    <xf numFmtId="3" fontId="3" fillId="0" borderId="197" xfId="0" applyNumberFormat="1" applyFont="1" applyBorder="1" applyAlignment="1" applyProtection="1">
      <alignment horizontal="center" vertical="center"/>
      <protection hidden="1"/>
    </xf>
    <xf numFmtId="3" fontId="3" fillId="6" borderId="168" xfId="0" applyNumberFormat="1" applyFont="1" applyFill="1" applyBorder="1" applyAlignment="1" applyProtection="1">
      <alignment horizontal="center" vertical="center"/>
      <protection hidden="1"/>
    </xf>
    <xf numFmtId="167" fontId="3" fillId="0" borderId="198" xfId="0" applyNumberFormat="1" applyFont="1" applyBorder="1" applyAlignment="1" applyProtection="1">
      <alignment horizontal="center" vertical="center"/>
      <protection hidden="1"/>
    </xf>
    <xf numFmtId="0" fontId="3" fillId="6" borderId="199" xfId="0" applyFont="1" applyFill="1" applyBorder="1" applyAlignment="1" applyProtection="1">
      <alignment horizontal="center" vertical="center"/>
      <protection hidden="1"/>
    </xf>
    <xf numFmtId="167" fontId="3" fillId="0" borderId="200" xfId="0" applyNumberFormat="1" applyFont="1" applyBorder="1" applyAlignment="1" applyProtection="1">
      <alignment horizontal="center" vertical="center"/>
      <protection hidden="1"/>
    </xf>
    <xf numFmtId="0" fontId="11" fillId="0" borderId="23" xfId="0" applyFont="1" applyBorder="1" applyAlignment="1">
      <alignment horizontal="left" vertical="center"/>
    </xf>
    <xf numFmtId="0" fontId="60" fillId="0" borderId="10" xfId="0" applyFont="1" applyBorder="1" applyAlignment="1">
      <alignment horizontal="left"/>
    </xf>
    <xf numFmtId="0" fontId="11" fillId="0" borderId="10" xfId="0" applyFont="1" applyBorder="1" applyAlignment="1">
      <alignment horizontal="left" vertical="center"/>
    </xf>
    <xf numFmtId="16" fontId="11" fillId="0" borderId="20" xfId="0" quotePrefix="1" applyNumberFormat="1" applyFont="1" applyBorder="1" applyAlignment="1">
      <alignment horizontal="left" vertical="center"/>
    </xf>
    <xf numFmtId="20" fontId="5" fillId="0" borderId="18" xfId="0" applyNumberFormat="1" applyFont="1" applyBorder="1"/>
    <xf numFmtId="0" fontId="0" fillId="0" borderId="7" xfId="0" applyBorder="1"/>
    <xf numFmtId="0" fontId="0" fillId="0" borderId="8" xfId="0" applyBorder="1"/>
    <xf numFmtId="0" fontId="43" fillId="0" borderId="25" xfId="0" applyFont="1" applyBorder="1" applyAlignment="1" applyProtection="1">
      <alignment vertical="center"/>
      <protection locked="0"/>
    </xf>
    <xf numFmtId="0" fontId="43" fillId="0" borderId="0" xfId="0" applyFont="1" applyAlignment="1" applyProtection="1">
      <alignment vertical="center"/>
      <protection locked="0"/>
    </xf>
    <xf numFmtId="0" fontId="43" fillId="0" borderId="31" xfId="0" applyFont="1" applyBorder="1" applyAlignment="1" applyProtection="1">
      <alignment vertical="center"/>
      <protection locked="0"/>
    </xf>
    <xf numFmtId="0" fontId="43" fillId="0" borderId="0" xfId="2" applyNumberFormat="1" applyFont="1" applyBorder="1" applyAlignment="1" applyProtection="1">
      <alignment vertical="center"/>
      <protection locked="0"/>
    </xf>
    <xf numFmtId="0" fontId="43" fillId="0" borderId="31" xfId="0" applyFont="1" applyBorder="1"/>
    <xf numFmtId="0" fontId="40" fillId="0" borderId="25" xfId="0" applyFont="1" applyBorder="1" applyAlignment="1" applyProtection="1">
      <alignment vertical="center"/>
      <protection hidden="1"/>
    </xf>
    <xf numFmtId="0" fontId="10" fillId="0" borderId="31" xfId="0" applyFont="1" applyBorder="1" applyAlignment="1" applyProtection="1">
      <alignment vertical="center"/>
      <protection hidden="1"/>
    </xf>
    <xf numFmtId="0" fontId="78" fillId="0" borderId="0" xfId="0" applyFont="1" applyAlignment="1" applyProtection="1">
      <alignment vertical="center"/>
      <protection hidden="1"/>
    </xf>
    <xf numFmtId="0" fontId="56" fillId="0" borderId="25" xfId="0" applyFont="1" applyBorder="1" applyAlignment="1" applyProtection="1">
      <alignment vertical="center"/>
      <protection hidden="1"/>
    </xf>
    <xf numFmtId="0" fontId="10" fillId="0" borderId="0" xfId="0" applyFont="1" applyAlignment="1" applyProtection="1">
      <alignment vertical="center"/>
      <protection locked="0"/>
    </xf>
    <xf numFmtId="0" fontId="10" fillId="0" borderId="0" xfId="0" applyFont="1" applyAlignment="1" applyProtection="1">
      <alignment horizontal="center"/>
      <protection locked="0"/>
    </xf>
    <xf numFmtId="0" fontId="77" fillId="0" borderId="23" xfId="0" applyFont="1" applyBorder="1" applyAlignment="1">
      <alignment vertical="center"/>
    </xf>
    <xf numFmtId="0" fontId="4" fillId="0" borderId="7" xfId="0" applyFont="1" applyBorder="1" applyProtection="1">
      <protection hidden="1"/>
    </xf>
    <xf numFmtId="0" fontId="45" fillId="0" borderId="7" xfId="0" applyFont="1" applyBorder="1" applyAlignment="1">
      <alignment vertical="center"/>
    </xf>
    <xf numFmtId="0" fontId="4" fillId="0" borderId="7" xfId="0" applyFont="1" applyBorder="1"/>
    <xf numFmtId="0" fontId="4" fillId="0" borderId="8" xfId="0" applyFont="1" applyBorder="1"/>
    <xf numFmtId="0" fontId="11" fillId="0" borderId="25" xfId="0" applyFont="1" applyBorder="1" applyAlignment="1" applyProtection="1">
      <alignment vertical="center"/>
      <protection hidden="1"/>
    </xf>
    <xf numFmtId="0" fontId="11" fillId="0" borderId="18" xfId="0" applyFont="1" applyBorder="1" applyAlignment="1" applyProtection="1">
      <alignment vertical="center"/>
      <protection locked="0"/>
    </xf>
    <xf numFmtId="0" fontId="4" fillId="0" borderId="18" xfId="0" applyFont="1" applyBorder="1" applyAlignment="1" applyProtection="1">
      <alignment horizontal="left" vertical="center"/>
      <protection hidden="1"/>
    </xf>
    <xf numFmtId="0" fontId="4" fillId="0" borderId="7" xfId="0" applyFont="1" applyBorder="1" applyAlignment="1" applyProtection="1">
      <alignment horizontal="left" vertical="center"/>
      <protection hidden="1"/>
    </xf>
    <xf numFmtId="0" fontId="4" fillId="0" borderId="8" xfId="0" applyFont="1" applyBorder="1" applyAlignment="1" applyProtection="1">
      <alignment horizontal="left" vertical="center"/>
      <protection hidden="1"/>
    </xf>
    <xf numFmtId="0" fontId="5" fillId="0" borderId="25" xfId="0" applyFont="1" applyBorder="1" applyAlignment="1" applyProtection="1">
      <alignment horizontal="left" vertical="center"/>
      <protection hidden="1"/>
    </xf>
    <xf numFmtId="0" fontId="4" fillId="0" borderId="31" xfId="0" applyFont="1" applyBorder="1" applyAlignment="1" applyProtection="1">
      <alignment horizontal="left" vertical="center"/>
      <protection hidden="1"/>
    </xf>
    <xf numFmtId="0" fontId="4" fillId="0" borderId="25" xfId="0" applyFont="1" applyBorder="1" applyAlignment="1" applyProtection="1">
      <alignment horizontal="left" vertical="center"/>
      <protection hidden="1"/>
    </xf>
    <xf numFmtId="0" fontId="34" fillId="0" borderId="25" xfId="0" applyFont="1" applyBorder="1" applyAlignment="1" applyProtection="1">
      <alignment vertical="center"/>
      <protection locked="0"/>
    </xf>
    <xf numFmtId="0" fontId="11" fillId="0" borderId="25" xfId="0" applyFont="1" applyBorder="1" applyAlignment="1" applyProtection="1">
      <alignment horizontal="left" vertical="center"/>
      <protection locked="0"/>
    </xf>
    <xf numFmtId="0" fontId="40" fillId="0" borderId="0" xfId="0" applyFont="1" applyAlignment="1" applyProtection="1">
      <alignment horizontal="left" vertical="center"/>
      <protection hidden="1"/>
    </xf>
    <xf numFmtId="164" fontId="40" fillId="0" borderId="0" xfId="2" applyNumberFormat="1" applyFont="1" applyBorder="1" applyAlignment="1" applyProtection="1">
      <alignment horizontal="center" vertical="center"/>
      <protection hidden="1"/>
    </xf>
    <xf numFmtId="0" fontId="11" fillId="0" borderId="31" xfId="0" applyFont="1" applyBorder="1" applyAlignment="1" applyProtection="1">
      <alignment horizontal="left" vertical="center"/>
      <protection hidden="1"/>
    </xf>
    <xf numFmtId="0" fontId="40" fillId="0" borderId="23" xfId="0" applyFont="1" applyBorder="1" applyAlignment="1" applyProtection="1">
      <alignment vertical="center"/>
      <protection hidden="1"/>
    </xf>
    <xf numFmtId="0" fontId="11" fillId="0" borderId="59" xfId="0" applyFont="1" applyBorder="1" applyAlignment="1">
      <alignment vertical="center"/>
    </xf>
    <xf numFmtId="0" fontId="11" fillId="0" borderId="55" xfId="0" applyFont="1" applyBorder="1" applyAlignment="1" applyProtection="1">
      <alignment vertical="center"/>
      <protection locked="0"/>
    </xf>
    <xf numFmtId="0" fontId="11" fillId="0" borderId="9" xfId="0" applyFont="1" applyBorder="1" applyAlignment="1" applyProtection="1">
      <alignment vertical="center"/>
      <protection locked="0"/>
    </xf>
    <xf numFmtId="0" fontId="40" fillId="0" borderId="31" xfId="0" applyFont="1" applyBorder="1" applyAlignment="1" applyProtection="1">
      <alignment vertical="center"/>
      <protection hidden="1"/>
    </xf>
    <xf numFmtId="0" fontId="43" fillId="0" borderId="25" xfId="0" applyFont="1" applyBorder="1" applyAlignment="1" applyProtection="1">
      <alignment vertical="center"/>
      <protection locked="0" hidden="1"/>
    </xf>
    <xf numFmtId="0" fontId="43" fillId="0" borderId="0" xfId="0" applyFont="1" applyAlignment="1" applyProtection="1">
      <alignment vertical="center"/>
      <protection locked="0" hidden="1"/>
    </xf>
    <xf numFmtId="0" fontId="43" fillId="0" borderId="0" xfId="2" applyNumberFormat="1" applyFont="1" applyBorder="1" applyAlignment="1" applyProtection="1">
      <alignment vertical="center"/>
      <protection locked="0" hidden="1"/>
    </xf>
    <xf numFmtId="0" fontId="43" fillId="0" borderId="31" xfId="0" applyFont="1" applyBorder="1" applyAlignment="1" applyProtection="1">
      <alignment vertical="center"/>
      <protection locked="0" hidden="1"/>
    </xf>
    <xf numFmtId="0" fontId="3" fillId="0" borderId="43" xfId="0" applyFont="1" applyBorder="1" applyAlignment="1">
      <alignment horizontal="center" vertical="center"/>
    </xf>
    <xf numFmtId="0" fontId="10" fillId="0" borderId="124" xfId="0" applyFont="1" applyBorder="1" applyAlignment="1" applyProtection="1">
      <alignment vertical="center"/>
      <protection hidden="1"/>
    </xf>
    <xf numFmtId="0" fontId="10" fillId="0" borderId="125" xfId="0" applyFont="1" applyBorder="1" applyAlignment="1" applyProtection="1">
      <alignment vertical="center"/>
      <protection hidden="1"/>
    </xf>
    <xf numFmtId="16" fontId="11" fillId="0" borderId="10" xfId="0" quotePrefix="1" applyNumberFormat="1" applyFont="1" applyBorder="1" applyAlignment="1">
      <alignment horizontal="left" vertical="center"/>
    </xf>
    <xf numFmtId="0" fontId="11" fillId="0" borderId="202" xfId="0" applyFont="1" applyBorder="1" applyAlignment="1">
      <alignment horizontal="left" vertical="center"/>
    </xf>
    <xf numFmtId="0" fontId="11" fillId="0" borderId="203" xfId="0" applyFont="1" applyBorder="1" applyAlignment="1">
      <alignment horizontal="left" vertical="center"/>
    </xf>
    <xf numFmtId="0" fontId="11" fillId="0" borderId="89" xfId="0" applyFont="1" applyBorder="1" applyAlignment="1">
      <alignment horizontal="left" vertical="center"/>
    </xf>
    <xf numFmtId="0" fontId="11" fillId="0" borderId="90" xfId="0" applyFont="1" applyBorder="1" applyAlignment="1">
      <alignment horizontal="left" vertical="center"/>
    </xf>
    <xf numFmtId="2" fontId="42" fillId="7" borderId="44" xfId="0" applyNumberFormat="1" applyFont="1" applyFill="1" applyBorder="1" applyAlignment="1" applyProtection="1">
      <alignment horizontal="center" vertical="center"/>
      <protection locked="0"/>
    </xf>
    <xf numFmtId="2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10" fillId="0" borderId="126" xfId="0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/>
      <protection hidden="1"/>
    </xf>
    <xf numFmtId="3" fontId="6" fillId="0" borderId="144" xfId="0" applyNumberFormat="1" applyFont="1" applyBorder="1" applyAlignment="1" applyProtection="1">
      <alignment horizontal="center" vertical="center"/>
      <protection hidden="1"/>
    </xf>
    <xf numFmtId="3" fontId="6" fillId="0" borderId="204" xfId="0" applyNumberFormat="1" applyFont="1" applyBorder="1" applyAlignment="1" applyProtection="1">
      <alignment horizontal="center" vertical="center"/>
      <protection hidden="1"/>
    </xf>
    <xf numFmtId="3" fontId="3" fillId="0" borderId="205" xfId="0" applyNumberFormat="1" applyFont="1" applyBorder="1" applyAlignment="1" applyProtection="1">
      <alignment horizontal="center" vertical="center"/>
      <protection hidden="1"/>
    </xf>
    <xf numFmtId="0" fontId="3" fillId="6" borderId="206" xfId="0" applyFont="1" applyFill="1" applyBorder="1" applyAlignment="1" applyProtection="1">
      <alignment vertical="center"/>
      <protection hidden="1"/>
    </xf>
    <xf numFmtId="167" fontId="3" fillId="0" borderId="206" xfId="0" applyNumberFormat="1" applyFont="1" applyBorder="1" applyAlignment="1" applyProtection="1">
      <alignment horizontal="center" vertical="center"/>
      <protection hidden="1"/>
    </xf>
    <xf numFmtId="3" fontId="3" fillId="0" borderId="195" xfId="0" applyNumberFormat="1" applyFont="1" applyBorder="1" applyAlignment="1" applyProtection="1">
      <alignment horizontal="center" vertical="center"/>
      <protection hidden="1"/>
    </xf>
    <xf numFmtId="0" fontId="3" fillId="6" borderId="161" xfId="0" applyFont="1" applyFill="1" applyBorder="1" applyAlignment="1" applyProtection="1">
      <alignment horizontal="center" vertical="center"/>
      <protection hidden="1"/>
    </xf>
    <xf numFmtId="167" fontId="3" fillId="8" borderId="161" xfId="0" applyNumberFormat="1" applyFont="1" applyFill="1" applyBorder="1" applyAlignment="1" applyProtection="1">
      <alignment horizontal="center" vertical="center"/>
      <protection hidden="1"/>
    </xf>
    <xf numFmtId="3" fontId="3" fillId="0" borderId="116" xfId="0" applyNumberFormat="1" applyFont="1" applyBorder="1" applyAlignment="1" applyProtection="1">
      <alignment horizontal="center" vertical="center"/>
      <protection hidden="1"/>
    </xf>
    <xf numFmtId="3" fontId="6" fillId="7" borderId="44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right" shrinkToFit="1"/>
      <protection hidden="1"/>
    </xf>
    <xf numFmtId="167" fontId="68" fillId="0" borderId="0" xfId="0" applyNumberFormat="1" applyFont="1" applyAlignment="1" applyProtection="1">
      <alignment horizontal="left" vertical="center"/>
      <protection hidden="1"/>
    </xf>
    <xf numFmtId="0" fontId="85" fillId="13" borderId="0" xfId="0" applyFont="1" applyFill="1" applyAlignment="1">
      <alignment horizontal="center" vertical="center"/>
    </xf>
    <xf numFmtId="167" fontId="90" fillId="0" borderId="0" xfId="0" applyNumberFormat="1" applyFont="1" applyAlignment="1" applyProtection="1">
      <alignment horizontal="left" vertical="center"/>
      <protection hidden="1"/>
    </xf>
    <xf numFmtId="0" fontId="0" fillId="0" borderId="7" xfId="0" applyBorder="1" applyAlignment="1">
      <alignment vertical="center"/>
    </xf>
    <xf numFmtId="0" fontId="8" fillId="0" borderId="25" xfId="0" applyFont="1" applyBorder="1" applyAlignment="1">
      <alignment vertical="center"/>
    </xf>
    <xf numFmtId="0" fontId="8" fillId="0" borderId="7" xfId="0" applyFont="1" applyBorder="1" applyAlignment="1">
      <alignment horizontal="left"/>
    </xf>
    <xf numFmtId="0" fontId="10" fillId="7" borderId="19" xfId="0" applyFont="1" applyFill="1" applyBorder="1" applyAlignment="1" applyProtection="1">
      <alignment horizontal="center" vertical="center"/>
      <protection locked="0"/>
    </xf>
    <xf numFmtId="0" fontId="82" fillId="13" borderId="19" xfId="0" applyFont="1" applyFill="1" applyBorder="1" applyAlignment="1">
      <alignment horizontal="center" vertical="center"/>
    </xf>
    <xf numFmtId="0" fontId="11" fillId="0" borderId="49" xfId="0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167" fontId="11" fillId="5" borderId="17" xfId="0" applyNumberFormat="1" applyFont="1" applyFill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5" fillId="0" borderId="10" xfId="0" applyFont="1" applyBorder="1" applyAlignment="1">
      <alignment vertical="center"/>
    </xf>
    <xf numFmtId="1" fontId="5" fillId="7" borderId="32" xfId="0" applyNumberFormat="1" applyFont="1" applyFill="1" applyBorder="1" applyAlignment="1" applyProtection="1">
      <alignment horizontal="center" vertical="center"/>
      <protection locked="0"/>
    </xf>
    <xf numFmtId="1" fontId="5" fillId="7" borderId="32" xfId="0" applyNumberFormat="1" applyFont="1" applyFill="1" applyBorder="1" applyAlignment="1" applyProtection="1">
      <alignment horizontal="center" vertical="center"/>
      <protection locked="0" hidden="1"/>
    </xf>
    <xf numFmtId="167" fontId="0" fillId="0" borderId="0" xfId="0" applyNumberFormat="1" applyAlignment="1">
      <alignment horizontal="right"/>
    </xf>
    <xf numFmtId="0" fontId="82" fillId="13" borderId="17" xfId="0" applyFont="1" applyFill="1" applyBorder="1" applyAlignment="1">
      <alignment horizontal="center" vertical="center"/>
    </xf>
    <xf numFmtId="167" fontId="11" fillId="0" borderId="60" xfId="0" applyNumberFormat="1" applyFont="1" applyBorder="1" applyAlignment="1" applyProtection="1">
      <alignment horizontal="right"/>
      <protection hidden="1"/>
    </xf>
    <xf numFmtId="0" fontId="11" fillId="0" borderId="23" xfId="0" applyFont="1" applyBorder="1" applyAlignment="1">
      <alignment horizontal="center"/>
    </xf>
    <xf numFmtId="167" fontId="11" fillId="0" borderId="19" xfId="0" applyNumberFormat="1" applyFont="1" applyBorder="1" applyAlignment="1" applyProtection="1">
      <alignment horizontal="center"/>
      <protection hidden="1"/>
    </xf>
    <xf numFmtId="167" fontId="11" fillId="0" borderId="60" xfId="0" applyNumberFormat="1" applyFont="1" applyBorder="1" applyAlignment="1" applyProtection="1">
      <alignment horizontal="center"/>
      <protection hidden="1"/>
    </xf>
    <xf numFmtId="3" fontId="5" fillId="0" borderId="17" xfId="0" applyNumberFormat="1" applyFont="1" applyBorder="1" applyAlignment="1" applyProtection="1">
      <alignment horizontal="center"/>
      <protection hidden="1"/>
    </xf>
    <xf numFmtId="0" fontId="11" fillId="0" borderId="60" xfId="0" applyFont="1" applyBorder="1" applyAlignment="1" applyProtection="1">
      <alignment vertical="center"/>
      <protection hidden="1"/>
    </xf>
    <xf numFmtId="167" fontId="11" fillId="0" borderId="60" xfId="0" applyNumberFormat="1" applyFont="1" applyBorder="1" applyAlignment="1" applyProtection="1">
      <alignment horizontal="right" vertical="center"/>
      <protection hidden="1"/>
    </xf>
    <xf numFmtId="0" fontId="5" fillId="0" borderId="17" xfId="0" applyFont="1" applyBorder="1" applyAlignment="1" applyProtection="1">
      <alignment horizontal="center" vertical="center"/>
      <protection hidden="1"/>
    </xf>
    <xf numFmtId="49" fontId="5" fillId="0" borderId="23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>
      <alignment horizontal="center" vertical="center"/>
    </xf>
    <xf numFmtId="0" fontId="10" fillId="0" borderId="10" xfId="0" applyFont="1" applyBorder="1" applyAlignment="1">
      <alignment vertical="center"/>
    </xf>
    <xf numFmtId="0" fontId="11" fillId="0" borderId="67" xfId="0" applyFont="1" applyBorder="1" applyAlignment="1">
      <alignment vertical="center"/>
    </xf>
    <xf numFmtId="0" fontId="11" fillId="13" borderId="63" xfId="0" applyFont="1" applyFill="1" applyBorder="1" applyAlignment="1">
      <alignment horizontal="center" vertical="center"/>
    </xf>
    <xf numFmtId="0" fontId="83" fillId="13" borderId="43" xfId="0" applyFont="1" applyFill="1" applyBorder="1" applyAlignment="1">
      <alignment horizontal="center"/>
    </xf>
    <xf numFmtId="0" fontId="11" fillId="0" borderId="208" xfId="0" applyFont="1" applyBorder="1" applyAlignment="1" applyProtection="1">
      <alignment horizontal="center" vertical="center"/>
      <protection hidden="1"/>
    </xf>
    <xf numFmtId="1" fontId="10" fillId="5" borderId="32" xfId="0" applyNumberFormat="1" applyFont="1" applyFill="1" applyBorder="1" applyAlignment="1" applyProtection="1">
      <alignment horizontal="center" vertical="center"/>
      <protection hidden="1"/>
    </xf>
    <xf numFmtId="0" fontId="11" fillId="0" borderId="209" xfId="0" applyFont="1" applyBorder="1" applyAlignment="1" applyProtection="1">
      <alignment horizontal="center" vertical="center"/>
      <protection hidden="1"/>
    </xf>
    <xf numFmtId="166" fontId="11" fillId="5" borderId="17" xfId="0" applyNumberFormat="1" applyFont="1" applyFill="1" applyBorder="1" applyAlignment="1" applyProtection="1">
      <alignment horizontal="center" vertical="center"/>
      <protection hidden="1"/>
    </xf>
    <xf numFmtId="166" fontId="11" fillId="0" borderId="17" xfId="0" applyNumberFormat="1" applyFont="1" applyBorder="1" applyAlignment="1" applyProtection="1">
      <alignment horizontal="center" vertical="center"/>
      <protection hidden="1"/>
    </xf>
    <xf numFmtId="166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hidden="1"/>
    </xf>
    <xf numFmtId="0" fontId="10" fillId="0" borderId="16" xfId="0" applyFont="1" applyBorder="1" applyAlignment="1" applyProtection="1">
      <alignment horizontal="left" vertical="center"/>
      <protection hidden="1"/>
    </xf>
    <xf numFmtId="0" fontId="10" fillId="0" borderId="69" xfId="0" applyFont="1" applyBorder="1" applyAlignment="1" applyProtection="1">
      <alignment horizontal="left" vertical="center"/>
      <protection hidden="1"/>
    </xf>
    <xf numFmtId="0" fontId="3" fillId="0" borderId="14" xfId="0" applyFont="1" applyBorder="1" applyAlignment="1">
      <alignment vertical="center"/>
    </xf>
    <xf numFmtId="0" fontId="3" fillId="0" borderId="108" xfId="0" applyFont="1" applyBorder="1" applyAlignment="1">
      <alignment vertical="center"/>
    </xf>
    <xf numFmtId="0" fontId="3" fillId="0" borderId="86" xfId="0" applyFont="1" applyBorder="1" applyAlignment="1">
      <alignment vertical="center"/>
    </xf>
    <xf numFmtId="0" fontId="3" fillId="0" borderId="62" xfId="0" applyFont="1" applyBorder="1" applyAlignment="1">
      <alignment horizontal="center" vertical="center"/>
    </xf>
    <xf numFmtId="0" fontId="6" fillId="7" borderId="32" xfId="0" applyFont="1" applyFill="1" applyBorder="1" applyAlignment="1" applyProtection="1">
      <alignment horizontal="left" vertical="center"/>
      <protection locked="0"/>
    </xf>
    <xf numFmtId="3" fontId="6" fillId="0" borderId="29" xfId="0" applyNumberFormat="1" applyFont="1" applyBorder="1" applyAlignment="1" applyProtection="1">
      <alignment horizontal="center" vertical="center"/>
      <protection hidden="1"/>
    </xf>
    <xf numFmtId="0" fontId="6" fillId="7" borderId="17" xfId="0" applyFont="1" applyFill="1" applyBorder="1" applyAlignment="1" applyProtection="1">
      <alignment horizontal="left" vertical="center"/>
      <protection locked="0"/>
    </xf>
    <xf numFmtId="3" fontId="3" fillId="0" borderId="17" xfId="0" applyNumberFormat="1" applyFont="1" applyBorder="1" applyAlignment="1" applyProtection="1">
      <alignment horizontal="center" vertical="center"/>
      <protection hidden="1"/>
    </xf>
    <xf numFmtId="0" fontId="6" fillId="7" borderId="84" xfId="0" applyFont="1" applyFill="1" applyBorder="1" applyAlignment="1" applyProtection="1">
      <alignment horizontal="left" vertical="center"/>
      <protection locked="0"/>
    </xf>
    <xf numFmtId="3" fontId="6" fillId="0" borderId="84" xfId="0" applyNumberFormat="1" applyFont="1" applyBorder="1" applyAlignment="1" applyProtection="1">
      <alignment horizontal="center" vertical="center"/>
      <protection hidden="1"/>
    </xf>
    <xf numFmtId="0" fontId="3" fillId="0" borderId="116" xfId="0" applyFont="1" applyBorder="1" applyAlignment="1">
      <alignment vertical="center"/>
    </xf>
    <xf numFmtId="0" fontId="3" fillId="0" borderId="47" xfId="0" applyFont="1" applyBorder="1" applyAlignment="1">
      <alignment vertical="center"/>
    </xf>
    <xf numFmtId="0" fontId="85" fillId="13" borderId="60" xfId="0" applyFont="1" applyFill="1" applyBorder="1" applyAlignment="1">
      <alignment horizontal="center" vertical="center"/>
    </xf>
    <xf numFmtId="0" fontId="85" fillId="13" borderId="49" xfId="0" applyFont="1" applyFill="1" applyBorder="1" applyAlignment="1">
      <alignment horizontal="left" vertical="center"/>
    </xf>
    <xf numFmtId="0" fontId="85" fillId="13" borderId="207" xfId="0" applyFont="1" applyFill="1" applyBorder="1" applyAlignment="1">
      <alignment horizontal="center" vertical="center"/>
    </xf>
    <xf numFmtId="0" fontId="6" fillId="7" borderId="60" xfId="0" applyFont="1" applyFill="1" applyBorder="1" applyAlignment="1" applyProtection="1">
      <alignment horizontal="left" vertical="center"/>
      <protection locked="0"/>
    </xf>
    <xf numFmtId="3" fontId="6" fillId="7" borderId="0" xfId="0" applyNumberFormat="1" applyFont="1" applyFill="1" applyAlignment="1" applyProtection="1">
      <alignment horizontal="center" vertical="center"/>
      <protection locked="0"/>
    </xf>
    <xf numFmtId="3" fontId="6" fillId="0" borderId="60" xfId="0" applyNumberFormat="1" applyFont="1" applyBorder="1" applyAlignment="1" applyProtection="1">
      <alignment horizontal="center" vertical="center"/>
      <protection hidden="1"/>
    </xf>
    <xf numFmtId="3" fontId="87" fillId="13" borderId="207" xfId="0" applyNumberFormat="1" applyFont="1" applyFill="1" applyBorder="1" applyAlignment="1" applyProtection="1">
      <alignment horizontal="center" vertical="center"/>
      <protection hidden="1"/>
    </xf>
    <xf numFmtId="0" fontId="6" fillId="7" borderId="17" xfId="0" applyFont="1" applyFill="1" applyBorder="1" applyAlignment="1" applyProtection="1">
      <alignment vertical="center"/>
      <protection locked="0"/>
    </xf>
    <xf numFmtId="0" fontId="6" fillId="7" borderId="19" xfId="0" applyFont="1" applyFill="1" applyBorder="1" applyAlignment="1" applyProtection="1">
      <alignment vertical="center"/>
      <protection locked="0"/>
    </xf>
    <xf numFmtId="3" fontId="6" fillId="0" borderId="0" xfId="0" applyNumberFormat="1" applyFont="1" applyAlignment="1" applyProtection="1">
      <alignment horizontal="center" vertical="center"/>
      <protection hidden="1"/>
    </xf>
    <xf numFmtId="0" fontId="6" fillId="7" borderId="36" xfId="0" applyFont="1" applyFill="1" applyBorder="1" applyAlignment="1" applyProtection="1">
      <alignment horizontal="left" vertical="center"/>
      <protection locked="0"/>
    </xf>
    <xf numFmtId="3" fontId="87" fillId="13" borderId="32" xfId="0" applyNumberFormat="1" applyFont="1" applyFill="1" applyBorder="1" applyAlignment="1" applyProtection="1">
      <alignment horizontal="center" vertical="center"/>
      <protection hidden="1"/>
    </xf>
    <xf numFmtId="3" fontId="6" fillId="0" borderId="0" xfId="0" applyNumberFormat="1" applyFont="1" applyAlignment="1">
      <alignment horizontal="center" vertical="center"/>
    </xf>
    <xf numFmtId="0" fontId="6" fillId="7" borderId="84" xfId="0" applyFont="1" applyFill="1" applyBorder="1" applyAlignment="1" applyProtection="1">
      <alignment vertical="center"/>
      <protection locked="0"/>
    </xf>
    <xf numFmtId="0" fontId="3" fillId="0" borderId="63" xfId="0" applyFont="1" applyBorder="1" applyAlignment="1">
      <alignment vertical="center"/>
    </xf>
    <xf numFmtId="0" fontId="85" fillId="13" borderId="6" xfId="0" applyFont="1" applyFill="1" applyBorder="1" applyAlignment="1">
      <alignment vertical="center"/>
    </xf>
    <xf numFmtId="0" fontId="85" fillId="13" borderId="36" xfId="0" applyFont="1" applyFill="1" applyBorder="1" applyAlignment="1">
      <alignment horizontal="center" vertical="center"/>
    </xf>
    <xf numFmtId="0" fontId="3" fillId="8" borderId="62" xfId="0" applyFont="1" applyFill="1" applyBorder="1" applyAlignment="1" applyProtection="1">
      <alignment horizontal="left" vertical="center" indent="1"/>
      <protection hidden="1"/>
    </xf>
    <xf numFmtId="0" fontId="3" fillId="0" borderId="6" xfId="0" applyFont="1" applyBorder="1" applyAlignment="1">
      <alignment horizontal="left" vertical="center" indent="1"/>
    </xf>
    <xf numFmtId="0" fontId="3" fillId="0" borderId="6" xfId="0" applyFont="1" applyBorder="1" applyAlignment="1">
      <alignment horizontal="left" vertical="center" wrapText="1" indent="1"/>
    </xf>
    <xf numFmtId="0" fontId="3" fillId="0" borderId="25" xfId="0" applyFont="1" applyBorder="1" applyAlignment="1">
      <alignment horizontal="left" vertical="center" indent="1"/>
    </xf>
    <xf numFmtId="3" fontId="3" fillId="7" borderId="29" xfId="0" applyNumberFormat="1" applyFont="1" applyFill="1" applyBorder="1" applyAlignment="1" applyProtection="1">
      <alignment horizontal="center" vertical="center"/>
      <protection locked="0"/>
    </xf>
    <xf numFmtId="0" fontId="3" fillId="0" borderId="123" xfId="0" applyFont="1" applyBorder="1" applyAlignment="1">
      <alignment horizontal="left" vertical="center" indent="1"/>
    </xf>
    <xf numFmtId="0" fontId="7" fillId="7" borderId="17" xfId="0" applyFont="1" applyFill="1" applyBorder="1" applyAlignment="1" applyProtection="1">
      <alignment horizontal="center" vertical="center"/>
      <protection locked="0"/>
    </xf>
    <xf numFmtId="1" fontId="11" fillId="0" borderId="0" xfId="0" applyNumberFormat="1" applyFont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3" fillId="7" borderId="17" xfId="0" applyFont="1" applyFill="1" applyBorder="1" applyAlignment="1" applyProtection="1">
      <alignment vertical="center"/>
      <protection locked="0"/>
    </xf>
    <xf numFmtId="0" fontId="6" fillId="0" borderId="17" xfId="0" applyFont="1" applyBorder="1" applyAlignment="1">
      <alignment vertical="center"/>
    </xf>
    <xf numFmtId="164" fontId="6" fillId="7" borderId="32" xfId="0" applyNumberFormat="1" applyFont="1" applyFill="1" applyBorder="1" applyAlignment="1" applyProtection="1">
      <alignment horizontal="center" vertical="center"/>
      <protection locked="0"/>
    </xf>
    <xf numFmtId="0" fontId="22" fillId="0" borderId="25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1" fontId="62" fillId="13" borderId="0" xfId="0" applyNumberFormat="1" applyFont="1" applyFill="1" applyAlignment="1" applyProtection="1">
      <alignment horizontal="center" vertical="center"/>
      <protection hidden="1"/>
    </xf>
    <xf numFmtId="0" fontId="85" fillId="13" borderId="19" xfId="0" applyFont="1" applyFill="1" applyBorder="1" applyAlignment="1">
      <alignment horizontal="center" vertical="center"/>
    </xf>
    <xf numFmtId="1" fontId="62" fillId="13" borderId="32" xfId="0" applyNumberFormat="1" applyFont="1" applyFill="1" applyBorder="1" applyAlignment="1" applyProtection="1">
      <alignment horizontal="center" vertical="center"/>
      <protection hidden="1"/>
    </xf>
    <xf numFmtId="164" fontId="6" fillId="7" borderId="18" xfId="0" applyNumberFormat="1" applyFont="1" applyFill="1" applyBorder="1" applyAlignment="1" applyProtection="1">
      <alignment horizontal="center" vertical="center"/>
      <protection locked="0"/>
    </xf>
    <xf numFmtId="164" fontId="6" fillId="7" borderId="19" xfId="0" applyNumberFormat="1" applyFont="1" applyFill="1" applyBorder="1" applyAlignment="1" applyProtection="1">
      <alignment horizontal="center" vertical="center"/>
      <protection locked="0"/>
    </xf>
    <xf numFmtId="0" fontId="10" fillId="0" borderId="17" xfId="0" applyFont="1" applyBorder="1" applyAlignment="1">
      <alignment horizontal="left" vertical="center" indent="1"/>
    </xf>
    <xf numFmtId="0" fontId="6" fillId="7" borderId="20" xfId="0" applyFont="1" applyFill="1" applyBorder="1" applyAlignment="1" applyProtection="1">
      <alignment horizontal="center" vertical="center"/>
      <protection locked="0"/>
    </xf>
    <xf numFmtId="3" fontId="43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85" xfId="0" applyNumberFormat="1" applyFont="1" applyFill="1" applyBorder="1" applyAlignment="1" applyProtection="1">
      <alignment horizontal="center" vertical="center"/>
      <protection locked="0" hidden="1"/>
    </xf>
    <xf numFmtId="3" fontId="42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11" fillId="0" borderId="33" xfId="0" applyNumberFormat="1" applyFont="1" applyBorder="1" applyAlignment="1" applyProtection="1">
      <alignment horizontal="center" vertical="center"/>
      <protection hidden="1"/>
    </xf>
    <xf numFmtId="9" fontId="11" fillId="3" borderId="32" xfId="0" applyNumberFormat="1" applyFont="1" applyFill="1" applyBorder="1" applyAlignment="1">
      <alignment horizontal="center" vertical="center"/>
    </xf>
    <xf numFmtId="164" fontId="11" fillId="7" borderId="32" xfId="0" applyNumberFormat="1" applyFont="1" applyFill="1" applyBorder="1" applyAlignment="1" applyProtection="1">
      <alignment horizontal="center" vertical="center"/>
      <protection locked="0"/>
    </xf>
    <xf numFmtId="1" fontId="10" fillId="0" borderId="0" xfId="0" applyNumberFormat="1" applyFont="1" applyAlignment="1" applyProtection="1">
      <alignment horizontal="left" vertical="center"/>
      <protection locked="0"/>
    </xf>
    <xf numFmtId="1" fontId="10" fillId="0" borderId="20" xfId="0" applyNumberFormat="1" applyFont="1" applyBorder="1" applyAlignment="1" applyProtection="1">
      <alignment horizontal="left" vertical="center"/>
      <protection locked="0"/>
    </xf>
    <xf numFmtId="0" fontId="11" fillId="0" borderId="23" xfId="0" applyFont="1" applyBorder="1"/>
    <xf numFmtId="1" fontId="11" fillId="0" borderId="23" xfId="0" applyNumberFormat="1" applyFont="1" applyBorder="1" applyAlignment="1" applyProtection="1">
      <alignment horizontal="left" vertical="center"/>
      <protection locked="0"/>
    </xf>
    <xf numFmtId="1" fontId="11" fillId="0" borderId="16" xfId="0" applyNumberFormat="1" applyFont="1" applyBorder="1" applyAlignment="1" applyProtection="1">
      <alignment horizontal="left" vertical="center"/>
      <protection locked="0"/>
    </xf>
    <xf numFmtId="0" fontId="5" fillId="0" borderId="18" xfId="0" applyFont="1" applyBorder="1" applyAlignment="1">
      <alignment horizontal="left" vertical="center"/>
    </xf>
    <xf numFmtId="0" fontId="16" fillId="0" borderId="7" xfId="0" applyFont="1" applyBorder="1"/>
    <xf numFmtId="0" fontId="11" fillId="0" borderId="7" xfId="0" applyFont="1" applyBorder="1" applyAlignment="1">
      <alignment vertical="center"/>
    </xf>
    <xf numFmtId="0" fontId="11" fillId="0" borderId="8" xfId="0" applyFont="1" applyBorder="1" applyAlignment="1">
      <alignment vertical="center"/>
    </xf>
    <xf numFmtId="0" fontId="11" fillId="0" borderId="25" xfId="0" applyFont="1" applyBorder="1" applyAlignment="1">
      <alignment horizontal="left" vertical="center"/>
    </xf>
    <xf numFmtId="0" fontId="11" fillId="0" borderId="0" xfId="1" applyFont="1" applyAlignment="1" applyProtection="1">
      <alignment vertical="center"/>
      <protection locked="0"/>
    </xf>
    <xf numFmtId="0" fontId="11" fillId="0" borderId="18" xfId="0" applyFont="1" applyBorder="1" applyAlignment="1">
      <alignment vertical="center"/>
    </xf>
    <xf numFmtId="0" fontId="0" fillId="0" borderId="16" xfId="0" applyBorder="1" applyAlignment="1" applyProtection="1">
      <alignment horizontal="left" vertical="center"/>
      <protection locked="0"/>
    </xf>
    <xf numFmtId="0" fontId="6" fillId="0" borderId="23" xfId="0" applyFont="1" applyBorder="1" applyAlignment="1">
      <alignment horizontal="left" vertical="center"/>
    </xf>
    <xf numFmtId="0" fontId="6" fillId="0" borderId="23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left" vertical="center"/>
      <protection locked="0"/>
    </xf>
    <xf numFmtId="0" fontId="11" fillId="0" borderId="23" xfId="0" applyFont="1" applyBorder="1" applyAlignment="1" applyProtection="1">
      <alignment horizontal="left" vertical="center"/>
      <protection locked="0"/>
    </xf>
    <xf numFmtId="0" fontId="11" fillId="0" borderId="20" xfId="0" applyFont="1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2" fillId="0" borderId="23" xfId="0" applyFont="1" applyBorder="1" applyAlignment="1" applyProtection="1">
      <alignment horizontal="left" vertical="center"/>
      <protection locked="0"/>
    </xf>
    <xf numFmtId="0" fontId="27" fillId="0" borderId="17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10" fillId="6" borderId="4" xfId="0" applyFont="1" applyFill="1" applyBorder="1" applyAlignment="1" applyProtection="1">
      <alignment horizontal="center" vertical="center"/>
      <protection hidden="1"/>
    </xf>
    <xf numFmtId="3" fontId="10" fillId="6" borderId="3" xfId="0" applyNumberFormat="1" applyFont="1" applyFill="1" applyBorder="1" applyAlignment="1">
      <alignment horizontal="center" vertical="center"/>
    </xf>
    <xf numFmtId="3" fontId="10" fillId="6" borderId="47" xfId="0" applyNumberFormat="1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/>
    </xf>
    <xf numFmtId="3" fontId="10" fillId="0" borderId="47" xfId="0" applyNumberFormat="1" applyFont="1" applyBorder="1" applyAlignment="1">
      <alignment horizontal="center" vertical="center"/>
    </xf>
    <xf numFmtId="9" fontId="11" fillId="7" borderId="210" xfId="2" applyFont="1" applyFill="1" applyBorder="1" applyAlignment="1" applyProtection="1">
      <alignment horizontal="center" vertical="center"/>
      <protection locked="0"/>
    </xf>
    <xf numFmtId="9" fontId="11" fillId="7" borderId="46" xfId="2" applyFont="1" applyFill="1" applyBorder="1" applyAlignment="1" applyProtection="1">
      <alignment horizontal="center" vertical="center"/>
      <protection locked="0"/>
    </xf>
    <xf numFmtId="3" fontId="11" fillId="0" borderId="10" xfId="0" applyNumberFormat="1" applyFont="1" applyBorder="1" applyAlignment="1" applyProtection="1">
      <alignment horizontal="center" vertical="center"/>
      <protection hidden="1"/>
    </xf>
    <xf numFmtId="3" fontId="42" fillId="5" borderId="19" xfId="0" applyNumberFormat="1" applyFont="1" applyFill="1" applyBorder="1" applyAlignment="1" applyProtection="1">
      <alignment horizontal="center" vertical="center"/>
      <protection hidden="1"/>
    </xf>
    <xf numFmtId="3" fontId="11" fillId="0" borderId="7" xfId="0" applyNumberFormat="1" applyFont="1" applyBorder="1" applyAlignment="1" applyProtection="1">
      <alignment horizontal="center" vertical="center"/>
      <protection hidden="1"/>
    </xf>
    <xf numFmtId="3" fontId="2" fillId="0" borderId="0" xfId="0" applyNumberFormat="1" applyFont="1" applyAlignment="1" applyProtection="1">
      <alignment horizontal="center" vertical="center"/>
      <protection hidden="1"/>
    </xf>
    <xf numFmtId="3" fontId="2" fillId="0" borderId="16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>
      <alignment horizontal="left"/>
    </xf>
    <xf numFmtId="167" fontId="11" fillId="0" borderId="17" xfId="0" applyNumberFormat="1" applyFont="1" applyBorder="1" applyAlignment="1" applyProtection="1">
      <alignment horizontal="right" vertical="center"/>
      <protection hidden="1"/>
    </xf>
    <xf numFmtId="166" fontId="11" fillId="0" borderId="17" xfId="2" applyNumberFormat="1" applyFont="1" applyBorder="1" applyProtection="1">
      <protection hidden="1"/>
    </xf>
    <xf numFmtId="166" fontId="11" fillId="0" borderId="17" xfId="2" applyNumberFormat="1" applyFont="1" applyBorder="1" applyAlignment="1" applyProtection="1">
      <alignment horizontal="right" vertical="center"/>
      <protection hidden="1"/>
    </xf>
    <xf numFmtId="167" fontId="11" fillId="0" borderId="19" xfId="0" applyNumberFormat="1" applyFont="1" applyBorder="1" applyAlignment="1" applyProtection="1">
      <alignment horizontal="right" vertical="center"/>
      <protection hidden="1"/>
    </xf>
    <xf numFmtId="3" fontId="3" fillId="0" borderId="47" xfId="0" applyNumberFormat="1" applyFont="1" applyBorder="1" applyAlignment="1">
      <alignment horizontal="center" vertical="center"/>
    </xf>
    <xf numFmtId="3" fontId="3" fillId="0" borderId="5" xfId="0" applyNumberFormat="1" applyFont="1" applyBorder="1" applyAlignment="1">
      <alignment horizontal="center" vertical="center"/>
    </xf>
    <xf numFmtId="0" fontId="5" fillId="12" borderId="0" xfId="0" applyFont="1" applyFill="1" applyAlignment="1">
      <alignment horizontal="center" vertical="center"/>
    </xf>
    <xf numFmtId="0" fontId="52" fillId="12" borderId="0" xfId="0" applyFont="1" applyFill="1" applyAlignment="1">
      <alignment horizontal="center"/>
    </xf>
    <xf numFmtId="0" fontId="10" fillId="12" borderId="0" xfId="0" applyFont="1" applyFill="1" applyAlignment="1">
      <alignment horizontal="center" vertical="center"/>
    </xf>
    <xf numFmtId="0" fontId="56" fillId="12" borderId="0" xfId="0" applyFont="1" applyFill="1" applyAlignment="1">
      <alignment horizontal="center" vertical="center"/>
    </xf>
    <xf numFmtId="166" fontId="6" fillId="0" borderId="212" xfId="0" applyNumberFormat="1" applyFont="1" applyBorder="1" applyAlignment="1" applyProtection="1">
      <alignment horizontal="center" vertical="center"/>
      <protection hidden="1"/>
    </xf>
    <xf numFmtId="166" fontId="6" fillId="0" borderId="213" xfId="0" applyNumberFormat="1" applyFont="1" applyBorder="1" applyAlignment="1" applyProtection="1">
      <alignment horizontal="center" vertical="center"/>
      <protection hidden="1"/>
    </xf>
    <xf numFmtId="0" fontId="3" fillId="6" borderId="214" xfId="0" applyFont="1" applyFill="1" applyBorder="1" applyAlignment="1" applyProtection="1">
      <alignment horizontal="center" vertical="center"/>
      <protection hidden="1"/>
    </xf>
    <xf numFmtId="0" fontId="3" fillId="0" borderId="211" xfId="0" applyFont="1" applyBorder="1" applyAlignment="1">
      <alignment horizontal="center"/>
    </xf>
    <xf numFmtId="167" fontId="6" fillId="0" borderId="216" xfId="0" applyNumberFormat="1" applyFont="1" applyBorder="1" applyAlignment="1" applyProtection="1">
      <alignment horizontal="center" vertical="center"/>
      <protection hidden="1"/>
    </xf>
    <xf numFmtId="167" fontId="6" fillId="0" borderId="212" xfId="0" applyNumberFormat="1" applyFont="1" applyBorder="1" applyAlignment="1" applyProtection="1">
      <alignment horizontal="center" vertical="center"/>
      <protection hidden="1"/>
    </xf>
    <xf numFmtId="167" fontId="6" fillId="0" borderId="217" xfId="0" applyNumberFormat="1" applyFont="1" applyBorder="1" applyAlignment="1" applyProtection="1">
      <alignment horizontal="center" vertical="center"/>
      <protection hidden="1"/>
    </xf>
    <xf numFmtId="167" fontId="6" fillId="0" borderId="213" xfId="0" applyNumberFormat="1" applyFont="1" applyBorder="1" applyAlignment="1" applyProtection="1">
      <alignment horizontal="center" vertical="center"/>
      <protection hidden="1"/>
    </xf>
    <xf numFmtId="167" fontId="3" fillId="0" borderId="214" xfId="0" applyNumberFormat="1" applyFont="1" applyBorder="1" applyAlignment="1" applyProtection="1">
      <alignment horizontal="center" vertical="center"/>
      <protection hidden="1"/>
    </xf>
    <xf numFmtId="0" fontId="3" fillId="0" borderId="219" xfId="0" applyFont="1" applyBorder="1" applyAlignment="1" applyProtection="1">
      <alignment horizontal="left" vertical="center"/>
      <protection hidden="1"/>
    </xf>
    <xf numFmtId="3" fontId="3" fillId="0" borderId="216" xfId="0" applyNumberFormat="1" applyFont="1" applyBorder="1" applyAlignment="1" applyProtection="1">
      <alignment horizontal="center" vertical="center"/>
      <protection hidden="1"/>
    </xf>
    <xf numFmtId="166" fontId="3" fillId="0" borderId="212" xfId="2" applyNumberFormat="1" applyFont="1" applyFill="1" applyBorder="1" applyAlignment="1" applyProtection="1">
      <alignment horizontal="center" vertical="center"/>
      <protection hidden="1"/>
    </xf>
    <xf numFmtId="167" fontId="3" fillId="0" borderId="212" xfId="0" applyNumberFormat="1" applyFont="1" applyBorder="1" applyAlignment="1" applyProtection="1">
      <alignment horizontal="center" vertical="center"/>
      <protection hidden="1"/>
    </xf>
    <xf numFmtId="0" fontId="6" fillId="0" borderId="220" xfId="0" applyFont="1" applyBorder="1" applyAlignment="1" applyProtection="1">
      <alignment horizontal="left" vertical="center"/>
      <protection hidden="1"/>
    </xf>
    <xf numFmtId="0" fontId="6" fillId="0" borderId="219" xfId="0" applyFont="1" applyBorder="1" applyAlignment="1" applyProtection="1">
      <alignment horizontal="left" vertical="center"/>
      <protection hidden="1"/>
    </xf>
    <xf numFmtId="0" fontId="6" fillId="0" borderId="221" xfId="0" applyFont="1" applyBorder="1" applyAlignment="1" applyProtection="1">
      <alignment horizontal="left" vertical="center"/>
      <protection hidden="1"/>
    </xf>
    <xf numFmtId="0" fontId="3" fillId="8" borderId="220" xfId="0" applyFont="1" applyFill="1" applyBorder="1" applyAlignment="1" applyProtection="1">
      <alignment vertical="center"/>
      <protection hidden="1"/>
    </xf>
    <xf numFmtId="166" fontId="6" fillId="0" borderId="212" xfId="2" applyNumberFormat="1" applyFont="1" applyFill="1" applyBorder="1" applyAlignment="1" applyProtection="1">
      <alignment horizontal="center" vertical="center"/>
      <protection hidden="1"/>
    </xf>
    <xf numFmtId="166" fontId="6" fillId="0" borderId="213" xfId="2" applyNumberFormat="1" applyFont="1" applyFill="1" applyBorder="1" applyAlignment="1" applyProtection="1">
      <alignment horizontal="center" vertical="center"/>
      <protection hidden="1"/>
    </xf>
    <xf numFmtId="167" fontId="3" fillId="8" borderId="218" xfId="0" applyNumberFormat="1" applyFont="1" applyFill="1" applyBorder="1" applyAlignment="1" applyProtection="1">
      <alignment horizontal="center" vertical="center"/>
      <protection hidden="1"/>
    </xf>
    <xf numFmtId="167" fontId="3" fillId="8" borderId="214" xfId="0" applyNumberFormat="1" applyFont="1" applyFill="1" applyBorder="1" applyAlignment="1" applyProtection="1">
      <alignment horizontal="center" vertical="center"/>
      <protection hidden="1"/>
    </xf>
    <xf numFmtId="0" fontId="6" fillId="0" borderId="222" xfId="0" applyFont="1" applyBorder="1" applyAlignment="1" applyProtection="1">
      <alignment horizontal="left" vertical="center"/>
      <protection hidden="1"/>
    </xf>
    <xf numFmtId="167" fontId="6" fillId="0" borderId="223" xfId="0" applyNumberFormat="1" applyFont="1" applyBorder="1" applyAlignment="1" applyProtection="1">
      <alignment horizontal="center" vertical="center"/>
      <protection hidden="1"/>
    </xf>
    <xf numFmtId="0" fontId="6" fillId="0" borderId="147" xfId="0" applyFont="1" applyBorder="1" applyAlignment="1" applyProtection="1">
      <alignment horizontal="center" vertical="center"/>
      <protection hidden="1"/>
    </xf>
    <xf numFmtId="166" fontId="6" fillId="0" borderId="224" xfId="2" applyNumberFormat="1" applyFont="1" applyFill="1" applyBorder="1" applyAlignment="1" applyProtection="1">
      <alignment horizontal="center" vertical="center"/>
      <protection hidden="1"/>
    </xf>
    <xf numFmtId="167" fontId="6" fillId="0" borderId="224" xfId="0" applyNumberFormat="1" applyFont="1" applyBorder="1" applyAlignment="1" applyProtection="1">
      <alignment horizontal="center" vertical="center"/>
      <protection hidden="1"/>
    </xf>
    <xf numFmtId="167" fontId="6" fillId="0" borderId="218" xfId="0" applyNumberFormat="1" applyFont="1" applyBorder="1" applyAlignment="1" applyProtection="1">
      <alignment horizontal="center" vertical="center"/>
      <protection hidden="1"/>
    </xf>
    <xf numFmtId="1" fontId="6" fillId="0" borderId="161" xfId="0" applyNumberFormat="1" applyFont="1" applyBorder="1" applyAlignment="1" applyProtection="1">
      <alignment horizontal="center" vertical="center"/>
      <protection hidden="1"/>
    </xf>
    <xf numFmtId="166" fontId="6" fillId="0" borderId="214" xfId="2" applyNumberFormat="1" applyFont="1" applyFill="1" applyBorder="1" applyAlignment="1" applyProtection="1">
      <alignment horizontal="center" vertical="center"/>
      <protection hidden="1"/>
    </xf>
    <xf numFmtId="167" fontId="6" fillId="0" borderId="161" xfId="0" applyNumberFormat="1" applyFont="1" applyBorder="1" applyAlignment="1" applyProtection="1">
      <alignment horizontal="center" vertical="center"/>
      <protection hidden="1"/>
    </xf>
    <xf numFmtId="167" fontId="6" fillId="0" borderId="214" xfId="0" applyNumberFormat="1" applyFont="1" applyBorder="1" applyAlignment="1" applyProtection="1">
      <alignment horizontal="center" vertical="center"/>
      <protection hidden="1"/>
    </xf>
    <xf numFmtId="0" fontId="6" fillId="0" borderId="219" xfId="0" applyFont="1" applyBorder="1" applyAlignment="1" applyProtection="1">
      <alignment vertical="center"/>
      <protection hidden="1"/>
    </xf>
    <xf numFmtId="0" fontId="6" fillId="0" borderId="221" xfId="0" applyFont="1" applyBorder="1" applyAlignment="1" applyProtection="1">
      <alignment vertical="center"/>
      <protection hidden="1"/>
    </xf>
    <xf numFmtId="0" fontId="3" fillId="0" borderId="225" xfId="0" applyFont="1" applyBorder="1" applyAlignment="1" applyProtection="1">
      <alignment vertical="center"/>
      <protection hidden="1"/>
    </xf>
    <xf numFmtId="3" fontId="6" fillId="0" borderId="216" xfId="0" applyNumberFormat="1" applyFont="1" applyBorder="1" applyAlignment="1" applyProtection="1">
      <alignment horizontal="center" vertical="center"/>
      <protection hidden="1"/>
    </xf>
    <xf numFmtId="3" fontId="6" fillId="0" borderId="217" xfId="0" applyNumberFormat="1" applyFont="1" applyBorder="1" applyAlignment="1" applyProtection="1">
      <alignment horizontal="center" vertical="center"/>
      <protection hidden="1"/>
    </xf>
    <xf numFmtId="3" fontId="3" fillId="0" borderId="226" xfId="0" applyNumberFormat="1" applyFont="1" applyBorder="1" applyAlignment="1" applyProtection="1">
      <alignment horizontal="center" vertical="center"/>
      <protection hidden="1"/>
    </xf>
    <xf numFmtId="164" fontId="3" fillId="6" borderId="225" xfId="0" applyNumberFormat="1" applyFont="1" applyFill="1" applyBorder="1" applyAlignment="1" applyProtection="1">
      <alignment horizontal="center" vertical="center"/>
      <protection hidden="1"/>
    </xf>
    <xf numFmtId="164" fontId="85" fillId="13" borderId="188" xfId="0" applyNumberFormat="1" applyFont="1" applyFill="1" applyBorder="1" applyAlignment="1" applyProtection="1">
      <alignment horizontal="center" vertical="center"/>
      <protection hidden="1"/>
    </xf>
    <xf numFmtId="167" fontId="6" fillId="0" borderId="189" xfId="0" applyNumberFormat="1" applyFont="1" applyBorder="1" applyAlignment="1" applyProtection="1">
      <alignment horizontal="center" vertical="center"/>
      <protection hidden="1"/>
    </xf>
    <xf numFmtId="167" fontId="6" fillId="0" borderId="227" xfId="0" applyNumberFormat="1" applyFont="1" applyBorder="1" applyAlignment="1" applyProtection="1">
      <alignment horizontal="center" vertical="center"/>
      <protection hidden="1"/>
    </xf>
    <xf numFmtId="167" fontId="3" fillId="0" borderId="228" xfId="0" applyNumberFormat="1" applyFont="1" applyBorder="1" applyAlignment="1" applyProtection="1">
      <alignment horizontal="center" vertical="center"/>
      <protection hidden="1"/>
    </xf>
    <xf numFmtId="167" fontId="3" fillId="0" borderId="229" xfId="0" applyNumberFormat="1" applyFont="1" applyBorder="1" applyAlignment="1" applyProtection="1">
      <alignment horizontal="center" vertical="center"/>
      <protection hidden="1"/>
    </xf>
    <xf numFmtId="167" fontId="3" fillId="0" borderId="189" xfId="0" applyNumberFormat="1" applyFont="1" applyBorder="1" applyAlignment="1" applyProtection="1">
      <alignment horizontal="center" vertical="center"/>
      <protection hidden="1"/>
    </xf>
    <xf numFmtId="167" fontId="3" fillId="0" borderId="230" xfId="0" applyNumberFormat="1" applyFont="1" applyBorder="1" applyAlignment="1" applyProtection="1">
      <alignment horizontal="center" vertical="center"/>
      <protection hidden="1"/>
    </xf>
    <xf numFmtId="164" fontId="85" fillId="13" borderId="174" xfId="0" applyNumberFormat="1" applyFont="1" applyFill="1" applyBorder="1" applyAlignment="1" applyProtection="1">
      <alignment horizontal="center" vertical="center"/>
      <protection hidden="1"/>
    </xf>
    <xf numFmtId="3" fontId="6" fillId="0" borderId="231" xfId="0" applyNumberFormat="1" applyFont="1" applyBorder="1" applyAlignment="1" applyProtection="1">
      <alignment horizontal="center" vertical="center"/>
      <protection hidden="1"/>
    </xf>
    <xf numFmtId="3" fontId="6" fillId="0" borderId="232" xfId="0" applyNumberFormat="1" applyFont="1" applyBorder="1" applyAlignment="1" applyProtection="1">
      <alignment horizontal="center" vertical="center"/>
      <protection hidden="1"/>
    </xf>
    <xf numFmtId="3" fontId="3" fillId="0" borderId="233" xfId="0" applyNumberFormat="1" applyFont="1" applyBorder="1" applyAlignment="1" applyProtection="1">
      <alignment horizontal="center" vertical="center"/>
      <protection hidden="1"/>
    </xf>
    <xf numFmtId="3" fontId="3" fillId="6" borderId="172" xfId="0" applyNumberFormat="1" applyFont="1" applyFill="1" applyBorder="1" applyAlignment="1" applyProtection="1">
      <alignment horizontal="center" vertical="center"/>
      <protection hidden="1"/>
    </xf>
    <xf numFmtId="3" fontId="3" fillId="6" borderId="234" xfId="0" applyNumberFormat="1" applyFont="1" applyFill="1" applyBorder="1" applyAlignment="1" applyProtection="1">
      <alignment horizontal="center" vertical="center"/>
      <protection hidden="1"/>
    </xf>
    <xf numFmtId="167" fontId="3" fillId="0" borderId="195" xfId="0" applyNumberFormat="1" applyFont="1" applyBorder="1" applyAlignment="1" applyProtection="1">
      <alignment horizontal="center" vertical="center"/>
      <protection hidden="1"/>
    </xf>
    <xf numFmtId="0" fontId="3" fillId="6" borderId="235" xfId="0" applyFont="1" applyFill="1" applyBorder="1" applyAlignment="1" applyProtection="1">
      <alignment vertical="center"/>
      <protection hidden="1"/>
    </xf>
    <xf numFmtId="167" fontId="3" fillId="0" borderId="235" xfId="0" applyNumberFormat="1" applyFont="1" applyBorder="1" applyAlignment="1" applyProtection="1">
      <alignment horizontal="center" vertical="center"/>
      <protection hidden="1"/>
    </xf>
    <xf numFmtId="167" fontId="3" fillId="0" borderId="236" xfId="0" applyNumberFormat="1" applyFont="1" applyBorder="1" applyAlignment="1" applyProtection="1">
      <alignment horizontal="center" vertical="center"/>
      <protection hidden="1"/>
    </xf>
    <xf numFmtId="0" fontId="85" fillId="13" borderId="173" xfId="0" applyFont="1" applyFill="1" applyBorder="1" applyAlignment="1" applyProtection="1">
      <alignment horizontal="left" vertical="center" wrapText="1" indent="1"/>
      <protection hidden="1"/>
    </xf>
    <xf numFmtId="0" fontId="85" fillId="13" borderId="173" xfId="0" applyFont="1" applyFill="1" applyBorder="1" applyAlignment="1" applyProtection="1">
      <alignment horizontal="center" vertical="center" wrapText="1"/>
      <protection hidden="1"/>
    </xf>
    <xf numFmtId="0" fontId="3" fillId="0" borderId="238" xfId="0" applyFont="1" applyBorder="1" applyAlignment="1" applyProtection="1">
      <alignment horizontal="left" vertical="center" wrapText="1"/>
      <protection hidden="1"/>
    </xf>
    <xf numFmtId="166" fontId="3" fillId="0" borderId="238" xfId="0" applyNumberFormat="1" applyFont="1" applyBorder="1" applyAlignment="1" applyProtection="1">
      <alignment horizontal="center" vertical="center" wrapText="1"/>
      <protection hidden="1"/>
    </xf>
    <xf numFmtId="166" fontId="3" fillId="0" borderId="239" xfId="0" applyNumberFormat="1" applyFont="1" applyBorder="1" applyAlignment="1" applyProtection="1">
      <alignment horizontal="center" vertical="center" wrapText="1"/>
      <protection hidden="1"/>
    </xf>
    <xf numFmtId="0" fontId="3" fillId="0" borderId="240" xfId="0" applyFont="1" applyBorder="1" applyAlignment="1" applyProtection="1">
      <alignment vertical="center"/>
      <protection hidden="1"/>
    </xf>
    <xf numFmtId="0" fontId="3" fillId="3" borderId="10" xfId="0" applyFont="1" applyFill="1" applyBorder="1" applyAlignment="1" applyProtection="1">
      <alignment horizontal="left" vertical="center" wrapText="1"/>
      <protection hidden="1"/>
    </xf>
    <xf numFmtId="0" fontId="67" fillId="3" borderId="10" xfId="0" applyFont="1" applyFill="1" applyBorder="1" applyAlignment="1" applyProtection="1">
      <alignment horizontal="center" vertical="center" wrapText="1"/>
      <protection hidden="1"/>
    </xf>
    <xf numFmtId="0" fontId="3" fillId="3" borderId="10" xfId="0" applyFont="1" applyFill="1" applyBorder="1" applyAlignment="1" applyProtection="1">
      <alignment horizontal="center" vertical="center"/>
      <protection hidden="1"/>
    </xf>
    <xf numFmtId="0" fontId="3" fillId="3" borderId="241" xfId="0" applyFont="1" applyFill="1" applyBorder="1" applyAlignment="1" applyProtection="1">
      <alignment horizontal="left" vertical="center" wrapText="1"/>
      <protection hidden="1"/>
    </xf>
    <xf numFmtId="167" fontId="6" fillId="3" borderId="241" xfId="0" applyNumberFormat="1" applyFont="1" applyFill="1" applyBorder="1" applyAlignment="1" applyProtection="1">
      <alignment horizontal="center" vertical="center"/>
      <protection hidden="1"/>
    </xf>
    <xf numFmtId="1" fontId="6" fillId="3" borderId="241" xfId="0" applyNumberFormat="1" applyFont="1" applyFill="1" applyBorder="1" applyAlignment="1" applyProtection="1">
      <alignment horizontal="center" vertical="center"/>
      <protection hidden="1"/>
    </xf>
    <xf numFmtId="166" fontId="6" fillId="3" borderId="241" xfId="0" applyNumberFormat="1" applyFont="1" applyFill="1" applyBorder="1" applyAlignment="1" applyProtection="1">
      <alignment horizontal="center" vertical="center"/>
      <protection hidden="1"/>
    </xf>
    <xf numFmtId="3" fontId="6" fillId="3" borderId="241" xfId="0" applyNumberFormat="1" applyFont="1" applyFill="1" applyBorder="1" applyAlignment="1" applyProtection="1">
      <alignment horizontal="center" vertical="center"/>
      <protection hidden="1"/>
    </xf>
    <xf numFmtId="0" fontId="3" fillId="3" borderId="242" xfId="0" applyFont="1" applyFill="1" applyBorder="1" applyAlignment="1" applyProtection="1">
      <alignment horizontal="left" vertical="center" wrapText="1"/>
      <protection hidden="1"/>
    </xf>
    <xf numFmtId="167" fontId="6" fillId="3" borderId="242" xfId="0" applyNumberFormat="1" applyFont="1" applyFill="1" applyBorder="1" applyAlignment="1" applyProtection="1">
      <alignment horizontal="center" vertical="center"/>
      <protection hidden="1"/>
    </xf>
    <xf numFmtId="1" fontId="6" fillId="3" borderId="242" xfId="0" applyNumberFormat="1" applyFont="1" applyFill="1" applyBorder="1" applyAlignment="1" applyProtection="1">
      <alignment horizontal="center" vertical="center"/>
      <protection hidden="1"/>
    </xf>
    <xf numFmtId="166" fontId="6" fillId="3" borderId="242" xfId="0" applyNumberFormat="1" applyFont="1" applyFill="1" applyBorder="1" applyAlignment="1" applyProtection="1">
      <alignment horizontal="center" vertical="center"/>
      <protection hidden="1"/>
    </xf>
    <xf numFmtId="3" fontId="6" fillId="3" borderId="242" xfId="0" applyNumberFormat="1" applyFont="1" applyFill="1" applyBorder="1" applyAlignment="1" applyProtection="1">
      <alignment horizontal="center" vertical="center"/>
      <protection hidden="1"/>
    </xf>
    <xf numFmtId="0" fontId="3" fillId="0" borderId="243" xfId="0" applyFont="1" applyBorder="1" applyAlignment="1" applyProtection="1">
      <alignment horizontal="center" vertical="center"/>
      <protection hidden="1"/>
    </xf>
    <xf numFmtId="0" fontId="3" fillId="0" borderId="16" xfId="0" applyFont="1" applyBorder="1" applyAlignment="1" applyProtection="1">
      <alignment horizontal="center" vertical="center"/>
      <protection hidden="1"/>
    </xf>
    <xf numFmtId="0" fontId="3" fillId="0" borderId="244" xfId="0" applyFont="1" applyBorder="1" applyAlignment="1" applyProtection="1">
      <alignment horizontal="center" vertical="center"/>
      <protection hidden="1"/>
    </xf>
    <xf numFmtId="0" fontId="3" fillId="0" borderId="244" xfId="0" applyFont="1" applyBorder="1" applyAlignment="1" applyProtection="1">
      <alignment horizontal="center" vertical="center" wrapText="1"/>
      <protection hidden="1"/>
    </xf>
    <xf numFmtId="0" fontId="74" fillId="0" borderId="0" xfId="0" applyFont="1" applyAlignment="1" applyProtection="1">
      <alignment vertical="center"/>
      <protection hidden="1"/>
    </xf>
    <xf numFmtId="0" fontId="89" fillId="0" borderId="0" xfId="0" applyFont="1" applyAlignment="1" applyProtection="1">
      <alignment vertical="center"/>
      <protection hidden="1"/>
    </xf>
    <xf numFmtId="0" fontId="74" fillId="0" borderId="0" xfId="0" applyFont="1" applyProtection="1">
      <protection hidden="1"/>
    </xf>
    <xf numFmtId="0" fontId="89" fillId="0" borderId="0" xfId="0" applyFont="1" applyProtection="1">
      <protection hidden="1"/>
    </xf>
    <xf numFmtId="0" fontId="89" fillId="0" borderId="0" xfId="0" applyFont="1" applyAlignment="1" applyProtection="1">
      <alignment horizontal="left"/>
      <protection hidden="1"/>
    </xf>
    <xf numFmtId="0" fontId="92" fillId="0" borderId="0" xfId="0" applyFont="1" applyProtection="1">
      <protection hidden="1"/>
    </xf>
    <xf numFmtId="0" fontId="92" fillId="0" borderId="0" xfId="0" applyFont="1" applyAlignment="1" applyProtection="1">
      <alignment vertical="center"/>
      <protection hidden="1"/>
    </xf>
    <xf numFmtId="166" fontId="6" fillId="0" borderId="248" xfId="0" applyNumberFormat="1" applyFont="1" applyBorder="1" applyAlignment="1" applyProtection="1">
      <alignment horizontal="center" vertical="center"/>
      <protection hidden="1"/>
    </xf>
    <xf numFmtId="166" fontId="6" fillId="0" borderId="249" xfId="0" applyNumberFormat="1" applyFont="1" applyBorder="1" applyAlignment="1" applyProtection="1">
      <alignment horizontal="center" vertical="center"/>
      <protection hidden="1"/>
    </xf>
    <xf numFmtId="0" fontId="3" fillId="0" borderId="0" xfId="0" applyFont="1" applyAlignment="1">
      <alignment horizontal="left" vertical="center" wrapText="1"/>
    </xf>
    <xf numFmtId="0" fontId="6" fillId="0" borderId="251" xfId="0" applyFont="1" applyBorder="1" applyAlignment="1" applyProtection="1">
      <alignment horizontal="left" vertical="center"/>
      <protection hidden="1"/>
    </xf>
    <xf numFmtId="3" fontId="3" fillId="0" borderId="218" xfId="0" applyNumberFormat="1" applyFont="1" applyBorder="1" applyAlignment="1" applyProtection="1">
      <alignment horizontal="center" vertical="center"/>
      <protection hidden="1"/>
    </xf>
    <xf numFmtId="0" fontId="3" fillId="0" borderId="247" xfId="0" applyFont="1" applyBorder="1" applyAlignment="1">
      <alignment horizontal="center"/>
    </xf>
    <xf numFmtId="167" fontId="6" fillId="0" borderId="248" xfId="0" applyNumberFormat="1" applyFont="1" applyBorder="1" applyAlignment="1" applyProtection="1">
      <alignment horizontal="center" vertical="center"/>
      <protection hidden="1"/>
    </xf>
    <xf numFmtId="167" fontId="6" fillId="0" borderId="249" xfId="0" applyNumberFormat="1" applyFont="1" applyBorder="1" applyAlignment="1" applyProtection="1">
      <alignment horizontal="center" vertical="center"/>
      <protection hidden="1"/>
    </xf>
    <xf numFmtId="167" fontId="3" fillId="0" borderId="250" xfId="0" applyNumberFormat="1" applyFont="1" applyBorder="1" applyAlignment="1" applyProtection="1">
      <alignment horizontal="center" vertical="center"/>
      <protection hidden="1"/>
    </xf>
    <xf numFmtId="167" fontId="3" fillId="0" borderId="248" xfId="0" applyNumberFormat="1" applyFont="1" applyBorder="1" applyAlignment="1" applyProtection="1">
      <alignment horizontal="center" vertical="center"/>
      <protection hidden="1"/>
    </xf>
    <xf numFmtId="166" fontId="6" fillId="0" borderId="252" xfId="0" applyNumberFormat="1" applyFont="1" applyBorder="1" applyAlignment="1" applyProtection="1">
      <alignment horizontal="center" vertical="center"/>
      <protection hidden="1"/>
    </xf>
    <xf numFmtId="166" fontId="6" fillId="0" borderId="253" xfId="0" applyNumberFormat="1" applyFont="1" applyBorder="1" applyAlignment="1" applyProtection="1">
      <alignment horizontal="center" vertical="center"/>
      <protection hidden="1"/>
    </xf>
    <xf numFmtId="166" fontId="6" fillId="0" borderId="254" xfId="0" applyNumberFormat="1" applyFont="1" applyBorder="1" applyAlignment="1" applyProtection="1">
      <alignment horizontal="center" vertical="center"/>
      <protection hidden="1"/>
    </xf>
    <xf numFmtId="167" fontId="3" fillId="8" borderId="250" xfId="0" applyNumberFormat="1" applyFont="1" applyFill="1" applyBorder="1" applyAlignment="1" applyProtection="1">
      <alignment horizontal="center" vertical="center"/>
      <protection hidden="1"/>
    </xf>
    <xf numFmtId="167" fontId="3" fillId="0" borderId="255" xfId="0" applyNumberFormat="1" applyFont="1" applyBorder="1" applyAlignment="1" applyProtection="1">
      <alignment horizontal="center" vertical="center"/>
      <protection hidden="1"/>
    </xf>
    <xf numFmtId="0" fontId="85" fillId="13" borderId="139" xfId="0" applyFont="1" applyFill="1" applyBorder="1" applyAlignment="1">
      <alignment horizontal="left" vertical="center" indent="1"/>
    </xf>
    <xf numFmtId="0" fontId="0" fillId="0" borderId="256" xfId="0" applyBorder="1"/>
    <xf numFmtId="0" fontId="18" fillId="0" borderId="256" xfId="0" applyFont="1" applyBorder="1"/>
    <xf numFmtId="0" fontId="18" fillId="0" borderId="258" xfId="0" applyFont="1" applyBorder="1"/>
    <xf numFmtId="0" fontId="2" fillId="2" borderId="0" xfId="0" applyFont="1" applyFill="1" applyAlignment="1">
      <alignment horizontal="right"/>
    </xf>
    <xf numFmtId="0" fontId="2" fillId="2" borderId="0" xfId="0" applyFont="1" applyFill="1"/>
    <xf numFmtId="164" fontId="2" fillId="2" borderId="0" xfId="0" applyNumberFormat="1" applyFont="1" applyFill="1" applyProtection="1">
      <protection hidden="1"/>
    </xf>
    <xf numFmtId="4" fontId="2" fillId="2" borderId="0" xfId="0" applyNumberFormat="1" applyFont="1" applyFill="1" applyProtection="1">
      <protection hidden="1"/>
    </xf>
    <xf numFmtId="49" fontId="2" fillId="2" borderId="0" xfId="0" applyNumberFormat="1" applyFont="1" applyFill="1" applyAlignment="1">
      <alignment horizontal="right"/>
    </xf>
    <xf numFmtId="167" fontId="2" fillId="2" borderId="0" xfId="0" applyNumberFormat="1" applyFont="1" applyFill="1"/>
    <xf numFmtId="0" fontId="38" fillId="0" borderId="0" xfId="0" applyFont="1" applyAlignment="1">
      <alignment vertical="center"/>
    </xf>
    <xf numFmtId="3" fontId="11" fillId="0" borderId="61" xfId="0" applyNumberFormat="1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right"/>
      <protection hidden="1"/>
    </xf>
    <xf numFmtId="164" fontId="59" fillId="7" borderId="32" xfId="2" applyNumberFormat="1" applyFont="1" applyFill="1" applyBorder="1" applyAlignment="1" applyProtection="1">
      <alignment horizontal="center" vertical="center"/>
      <protection locked="0"/>
    </xf>
    <xf numFmtId="164" fontId="59" fillId="7" borderId="33" xfId="2" applyNumberFormat="1" applyFont="1" applyFill="1" applyBorder="1" applyAlignment="1" applyProtection="1">
      <alignment horizontal="center" vertical="center"/>
      <protection locked="0"/>
    </xf>
    <xf numFmtId="166" fontId="11" fillId="0" borderId="45" xfId="0" applyNumberFormat="1" applyFont="1" applyBorder="1" applyAlignment="1">
      <alignment horizontal="right" vertical="center"/>
    </xf>
    <xf numFmtId="166" fontId="11" fillId="0" borderId="46" xfId="0" applyNumberFormat="1" applyFont="1" applyBorder="1" applyAlignment="1">
      <alignment horizontal="right" vertical="center"/>
    </xf>
    <xf numFmtId="166" fontId="10" fillId="0" borderId="77" xfId="0" applyNumberFormat="1" applyFont="1" applyBorder="1" applyAlignment="1">
      <alignment horizontal="right" vertical="center"/>
    </xf>
    <xf numFmtId="3" fontId="6" fillId="8" borderId="53" xfId="0" applyNumberFormat="1" applyFont="1" applyFill="1" applyBorder="1" applyAlignment="1">
      <alignment horizontal="center" vertical="center"/>
    </xf>
    <xf numFmtId="0" fontId="46" fillId="0" borderId="0" xfId="0" applyFont="1" applyAlignment="1" applyProtection="1">
      <alignment vertical="center"/>
      <protection hidden="1"/>
    </xf>
    <xf numFmtId="0" fontId="37" fillId="0" borderId="0" xfId="0" applyFont="1" applyProtection="1">
      <protection hidden="1"/>
    </xf>
    <xf numFmtId="3" fontId="11" fillId="0" borderId="0" xfId="0" applyNumberFormat="1" applyFont="1" applyAlignment="1" applyProtection="1">
      <alignment horizontal="center"/>
      <protection hidden="1"/>
    </xf>
    <xf numFmtId="0" fontId="11" fillId="0" borderId="158" xfId="0" applyFont="1" applyBorder="1" applyProtection="1">
      <protection hidden="1"/>
    </xf>
    <xf numFmtId="3" fontId="11" fillId="0" borderId="158" xfId="0" applyNumberFormat="1" applyFont="1" applyBorder="1" applyAlignment="1" applyProtection="1">
      <alignment horizontal="center"/>
      <protection hidden="1"/>
    </xf>
    <xf numFmtId="3" fontId="11" fillId="0" borderId="159" xfId="0" applyNumberFormat="1" applyFont="1" applyBorder="1" applyAlignment="1" applyProtection="1">
      <alignment horizontal="center"/>
      <protection hidden="1"/>
    </xf>
    <xf numFmtId="0" fontId="11" fillId="0" borderId="16" xfId="0" applyFont="1" applyBorder="1" applyAlignment="1" applyProtection="1">
      <alignment horizontal="left"/>
      <protection hidden="1"/>
    </xf>
    <xf numFmtId="0" fontId="11" fillId="0" borderId="59" xfId="0" applyFont="1" applyBorder="1" applyAlignment="1" applyProtection="1">
      <alignment horizontal="left"/>
      <protection hidden="1"/>
    </xf>
    <xf numFmtId="0" fontId="0" fillId="0" borderId="10" xfId="0" applyBorder="1" applyProtection="1">
      <protection hidden="1"/>
    </xf>
    <xf numFmtId="0" fontId="0" fillId="0" borderId="44" xfId="0" applyBorder="1" applyProtection="1">
      <protection hidden="1"/>
    </xf>
    <xf numFmtId="0" fontId="11" fillId="0" borderId="27" xfId="0" applyFont="1" applyBorder="1" applyAlignment="1">
      <alignment vertical="center"/>
    </xf>
    <xf numFmtId="0" fontId="11" fillId="0" borderId="28" xfId="0" applyFont="1" applyBorder="1" applyAlignment="1">
      <alignment vertical="center"/>
    </xf>
    <xf numFmtId="0" fontId="11" fillId="0" borderId="13" xfId="0" applyFont="1" applyBorder="1" applyAlignment="1">
      <alignment vertical="center"/>
    </xf>
    <xf numFmtId="0" fontId="11" fillId="0" borderId="34" xfId="0" applyFont="1" applyBorder="1" applyAlignment="1">
      <alignment vertical="center"/>
    </xf>
    <xf numFmtId="0" fontId="11" fillId="0" borderId="26" xfId="0" applyFont="1" applyBorder="1" applyAlignment="1">
      <alignment vertical="center"/>
    </xf>
    <xf numFmtId="0" fontId="11" fillId="0" borderId="76" xfId="0" applyFont="1" applyBorder="1" applyAlignment="1">
      <alignment horizontal="right" vertical="center"/>
    </xf>
    <xf numFmtId="3" fontId="11" fillId="0" borderId="45" xfId="0" applyNumberFormat="1" applyFont="1" applyBorder="1" applyAlignment="1">
      <alignment horizontal="right" vertical="center"/>
    </xf>
    <xf numFmtId="3" fontId="11" fillId="0" borderId="45" xfId="0" quotePrefix="1" applyNumberFormat="1" applyFont="1" applyBorder="1" applyAlignment="1">
      <alignment horizontal="right" vertical="center"/>
    </xf>
    <xf numFmtId="3" fontId="11" fillId="0" borderId="34" xfId="0" applyNumberFormat="1" applyFont="1" applyBorder="1" applyAlignment="1">
      <alignment horizontal="right" vertical="center"/>
    </xf>
    <xf numFmtId="0" fontId="11" fillId="7" borderId="10" xfId="0" applyFont="1" applyFill="1" applyBorder="1" applyAlignment="1" applyProtection="1">
      <alignment horizontal="left" vertical="center"/>
      <protection locked="0"/>
    </xf>
    <xf numFmtId="0" fontId="11" fillId="0" borderId="25" xfId="0" applyFont="1" applyBorder="1" applyAlignment="1">
      <alignment horizontal="center" vertical="center"/>
    </xf>
    <xf numFmtId="0" fontId="11" fillId="7" borderId="16" xfId="0" applyFont="1" applyFill="1" applyBorder="1" applyAlignment="1" applyProtection="1">
      <alignment horizontal="left" vertical="center"/>
      <protection locked="0"/>
    </xf>
    <xf numFmtId="0" fontId="10" fillId="0" borderId="10" xfId="0" applyFont="1" applyBorder="1" applyAlignment="1" applyProtection="1">
      <alignment horizontal="left" vertical="center" indent="1"/>
      <protection hidden="1"/>
    </xf>
    <xf numFmtId="0" fontId="11" fillId="0" borderId="10" xfId="0" applyFont="1" applyBorder="1" applyAlignment="1" applyProtection="1">
      <alignment horizontal="center" vertical="center"/>
      <protection hidden="1"/>
    </xf>
    <xf numFmtId="3" fontId="10" fillId="0" borderId="10" xfId="0" applyNumberFormat="1" applyFont="1" applyBorder="1" applyAlignment="1" applyProtection="1">
      <alignment horizontal="center" vertical="center"/>
      <protection hidden="1"/>
    </xf>
    <xf numFmtId="3" fontId="10" fillId="0" borderId="10" xfId="0" applyNumberFormat="1" applyFont="1" applyBorder="1" applyAlignment="1" applyProtection="1">
      <alignment horizontal="center"/>
      <protection hidden="1"/>
    </xf>
    <xf numFmtId="3" fontId="6" fillId="0" borderId="17" xfId="0" applyNumberFormat="1" applyFont="1" applyBorder="1" applyAlignment="1" applyProtection="1">
      <alignment horizontal="center"/>
      <protection hidden="1"/>
    </xf>
    <xf numFmtId="3" fontId="6" fillId="0" borderId="20" xfId="0" applyNumberFormat="1" applyFont="1" applyBorder="1" applyAlignment="1" applyProtection="1">
      <alignment horizontal="center"/>
      <protection hidden="1"/>
    </xf>
    <xf numFmtId="164" fontId="11" fillId="7" borderId="19" xfId="0" applyNumberFormat="1" applyFont="1" applyFill="1" applyBorder="1" applyAlignment="1" applyProtection="1">
      <alignment horizontal="center" vertical="center"/>
      <protection locked="0"/>
    </xf>
    <xf numFmtId="168" fontId="11" fillId="0" borderId="61" xfId="0" applyNumberFormat="1" applyFont="1" applyBorder="1" applyAlignment="1" applyProtection="1">
      <alignment horizontal="center" vertical="center"/>
      <protection hidden="1"/>
    </xf>
    <xf numFmtId="168" fontId="11" fillId="0" borderId="51" xfId="0" applyNumberFormat="1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locked="0"/>
    </xf>
    <xf numFmtId="0" fontId="94" fillId="0" borderId="25" xfId="0" applyFont="1" applyBorder="1" applyAlignment="1" applyProtection="1">
      <alignment horizontal="left" vertical="center"/>
      <protection hidden="1"/>
    </xf>
    <xf numFmtId="0" fontId="94" fillId="0" borderId="25" xfId="0" applyFont="1" applyBorder="1" applyAlignment="1">
      <alignment vertical="center"/>
    </xf>
    <xf numFmtId="0" fontId="77" fillId="0" borderId="18" xfId="0" applyFont="1" applyBorder="1" applyAlignment="1" applyProtection="1">
      <alignment vertical="center"/>
      <protection hidden="1"/>
    </xf>
    <xf numFmtId="0" fontId="77" fillId="0" borderId="25" xfId="0" applyFont="1" applyBorder="1" applyAlignment="1" applyProtection="1">
      <alignment vertical="center"/>
      <protection hidden="1"/>
    </xf>
    <xf numFmtId="0" fontId="77" fillId="0" borderId="23" xfId="0" applyFont="1" applyBorder="1" applyAlignment="1" applyProtection="1">
      <alignment vertical="center"/>
      <protection hidden="1"/>
    </xf>
    <xf numFmtId="0" fontId="10" fillId="7" borderId="10" xfId="0" applyFont="1" applyFill="1" applyBorder="1" applyAlignment="1" applyProtection="1">
      <alignment vertical="center"/>
      <protection locked="0"/>
    </xf>
    <xf numFmtId="16" fontId="10" fillId="0" borderId="10" xfId="0" applyNumberFormat="1" applyFont="1" applyBorder="1" applyAlignment="1">
      <alignment horizontal="left" vertical="center"/>
    </xf>
    <xf numFmtId="0" fontId="43" fillId="0" borderId="72" xfId="0" applyFont="1" applyBorder="1" applyAlignment="1" applyProtection="1">
      <alignment horizontal="left" vertical="center"/>
      <protection hidden="1"/>
    </xf>
    <xf numFmtId="0" fontId="43" fillId="0" borderId="73" xfId="0" applyFont="1" applyBorder="1" applyAlignment="1" applyProtection="1">
      <alignment horizontal="left" vertical="center"/>
      <protection hidden="1"/>
    </xf>
    <xf numFmtId="0" fontId="52" fillId="0" borderId="27" xfId="0" applyFont="1" applyBorder="1" applyAlignment="1" applyProtection="1">
      <alignment horizontal="left" vertical="center"/>
      <protection hidden="1"/>
    </xf>
    <xf numFmtId="0" fontId="1" fillId="0" borderId="0" xfId="0" applyFont="1" applyAlignment="1" applyProtection="1">
      <alignment horizontal="left" vertical="center"/>
      <protection hidden="1"/>
    </xf>
    <xf numFmtId="0" fontId="1" fillId="0" borderId="0" xfId="0" applyFont="1" applyProtection="1">
      <protection hidden="1"/>
    </xf>
    <xf numFmtId="17" fontId="43" fillId="0" borderId="47" xfId="0" applyNumberFormat="1" applyFont="1" applyBorder="1" applyAlignment="1">
      <alignment horizontal="center" vertical="center"/>
    </xf>
    <xf numFmtId="0" fontId="1" fillId="5" borderId="24" xfId="0" applyFont="1" applyFill="1" applyBorder="1" applyAlignment="1">
      <alignment horizontal="center" vertical="center"/>
    </xf>
    <xf numFmtId="6" fontId="85" fillId="13" borderId="170" xfId="0" applyNumberFormat="1" applyFont="1" applyFill="1" applyBorder="1" applyAlignment="1" applyProtection="1">
      <alignment horizontal="center" vertical="center"/>
      <protection hidden="1"/>
    </xf>
    <xf numFmtId="6" fontId="85" fillId="13" borderId="0" xfId="0" applyNumberFormat="1" applyFont="1" applyFill="1" applyAlignment="1" applyProtection="1">
      <alignment horizontal="center" vertical="center"/>
      <protection hidden="1"/>
    </xf>
    <xf numFmtId="0" fontId="3" fillId="3" borderId="140" xfId="0" applyFont="1" applyFill="1" applyBorder="1" applyAlignment="1" applyProtection="1">
      <alignment horizontal="center" vertical="center"/>
      <protection hidden="1"/>
    </xf>
    <xf numFmtId="0" fontId="3" fillId="3" borderId="143" xfId="0" applyFont="1" applyFill="1" applyBorder="1" applyAlignment="1" applyProtection="1">
      <alignment horizontal="center" vertical="center"/>
      <protection hidden="1"/>
    </xf>
    <xf numFmtId="0" fontId="3" fillId="3" borderId="188" xfId="0" applyFont="1" applyFill="1" applyBorder="1" applyAlignment="1" applyProtection="1">
      <alignment horizontal="center" vertical="center"/>
      <protection hidden="1"/>
    </xf>
    <xf numFmtId="0" fontId="3" fillId="0" borderId="172" xfId="0" applyFont="1" applyBorder="1" applyAlignment="1" applyProtection="1">
      <alignment horizontal="left" vertical="center"/>
      <protection hidden="1"/>
    </xf>
    <xf numFmtId="0" fontId="56" fillId="0" borderId="45" xfId="0" applyFont="1" applyBorder="1" applyAlignment="1">
      <alignment vertical="center"/>
    </xf>
    <xf numFmtId="0" fontId="56" fillId="0" borderId="46" xfId="0" applyFont="1" applyBorder="1" applyAlignment="1">
      <alignment horizontal="right" vertical="center"/>
    </xf>
    <xf numFmtId="0" fontId="43" fillId="0" borderId="45" xfId="0" applyFont="1" applyBorder="1" applyAlignment="1">
      <alignment vertical="center"/>
    </xf>
    <xf numFmtId="0" fontId="43" fillId="0" borderId="46" xfId="0" applyFont="1" applyBorder="1" applyAlignment="1">
      <alignment horizontal="right" vertical="center"/>
    </xf>
    <xf numFmtId="10" fontId="59" fillId="7" borderId="17" xfId="0" applyNumberFormat="1" applyFont="1" applyFill="1" applyBorder="1" applyAlignment="1" applyProtection="1">
      <alignment horizontal="center" vertical="center"/>
      <protection locked="0"/>
    </xf>
    <xf numFmtId="10" fontId="59" fillId="7" borderId="35" xfId="0" applyNumberFormat="1" applyFont="1" applyFill="1" applyBorder="1" applyAlignment="1" applyProtection="1">
      <alignment horizontal="center" vertical="center"/>
      <protection locked="0"/>
    </xf>
    <xf numFmtId="0" fontId="6" fillId="0" borderId="259" xfId="0" applyFont="1" applyBorder="1" applyAlignment="1" applyProtection="1">
      <alignment horizontal="center" vertical="center"/>
      <protection hidden="1"/>
    </xf>
    <xf numFmtId="0" fontId="6" fillId="0" borderId="260" xfId="0" applyFont="1" applyBorder="1" applyAlignment="1" applyProtection="1">
      <alignment vertical="center"/>
      <protection hidden="1"/>
    </xf>
    <xf numFmtId="0" fontId="0" fillId="7" borderId="141" xfId="0" applyFill="1" applyBorder="1"/>
    <xf numFmtId="0" fontId="0" fillId="7" borderId="0" xfId="0" applyFill="1"/>
    <xf numFmtId="0" fontId="0" fillId="7" borderId="173" xfId="0" applyFill="1" applyBorder="1"/>
    <xf numFmtId="0" fontId="6" fillId="0" borderId="32" xfId="0" applyFont="1" applyBorder="1" applyAlignment="1" applyProtection="1">
      <alignment horizontal="center" vertical="center" wrapText="1"/>
      <protection hidden="1"/>
    </xf>
    <xf numFmtId="0" fontId="2" fillId="0" borderId="16" xfId="0" applyFont="1" applyBorder="1" applyAlignment="1">
      <alignment horizontal="left" vertical="center"/>
    </xf>
    <xf numFmtId="0" fontId="6" fillId="0" borderId="60" xfId="0" applyFont="1" applyBorder="1" applyAlignment="1" applyProtection="1">
      <alignment horizontal="center" vertical="center" wrapText="1"/>
      <protection hidden="1"/>
    </xf>
    <xf numFmtId="0" fontId="6" fillId="0" borderId="60" xfId="0" applyFont="1" applyBorder="1" applyAlignment="1">
      <alignment horizontal="center" vertical="center"/>
    </xf>
    <xf numFmtId="3" fontId="42" fillId="7" borderId="17" xfId="0" applyNumberFormat="1" applyFont="1" applyFill="1" applyBorder="1" applyAlignment="1" applyProtection="1">
      <alignment horizontal="center" vertical="center"/>
      <protection locked="0" hidden="1"/>
    </xf>
    <xf numFmtId="166" fontId="42" fillId="0" borderId="163" xfId="0" applyNumberFormat="1" applyFont="1" applyBorder="1" applyAlignment="1" applyProtection="1">
      <alignment horizontal="center" vertical="center"/>
      <protection locked="0"/>
    </xf>
    <xf numFmtId="0" fontId="10" fillId="0" borderId="27" xfId="0" applyFont="1" applyBorder="1"/>
    <xf numFmtId="3" fontId="10" fillId="0" borderId="28" xfId="0" applyNumberFormat="1" applyFont="1" applyBorder="1"/>
    <xf numFmtId="3" fontId="11" fillId="0" borderId="28" xfId="0" applyNumberFormat="1" applyFont="1" applyBorder="1"/>
    <xf numFmtId="0" fontId="0" fillId="0" borderId="13" xfId="0" applyBorder="1"/>
    <xf numFmtId="3" fontId="0" fillId="0" borderId="26" xfId="0" applyNumberFormat="1" applyBorder="1"/>
    <xf numFmtId="165" fontId="2" fillId="0" borderId="16" xfId="0" applyNumberFormat="1" applyFont="1" applyBorder="1" applyAlignment="1">
      <alignment horizontal="center" vertical="center"/>
    </xf>
    <xf numFmtId="3" fontId="11" fillId="0" borderId="16" xfId="0" applyNumberFormat="1" applyFont="1" applyBorder="1" applyAlignment="1" applyProtection="1">
      <alignment horizontal="center" vertical="center"/>
      <protection hidden="1"/>
    </xf>
    <xf numFmtId="165" fontId="0" fillId="0" borderId="18" xfId="0" applyNumberFormat="1" applyBorder="1" applyAlignment="1">
      <alignment horizontal="center" vertical="center"/>
    </xf>
    <xf numFmtId="3" fontId="87" fillId="13" borderId="64" xfId="0" applyNumberFormat="1" applyFont="1" applyFill="1" applyBorder="1" applyAlignment="1">
      <alignment horizontal="center" vertical="center"/>
    </xf>
    <xf numFmtId="1" fontId="87" fillId="13" borderId="64" xfId="0" applyNumberFormat="1" applyFont="1" applyFill="1" applyBorder="1" applyAlignment="1">
      <alignment horizontal="center" vertical="center"/>
    </xf>
    <xf numFmtId="164" fontId="87" fillId="13" borderId="64" xfId="0" applyNumberFormat="1" applyFont="1" applyFill="1" applyBorder="1" applyAlignment="1">
      <alignment horizontal="center" vertical="center"/>
    </xf>
    <xf numFmtId="0" fontId="87" fillId="13" borderId="49" xfId="0" applyFont="1" applyFill="1" applyBorder="1" applyAlignment="1">
      <alignment vertical="center"/>
    </xf>
    <xf numFmtId="0" fontId="87" fillId="13" borderId="32" xfId="0" applyFont="1" applyFill="1" applyBorder="1" applyAlignment="1">
      <alignment horizontal="left" vertical="center"/>
    </xf>
    <xf numFmtId="3" fontId="87" fillId="13" borderId="32" xfId="0" applyNumberFormat="1" applyFont="1" applyFill="1" applyBorder="1" applyAlignment="1">
      <alignment horizontal="center" vertical="center"/>
    </xf>
    <xf numFmtId="1" fontId="87" fillId="13" borderId="32" xfId="0" applyNumberFormat="1" applyFont="1" applyFill="1" applyBorder="1" applyAlignment="1">
      <alignment horizontal="center" vertical="center"/>
    </xf>
    <xf numFmtId="164" fontId="87" fillId="13" borderId="23" xfId="0" applyNumberFormat="1" applyFont="1" applyFill="1" applyBorder="1" applyAlignment="1">
      <alignment horizontal="center" vertical="center"/>
    </xf>
    <xf numFmtId="3" fontId="87" fillId="13" borderId="16" xfId="0" applyNumberFormat="1" applyFont="1" applyFill="1" applyBorder="1" applyAlignment="1">
      <alignment horizontal="center" vertical="center"/>
    </xf>
    <xf numFmtId="3" fontId="87" fillId="13" borderId="23" xfId="0" applyNumberFormat="1" applyFont="1" applyFill="1" applyBorder="1" applyAlignment="1">
      <alignment horizontal="center" vertical="center"/>
    </xf>
    <xf numFmtId="3" fontId="87" fillId="13" borderId="53" xfId="0" applyNumberFormat="1" applyFont="1" applyFill="1" applyBorder="1" applyAlignment="1">
      <alignment horizontal="center" vertical="center"/>
    </xf>
    <xf numFmtId="0" fontId="21" fillId="8" borderId="0" xfId="0" applyFont="1" applyFill="1" applyAlignment="1">
      <alignment horizontal="center" vertical="center"/>
    </xf>
    <xf numFmtId="0" fontId="22" fillId="8" borderId="0" xfId="0" applyFont="1" applyFill="1" applyAlignment="1">
      <alignment horizontal="center" vertical="center"/>
    </xf>
    <xf numFmtId="0" fontId="0" fillId="8" borderId="0" xfId="0" applyFill="1" applyAlignment="1">
      <alignment horizontal="center"/>
    </xf>
    <xf numFmtId="0" fontId="5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top" wrapText="1"/>
    </xf>
    <xf numFmtId="0" fontId="0" fillId="0" borderId="0" xfId="0"/>
    <xf numFmtId="0" fontId="11" fillId="0" borderId="0" xfId="0" applyFont="1" applyAlignment="1">
      <alignment horizontal="center"/>
    </xf>
    <xf numFmtId="0" fontId="62" fillId="0" borderId="0" xfId="0" applyFont="1" applyAlignment="1">
      <alignment horizontal="center" vertical="top" wrapText="1"/>
    </xf>
    <xf numFmtId="0" fontId="6" fillId="0" borderId="0" xfId="0" applyFont="1" applyAlignment="1">
      <alignment horizontal="right" vertical="center"/>
    </xf>
    <xf numFmtId="0" fontId="5" fillId="0" borderId="0" xfId="0" applyFont="1" applyAlignment="1">
      <alignment horizontal="center" vertical="center" wrapText="1"/>
    </xf>
    <xf numFmtId="14" fontId="3" fillId="0" borderId="0" xfId="0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21" fillId="12" borderId="0" xfId="0" applyFont="1" applyFill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8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6" fontId="82" fillId="13" borderId="19" xfId="0" applyNumberFormat="1" applyFont="1" applyFill="1" applyBorder="1" applyAlignment="1">
      <alignment horizontal="center" vertical="center"/>
    </xf>
    <xf numFmtId="6" fontId="82" fillId="13" borderId="32" xfId="0" applyNumberFormat="1" applyFont="1" applyFill="1" applyBorder="1" applyAlignment="1">
      <alignment horizontal="center" vertical="center"/>
    </xf>
    <xf numFmtId="0" fontId="10" fillId="0" borderId="18" xfId="0" applyFont="1" applyBorder="1" applyAlignment="1">
      <alignment horizontal="left" vertical="center"/>
    </xf>
    <xf numFmtId="0" fontId="10" fillId="0" borderId="7" xfId="0" applyFont="1" applyBorder="1" applyAlignment="1">
      <alignment horizontal="left" vertical="center"/>
    </xf>
    <xf numFmtId="0" fontId="5" fillId="0" borderId="25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0" fillId="0" borderId="0" xfId="0" applyFont="1" applyAlignment="1">
      <alignment horizontal="right" vertical="top" wrapText="1"/>
    </xf>
    <xf numFmtId="14" fontId="5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81" fillId="13" borderId="18" xfId="0" applyFont="1" applyFill="1" applyBorder="1" applyAlignment="1">
      <alignment horizontal="center" vertical="center"/>
    </xf>
    <xf numFmtId="0" fontId="81" fillId="13" borderId="8" xfId="0" applyFont="1" applyFill="1" applyBorder="1" applyAlignment="1">
      <alignment horizontal="center" vertical="center"/>
    </xf>
    <xf numFmtId="0" fontId="81" fillId="13" borderId="23" xfId="0" applyFont="1" applyFill="1" applyBorder="1" applyAlignment="1">
      <alignment horizontal="center" vertical="center"/>
    </xf>
    <xf numFmtId="0" fontId="81" fillId="13" borderId="59" xfId="0" applyFont="1" applyFill="1" applyBorder="1" applyAlignment="1">
      <alignment horizontal="center" vertical="center"/>
    </xf>
    <xf numFmtId="0" fontId="5" fillId="7" borderId="16" xfId="0" applyFont="1" applyFill="1" applyBorder="1" applyAlignment="1" applyProtection="1">
      <alignment horizontal="left" vertical="center"/>
      <protection locked="0"/>
    </xf>
    <xf numFmtId="0" fontId="5" fillId="7" borderId="257" xfId="0" applyFont="1" applyFill="1" applyBorder="1" applyAlignment="1" applyProtection="1">
      <alignment horizontal="left" vertical="center"/>
      <protection locked="0"/>
    </xf>
    <xf numFmtId="0" fontId="91" fillId="7" borderId="16" xfId="3" applyFill="1" applyBorder="1" applyAlignment="1" applyProtection="1">
      <alignment horizontal="left" vertical="center"/>
      <protection locked="0"/>
    </xf>
    <xf numFmtId="0" fontId="10" fillId="7" borderId="16" xfId="0" applyFont="1" applyFill="1" applyBorder="1" applyAlignment="1" applyProtection="1">
      <alignment horizontal="left" vertical="center"/>
      <protection locked="0"/>
    </xf>
    <xf numFmtId="49" fontId="5" fillId="7" borderId="16" xfId="0" applyNumberFormat="1" applyFont="1" applyFill="1" applyBorder="1" applyAlignment="1" applyProtection="1">
      <alignment horizontal="left" vertical="center"/>
      <protection locked="0"/>
    </xf>
    <xf numFmtId="0" fontId="8" fillId="0" borderId="7" xfId="0" applyFont="1" applyBorder="1" applyAlignment="1">
      <alignment horizontal="left" vertical="center"/>
    </xf>
    <xf numFmtId="49" fontId="5" fillId="7" borderId="0" xfId="0" applyNumberFormat="1" applyFont="1" applyFill="1" applyAlignment="1" applyProtection="1">
      <alignment horizontal="left" vertical="center"/>
      <protection locked="0"/>
    </xf>
    <xf numFmtId="0" fontId="2" fillId="7" borderId="0" xfId="0" applyFont="1" applyFill="1" applyAlignment="1" applyProtection="1">
      <alignment horizontal="left" vertical="top" wrapText="1"/>
      <protection locked="0"/>
    </xf>
    <xf numFmtId="0" fontId="0" fillId="0" borderId="0" xfId="0" applyAlignment="1" applyProtection="1">
      <alignment horizontal="left" vertical="top" wrapText="1"/>
      <protection locked="0"/>
    </xf>
    <xf numFmtId="0" fontId="0" fillId="0" borderId="256" xfId="0" applyBorder="1" applyAlignment="1" applyProtection="1">
      <alignment horizontal="left" vertical="top" wrapText="1"/>
      <protection locked="0"/>
    </xf>
    <xf numFmtId="0" fontId="11" fillId="7" borderId="17" xfId="0" applyFont="1" applyFill="1" applyBorder="1" applyAlignment="1" applyProtection="1">
      <alignment horizontal="left" vertical="center" wrapText="1"/>
      <protection locked="0"/>
    </xf>
    <xf numFmtId="0" fontId="11" fillId="7" borderId="17" xfId="0" applyFont="1" applyFill="1" applyBorder="1" applyAlignment="1" applyProtection="1">
      <alignment horizontal="center" vertical="center" wrapText="1"/>
      <protection locked="0"/>
    </xf>
    <xf numFmtId="164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7" borderId="17" xfId="0" applyFont="1" applyFill="1" applyBorder="1" applyAlignment="1" applyProtection="1">
      <alignment vertical="center"/>
      <protection locked="0"/>
    </xf>
    <xf numFmtId="0" fontId="57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164" fontId="0" fillId="0" borderId="0" xfId="0" applyNumberFormat="1" applyAlignment="1" applyProtection="1">
      <alignment horizontal="right"/>
      <protection hidden="1"/>
    </xf>
    <xf numFmtId="3" fontId="0" fillId="0" borderId="0" xfId="0" applyNumberFormat="1" applyAlignment="1" applyProtection="1">
      <alignment horizontal="right"/>
      <protection hidden="1"/>
    </xf>
    <xf numFmtId="49" fontId="4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10" fillId="7" borderId="80" xfId="0" applyFont="1" applyFill="1" applyBorder="1" applyAlignment="1" applyProtection="1">
      <alignment horizontal="center"/>
      <protection locked="0"/>
    </xf>
    <xf numFmtId="0" fontId="10" fillId="7" borderId="207" xfId="0" applyFont="1" applyFill="1" applyBorder="1" applyAlignment="1" applyProtection="1">
      <alignment horizontal="center"/>
      <protection locked="0"/>
    </xf>
    <xf numFmtId="0" fontId="82" fillId="13" borderId="11" xfId="0" applyFont="1" applyFill="1" applyBorder="1" applyAlignment="1" applyProtection="1">
      <alignment horizontal="center"/>
      <protection hidden="1"/>
    </xf>
    <xf numFmtId="0" fontId="82" fillId="13" borderId="58" xfId="0" applyFont="1" applyFill="1" applyBorder="1" applyAlignment="1" applyProtection="1">
      <alignment horizontal="center"/>
      <protection hidden="1"/>
    </xf>
    <xf numFmtId="49" fontId="0" fillId="0" borderId="0" xfId="0" applyNumberFormat="1" applyAlignment="1" applyProtection="1">
      <alignment horizontal="center"/>
      <protection hidden="1"/>
    </xf>
    <xf numFmtId="3" fontId="0" fillId="0" borderId="0" xfId="0" applyNumberFormat="1" applyAlignment="1" applyProtection="1">
      <alignment horizontal="center"/>
      <protection hidden="1"/>
    </xf>
    <xf numFmtId="0" fontId="82" fillId="13" borderId="8" xfId="0" applyFont="1" applyFill="1" applyBorder="1" applyAlignment="1" applyProtection="1">
      <alignment horizontal="center"/>
      <protection hidden="1"/>
    </xf>
    <xf numFmtId="0" fontId="82" fillId="13" borderId="27" xfId="0" applyFont="1" applyFill="1" applyBorder="1" applyAlignment="1" applyProtection="1">
      <alignment horizontal="center"/>
      <protection hidden="1"/>
    </xf>
    <xf numFmtId="0" fontId="82" fillId="13" borderId="31" xfId="0" applyFont="1" applyFill="1" applyBorder="1" applyAlignment="1" applyProtection="1">
      <alignment horizontal="center"/>
      <protection hidden="1"/>
    </xf>
    <xf numFmtId="1" fontId="10" fillId="7" borderId="27" xfId="0" applyNumberFormat="1" applyFont="1" applyFill="1" applyBorder="1" applyAlignment="1" applyProtection="1">
      <alignment horizontal="center"/>
      <protection locked="0"/>
    </xf>
    <xf numFmtId="0" fontId="10" fillId="7" borderId="28" xfId="0" applyFont="1" applyFill="1" applyBorder="1" applyAlignment="1" applyProtection="1">
      <alignment horizontal="center"/>
      <protection locked="0"/>
    </xf>
    <xf numFmtId="0" fontId="10" fillId="7" borderId="65" xfId="0" applyFont="1" applyFill="1" applyBorder="1" applyAlignment="1" applyProtection="1">
      <alignment horizontal="center"/>
      <protection locked="0"/>
    </xf>
    <xf numFmtId="167" fontId="11" fillId="7" borderId="107" xfId="0" applyNumberFormat="1" applyFont="1" applyFill="1" applyBorder="1" applyAlignment="1" applyProtection="1">
      <alignment horizontal="center" vertical="center"/>
      <protection locked="0"/>
    </xf>
    <xf numFmtId="0" fontId="82" fillId="13" borderId="28" xfId="0" applyFont="1" applyFill="1" applyBorder="1" applyAlignment="1" applyProtection="1">
      <alignment horizontal="center"/>
      <protection hidden="1"/>
    </xf>
    <xf numFmtId="167" fontId="11" fillId="7" borderId="68" xfId="0" applyNumberFormat="1" applyFont="1" applyFill="1" applyBorder="1" applyAlignment="1" applyProtection="1">
      <alignment horizontal="center" vertical="center"/>
      <protection locked="0"/>
    </xf>
    <xf numFmtId="167" fontId="11" fillId="7" borderId="67" xfId="0" applyNumberFormat="1" applyFont="1" applyFill="1" applyBorder="1" applyAlignment="1" applyProtection="1">
      <alignment horizontal="center" vertical="center"/>
      <protection locked="0"/>
    </xf>
    <xf numFmtId="167" fontId="11" fillId="7" borderId="44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3" fontId="11" fillId="0" borderId="0" xfId="0" applyNumberFormat="1" applyFont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left"/>
      <protection hidden="1"/>
    </xf>
    <xf numFmtId="1" fontId="11" fillId="0" borderId="0" xfId="0" applyNumberFormat="1" applyFont="1" applyAlignment="1" applyProtection="1">
      <alignment horizontal="right"/>
      <protection hidden="1"/>
    </xf>
    <xf numFmtId="0" fontId="10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3" fontId="11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0" fontId="10" fillId="0" borderId="45" xfId="0" applyFont="1" applyBorder="1" applyAlignment="1" applyProtection="1">
      <alignment horizontal="left" vertical="center" wrapText="1"/>
      <protection hidden="1"/>
    </xf>
    <xf numFmtId="0" fontId="10" fillId="0" borderId="75" xfId="0" applyFont="1" applyBorder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/>
      <protection hidden="1"/>
    </xf>
    <xf numFmtId="0" fontId="4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6" fillId="0" borderId="45" xfId="0" applyFont="1" applyBorder="1" applyAlignment="1" applyProtection="1">
      <alignment horizontal="left" vertical="center"/>
      <protection hidden="1"/>
    </xf>
    <xf numFmtId="0" fontId="6" fillId="0" borderId="75" xfId="0" applyFont="1" applyBorder="1" applyAlignment="1" applyProtection="1">
      <alignment horizontal="left" vertical="center"/>
      <protection hidden="1"/>
    </xf>
    <xf numFmtId="14" fontId="5" fillId="7" borderId="16" xfId="0" applyNumberFormat="1" applyFont="1" applyFill="1" applyBorder="1" applyAlignment="1" applyProtection="1">
      <alignment horizontal="left" vertical="center"/>
      <protection locked="0"/>
    </xf>
    <xf numFmtId="0" fontId="11" fillId="0" borderId="25" xfId="0" applyFont="1" applyBorder="1" applyAlignment="1" applyProtection="1">
      <alignment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horizontal="left" vertical="center"/>
      <protection hidden="1"/>
    </xf>
    <xf numFmtId="0" fontId="10" fillId="13" borderId="18" xfId="0" applyFont="1" applyFill="1" applyBorder="1" applyAlignment="1" applyProtection="1">
      <alignment horizontal="center" vertical="center"/>
      <protection hidden="1"/>
    </xf>
    <xf numFmtId="0" fontId="11" fillId="13" borderId="7" xfId="0" applyFont="1" applyFill="1" applyBorder="1" applyAlignment="1">
      <alignment horizontal="center" vertical="center"/>
    </xf>
    <xf numFmtId="0" fontId="11" fillId="13" borderId="58" xfId="0" applyFont="1" applyFill="1" applyBorder="1" applyAlignment="1">
      <alignment horizontal="center" vertical="center"/>
    </xf>
    <xf numFmtId="0" fontId="11" fillId="13" borderId="25" xfId="0" applyFont="1" applyFill="1" applyBorder="1" applyAlignment="1">
      <alignment horizontal="center" vertical="center"/>
    </xf>
    <xf numFmtId="0" fontId="11" fillId="13" borderId="0" xfId="0" applyFont="1" applyFill="1" applyAlignment="1">
      <alignment horizontal="center" vertical="center"/>
    </xf>
    <xf numFmtId="0" fontId="11" fillId="13" borderId="28" xfId="0" applyFont="1" applyFill="1" applyBorder="1" applyAlignment="1">
      <alignment horizontal="center" vertical="center"/>
    </xf>
    <xf numFmtId="0" fontId="6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left" vertical="center"/>
    </xf>
    <xf numFmtId="0" fontId="11" fillId="0" borderId="45" xfId="0" applyFont="1" applyBorder="1" applyAlignment="1">
      <alignment horizontal="left" vertical="center"/>
    </xf>
    <xf numFmtId="0" fontId="84" fillId="13" borderId="0" xfId="0" applyFont="1" applyFill="1" applyAlignment="1">
      <alignment horizontal="left"/>
    </xf>
    <xf numFmtId="0" fontId="92" fillId="0" borderId="45" xfId="0" applyFont="1" applyBorder="1" applyAlignment="1">
      <alignment horizontal="left" vertical="center" indent="2"/>
    </xf>
    <xf numFmtId="0" fontId="92" fillId="0" borderId="46" xfId="0" applyFont="1" applyBorder="1" applyAlignment="1">
      <alignment horizontal="left" vertical="center" indent="2"/>
    </xf>
    <xf numFmtId="2" fontId="92" fillId="0" borderId="45" xfId="0" applyNumberFormat="1" applyFont="1" applyBorder="1" applyAlignment="1" applyProtection="1">
      <alignment horizontal="left" vertical="center" indent="2"/>
      <protection hidden="1"/>
    </xf>
    <xf numFmtId="2" fontId="92" fillId="0" borderId="46" xfId="0" applyNumberFormat="1" applyFont="1" applyBorder="1" applyAlignment="1" applyProtection="1">
      <alignment horizontal="left" vertical="center" indent="2"/>
      <protection hidden="1"/>
    </xf>
    <xf numFmtId="0" fontId="84" fillId="13" borderId="12" xfId="0" applyFont="1" applyFill="1" applyBorder="1" applyAlignment="1">
      <alignment horizontal="center" vertical="center"/>
    </xf>
    <xf numFmtId="0" fontId="84" fillId="13" borderId="2" xfId="0" applyFont="1" applyFill="1" applyBorder="1" applyAlignment="1">
      <alignment horizontal="center" vertical="center"/>
    </xf>
    <xf numFmtId="0" fontId="84" fillId="13" borderId="27" xfId="0" applyFont="1" applyFill="1" applyBorder="1" applyAlignment="1">
      <alignment horizontal="center" vertical="center"/>
    </xf>
    <xf numFmtId="0" fontId="84" fillId="13" borderId="0" xfId="0" applyFont="1" applyFill="1" applyAlignment="1">
      <alignment horizontal="center" vertical="center"/>
    </xf>
    <xf numFmtId="0" fontId="84" fillId="13" borderId="13" xfId="0" applyFont="1" applyFill="1" applyBorder="1" applyAlignment="1">
      <alignment horizontal="center" vertical="center"/>
    </xf>
    <xf numFmtId="0" fontId="84" fillId="13" borderId="34" xfId="0" applyFont="1" applyFill="1" applyBorder="1" applyAlignment="1">
      <alignment horizontal="center" vertical="center"/>
    </xf>
    <xf numFmtId="0" fontId="92" fillId="0" borderId="45" xfId="0" applyFont="1" applyBorder="1" applyAlignment="1">
      <alignment horizontal="left" vertical="center" indent="1"/>
    </xf>
    <xf numFmtId="0" fontId="92" fillId="0" borderId="46" xfId="0" applyFont="1" applyBorder="1" applyAlignment="1">
      <alignment horizontal="left" vertical="center" indent="1"/>
    </xf>
    <xf numFmtId="0" fontId="11" fillId="0" borderId="46" xfId="0" applyFont="1" applyBorder="1" applyAlignment="1">
      <alignment horizontal="left" vertical="center"/>
    </xf>
    <xf numFmtId="0" fontId="11" fillId="0" borderId="76" xfId="0" applyFont="1" applyBorder="1" applyAlignment="1">
      <alignment horizontal="left" vertical="center"/>
    </xf>
    <xf numFmtId="0" fontId="92" fillId="0" borderId="96" xfId="0" applyFont="1" applyBorder="1" applyAlignment="1">
      <alignment horizontal="left" vertical="center" indent="1"/>
    </xf>
    <xf numFmtId="0" fontId="92" fillId="0" borderId="97" xfId="0" applyFont="1" applyBorder="1" applyAlignment="1">
      <alignment horizontal="left" vertical="center" indent="1"/>
    </xf>
    <xf numFmtId="0" fontId="5" fillId="0" borderId="34" xfId="0" applyFont="1" applyBorder="1" applyAlignment="1" applyProtection="1">
      <alignment horizontal="left" vertical="center"/>
      <protection hidden="1"/>
    </xf>
    <xf numFmtId="0" fontId="5" fillId="0" borderId="31" xfId="0" applyFont="1" applyBorder="1" applyAlignment="1">
      <alignment horizontal="left" vertical="center"/>
    </xf>
    <xf numFmtId="0" fontId="5" fillId="0" borderId="13" xfId="0" applyFont="1" applyBorder="1" applyAlignment="1">
      <alignment horizontal="left"/>
    </xf>
    <xf numFmtId="0" fontId="5" fillId="0" borderId="34" xfId="0" applyFont="1" applyBorder="1" applyAlignment="1">
      <alignment horizontal="left"/>
    </xf>
    <xf numFmtId="0" fontId="5" fillId="0" borderId="43" xfId="0" applyFont="1" applyBorder="1" applyAlignment="1">
      <alignment horizontal="left"/>
    </xf>
    <xf numFmtId="0" fontId="84" fillId="13" borderId="104" xfId="0" applyFont="1" applyFill="1" applyBorder="1" applyAlignment="1">
      <alignment horizontal="center"/>
    </xf>
    <xf numFmtId="0" fontId="84" fillId="13" borderId="0" xfId="0" applyFont="1" applyFill="1" applyAlignment="1">
      <alignment horizontal="center"/>
    </xf>
    <xf numFmtId="0" fontId="11" fillId="0" borderId="77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31" xfId="0" applyFont="1" applyBorder="1" applyAlignment="1">
      <alignment horizontal="left" vertical="center"/>
    </xf>
    <xf numFmtId="0" fontId="11" fillId="0" borderId="78" xfId="0" applyFont="1" applyBorder="1" applyAlignment="1">
      <alignment horizontal="left" vertical="center"/>
    </xf>
    <xf numFmtId="0" fontId="11" fillId="0" borderId="79" xfId="0" applyFont="1" applyBorder="1" applyAlignment="1">
      <alignment horizontal="left" vertical="center"/>
    </xf>
    <xf numFmtId="2" fontId="5" fillId="0" borderId="16" xfId="0" applyNumberFormat="1" applyFont="1" applyBorder="1" applyAlignment="1">
      <alignment horizontal="left" vertical="center"/>
    </xf>
    <xf numFmtId="0" fontId="62" fillId="13" borderId="56" xfId="0" applyFont="1" applyFill="1" applyBorder="1" applyAlignment="1">
      <alignment horizontal="center" vertical="center"/>
    </xf>
    <xf numFmtId="0" fontId="62" fillId="13" borderId="14" xfId="0" applyFont="1" applyFill="1" applyBorder="1" applyAlignment="1">
      <alignment horizontal="center" vertical="center"/>
    </xf>
    <xf numFmtId="0" fontId="62" fillId="13" borderId="86" xfId="0" applyFont="1" applyFill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10" fillId="0" borderId="45" xfId="0" applyFont="1" applyBorder="1" applyAlignment="1">
      <alignment horizontal="left" vertical="center"/>
    </xf>
    <xf numFmtId="0" fontId="10" fillId="0" borderId="46" xfId="0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0" fontId="62" fillId="13" borderId="25" xfId="0" applyFont="1" applyFill="1" applyBorder="1" applyAlignment="1">
      <alignment horizontal="center" vertical="center"/>
    </xf>
    <xf numFmtId="0" fontId="62" fillId="13" borderId="0" xfId="0" applyFont="1" applyFill="1" applyAlignment="1">
      <alignment horizontal="center" vertical="center"/>
    </xf>
    <xf numFmtId="0" fontId="62" fillId="13" borderId="31" xfId="0" applyFont="1" applyFill="1" applyBorder="1" applyAlignment="1">
      <alignment horizontal="center" vertical="center"/>
    </xf>
    <xf numFmtId="0" fontId="92" fillId="0" borderId="45" xfId="0" applyFont="1" applyBorder="1" applyAlignment="1" applyProtection="1">
      <alignment horizontal="left" vertical="center" indent="1"/>
      <protection hidden="1"/>
    </xf>
    <xf numFmtId="0" fontId="92" fillId="0" borderId="46" xfId="0" applyFont="1" applyBorder="1" applyAlignment="1" applyProtection="1">
      <alignment horizontal="left" vertical="center" indent="1"/>
      <protection hidden="1"/>
    </xf>
    <xf numFmtId="0" fontId="92" fillId="0" borderId="45" xfId="0" applyFont="1" applyBorder="1" applyAlignment="1" applyProtection="1">
      <alignment horizontal="left" vertical="center" indent="2"/>
      <protection hidden="1"/>
    </xf>
    <xf numFmtId="0" fontId="92" fillId="0" borderId="46" xfId="0" applyFont="1" applyBorder="1" applyAlignment="1" applyProtection="1">
      <alignment horizontal="left" vertical="center" indent="2"/>
      <protection hidden="1"/>
    </xf>
    <xf numFmtId="0" fontId="11" fillId="0" borderId="45" xfId="0" applyFont="1" applyBorder="1" applyAlignment="1">
      <alignment horizontal="left" vertical="center" wrapText="1" indent="1"/>
    </xf>
    <xf numFmtId="0" fontId="11" fillId="0" borderId="46" xfId="0" applyFont="1" applyBorder="1" applyAlignment="1">
      <alignment horizontal="left" vertical="center" wrapText="1" indent="1"/>
    </xf>
    <xf numFmtId="3" fontId="6" fillId="0" borderId="99" xfId="0" applyNumberFormat="1" applyFont="1" applyBorder="1" applyAlignment="1" applyProtection="1">
      <alignment horizontal="center" vertical="center"/>
      <protection hidden="1"/>
    </xf>
    <xf numFmtId="3" fontId="6" fillId="0" borderId="91" xfId="0" applyNumberFormat="1" applyFont="1" applyBorder="1" applyAlignment="1" applyProtection="1">
      <alignment horizontal="center" vertical="center"/>
      <protection hidden="1"/>
    </xf>
    <xf numFmtId="3" fontId="3" fillId="0" borderId="115" xfId="0" applyNumberFormat="1" applyFont="1" applyBorder="1" applyAlignment="1" applyProtection="1">
      <alignment horizontal="center" vertical="center"/>
      <protection hidden="1"/>
    </xf>
    <xf numFmtId="3" fontId="3" fillId="0" borderId="116" xfId="0" applyNumberFormat="1" applyFont="1" applyBorder="1" applyAlignment="1" applyProtection="1">
      <alignment horizontal="center" vertical="center"/>
      <protection hidden="1"/>
    </xf>
    <xf numFmtId="0" fontId="85" fillId="13" borderId="12" xfId="0" applyFont="1" applyFill="1" applyBorder="1" applyAlignment="1" applyProtection="1">
      <alignment horizontal="center" vertical="center"/>
      <protection hidden="1"/>
    </xf>
    <xf numFmtId="0" fontId="85" fillId="13" borderId="2" xfId="0" applyFont="1" applyFill="1" applyBorder="1" applyAlignment="1" applyProtection="1">
      <alignment horizontal="center" vertical="center"/>
      <protection hidden="1"/>
    </xf>
    <xf numFmtId="0" fontId="85" fillId="13" borderId="9" xfId="0" applyFont="1" applyFill="1" applyBorder="1" applyAlignment="1" applyProtection="1">
      <alignment horizontal="center" vertical="center"/>
      <protection hidden="1"/>
    </xf>
    <xf numFmtId="49" fontId="85" fillId="13" borderId="27" xfId="0" applyNumberFormat="1" applyFont="1" applyFill="1" applyBorder="1" applyAlignment="1">
      <alignment horizontal="center" vertical="center"/>
    </xf>
    <xf numFmtId="0" fontId="85" fillId="13" borderId="0" xfId="0" applyFont="1" applyFill="1" applyAlignment="1">
      <alignment horizontal="center" vertical="center"/>
    </xf>
    <xf numFmtId="0" fontId="85" fillId="13" borderId="3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43" xfId="0" applyFont="1" applyBorder="1" applyAlignment="1">
      <alignment horizontal="center" vertical="center"/>
    </xf>
    <xf numFmtId="3" fontId="6" fillId="0" borderId="12" xfId="0" applyNumberFormat="1" applyFont="1" applyBorder="1" applyAlignment="1" applyProtection="1">
      <alignment horizontal="center" vertical="center"/>
      <protection hidden="1"/>
    </xf>
    <xf numFmtId="3" fontId="6" fillId="0" borderId="9" xfId="0" applyNumberFormat="1" applyFont="1" applyBorder="1" applyAlignment="1" applyProtection="1">
      <alignment horizontal="center" vertical="center"/>
      <protection hidden="1"/>
    </xf>
    <xf numFmtId="3" fontId="6" fillId="0" borderId="68" xfId="0" applyNumberFormat="1" applyFont="1" applyBorder="1" applyAlignment="1" applyProtection="1">
      <alignment horizontal="center" vertical="center"/>
      <protection hidden="1"/>
    </xf>
    <xf numFmtId="3" fontId="6" fillId="0" borderId="44" xfId="0" applyNumberFormat="1" applyFont="1" applyBorder="1" applyAlignment="1" applyProtection="1">
      <alignment horizontal="center" vertical="center"/>
      <protection hidden="1"/>
    </xf>
    <xf numFmtId="0" fontId="85" fillId="13" borderId="27" xfId="0" applyFont="1" applyFill="1" applyBorder="1" applyAlignment="1">
      <alignment horizontal="center" vertical="center"/>
    </xf>
    <xf numFmtId="0" fontId="85" fillId="13" borderId="28" xfId="0" applyFont="1" applyFill="1" applyBorder="1" applyAlignment="1">
      <alignment horizontal="center" vertical="center"/>
    </xf>
    <xf numFmtId="3" fontId="6" fillId="7" borderId="68" xfId="0" applyNumberFormat="1" applyFont="1" applyFill="1" applyBorder="1" applyAlignment="1" applyProtection="1">
      <alignment horizontal="center" vertical="center"/>
      <protection locked="0"/>
    </xf>
    <xf numFmtId="3" fontId="6" fillId="7" borderId="44" xfId="0" applyNumberFormat="1" applyFont="1" applyFill="1" applyBorder="1" applyAlignment="1" applyProtection="1">
      <alignment horizontal="center" vertical="center"/>
      <protection locked="0"/>
    </xf>
    <xf numFmtId="3" fontId="3" fillId="0" borderId="15" xfId="0" applyNumberFormat="1" applyFont="1" applyBorder="1" applyAlignment="1" applyProtection="1">
      <alignment horizontal="center" vertical="center"/>
      <protection hidden="1"/>
    </xf>
    <xf numFmtId="3" fontId="3" fillId="0" borderId="98" xfId="0" applyNumberFormat="1" applyFont="1" applyBorder="1" applyAlignment="1" applyProtection="1">
      <alignment horizontal="center" vertical="center"/>
      <protection hidden="1"/>
    </xf>
    <xf numFmtId="0" fontId="85" fillId="13" borderId="2" xfId="0" applyFont="1" applyFill="1" applyBorder="1" applyAlignment="1">
      <alignment horizontal="center" vertical="center"/>
    </xf>
    <xf numFmtId="0" fontId="85" fillId="13" borderId="9" xfId="0" applyFont="1" applyFill="1" applyBorder="1" applyAlignment="1">
      <alignment horizontal="center" vertical="center"/>
    </xf>
    <xf numFmtId="3" fontId="3" fillId="0" borderId="68" xfId="0" applyNumberFormat="1" applyFont="1" applyBorder="1" applyAlignment="1" applyProtection="1">
      <alignment horizontal="center" vertical="center"/>
      <protection hidden="1"/>
    </xf>
    <xf numFmtId="3" fontId="3" fillId="0" borderId="44" xfId="0" applyNumberFormat="1" applyFont="1" applyBorder="1" applyAlignment="1" applyProtection="1">
      <alignment horizontal="center" vertical="center"/>
      <protection hidden="1"/>
    </xf>
    <xf numFmtId="0" fontId="85" fillId="13" borderId="12" xfId="0" applyFont="1" applyFill="1" applyBorder="1" applyAlignment="1">
      <alignment horizontal="center" vertical="center"/>
    </xf>
    <xf numFmtId="0" fontId="85" fillId="13" borderId="1" xfId="0" applyFont="1" applyFill="1" applyBorder="1" applyAlignment="1">
      <alignment horizontal="center" vertical="center"/>
    </xf>
    <xf numFmtId="0" fontId="82" fillId="13" borderId="19" xfId="0" applyFont="1" applyFill="1" applyBorder="1" applyAlignment="1">
      <alignment horizontal="center" vertical="center" wrapText="1"/>
    </xf>
    <xf numFmtId="0" fontId="82" fillId="13" borderId="60" xfId="0" applyFont="1" applyFill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0" fontId="3" fillId="0" borderId="60" xfId="0" applyFont="1" applyBorder="1" applyAlignment="1">
      <alignment horizontal="center" vertical="center" wrapText="1"/>
    </xf>
    <xf numFmtId="0" fontId="3" fillId="0" borderId="62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0" fontId="3" fillId="0" borderId="57" xfId="0" applyFont="1" applyBorder="1" applyAlignment="1">
      <alignment horizontal="center" vertical="center" wrapText="1"/>
    </xf>
    <xf numFmtId="0" fontId="3" fillId="0" borderId="66" xfId="0" applyFont="1" applyBorder="1" applyAlignment="1">
      <alignment horizontal="center" vertical="center" wrapText="1"/>
    </xf>
    <xf numFmtId="3" fontId="3" fillId="0" borderId="4" xfId="0" applyNumberFormat="1" applyFont="1" applyBorder="1" applyAlignment="1" applyProtection="1">
      <alignment horizontal="center" vertical="center"/>
      <protection hidden="1"/>
    </xf>
    <xf numFmtId="3" fontId="6" fillId="7" borderId="99" xfId="0" applyNumberFormat="1" applyFont="1" applyFill="1" applyBorder="1" applyAlignment="1" applyProtection="1">
      <alignment horizontal="center" vertical="center"/>
      <protection locked="0"/>
    </xf>
    <xf numFmtId="3" fontId="6" fillId="7" borderId="91" xfId="0" applyNumberFormat="1" applyFont="1" applyFill="1" applyBorder="1" applyAlignment="1" applyProtection="1">
      <alignment horizontal="center" vertical="center"/>
      <protection locked="0"/>
    </xf>
    <xf numFmtId="3" fontId="6" fillId="7" borderId="12" xfId="0" applyNumberFormat="1" applyFont="1" applyFill="1" applyBorder="1" applyAlignment="1" applyProtection="1">
      <alignment horizontal="center" vertical="center"/>
      <protection locked="0"/>
    </xf>
    <xf numFmtId="3" fontId="6" fillId="7" borderId="9" xfId="0" applyNumberFormat="1" applyFont="1" applyFill="1" applyBorder="1" applyAlignment="1" applyProtection="1">
      <alignment horizontal="center" vertical="center"/>
      <protection locked="0"/>
    </xf>
    <xf numFmtId="0" fontId="85" fillId="13" borderId="1" xfId="0" applyFont="1" applyFill="1" applyBorder="1" applyAlignment="1" applyProtection="1">
      <alignment horizontal="center" vertical="center"/>
      <protection hidden="1"/>
    </xf>
    <xf numFmtId="14" fontId="5" fillId="0" borderId="16" xfId="0" applyNumberFormat="1" applyFont="1" applyBorder="1" applyAlignment="1">
      <alignment horizontal="left" vertical="center"/>
    </xf>
    <xf numFmtId="0" fontId="3" fillId="0" borderId="19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/>
    </xf>
    <xf numFmtId="0" fontId="3" fillId="0" borderId="60" xfId="0" applyFont="1" applyBorder="1" applyAlignment="1">
      <alignment horizontal="center" vertical="center"/>
    </xf>
    <xf numFmtId="0" fontId="3" fillId="0" borderId="62" xfId="0" applyFont="1" applyBorder="1" applyAlignment="1">
      <alignment horizontal="center" vertical="center"/>
    </xf>
    <xf numFmtId="0" fontId="57" fillId="0" borderId="0" xfId="0" applyFont="1" applyAlignment="1" applyProtection="1">
      <alignment horizontal="center" vertical="center"/>
      <protection locked="0"/>
    </xf>
    <xf numFmtId="14" fontId="0" fillId="0" borderId="0" xfId="0" applyNumberFormat="1" applyAlignment="1">
      <alignment horizontal="center" vertical="center"/>
    </xf>
    <xf numFmtId="0" fontId="6" fillId="0" borderId="0" xfId="0" applyFont="1" applyAlignment="1" applyProtection="1">
      <alignment horizontal="left"/>
      <protection hidden="1"/>
    </xf>
    <xf numFmtId="0" fontId="82" fillId="13" borderId="13" xfId="0" applyFont="1" applyFill="1" applyBorder="1" applyAlignment="1" applyProtection="1">
      <alignment horizontal="center"/>
      <protection hidden="1"/>
    </xf>
    <xf numFmtId="0" fontId="82" fillId="13" borderId="26" xfId="0" applyFont="1" applyFill="1" applyBorder="1" applyAlignment="1" applyProtection="1">
      <alignment horizontal="center"/>
      <protection hidden="1"/>
    </xf>
    <xf numFmtId="0" fontId="10" fillId="0" borderId="23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62" fillId="13" borderId="12" xfId="0" applyFont="1" applyFill="1" applyBorder="1" applyAlignment="1" applyProtection="1">
      <alignment horizontal="center" vertical="center"/>
      <protection hidden="1"/>
    </xf>
    <xf numFmtId="0" fontId="62" fillId="13" borderId="1" xfId="0" applyFont="1" applyFill="1" applyBorder="1" applyAlignment="1" applyProtection="1">
      <alignment horizontal="center" vertical="center"/>
      <protection hidden="1"/>
    </xf>
    <xf numFmtId="1" fontId="62" fillId="13" borderId="27" xfId="0" applyNumberFormat="1" applyFont="1" applyFill="1" applyBorder="1" applyAlignment="1" applyProtection="1">
      <alignment horizontal="center" vertical="center"/>
      <protection hidden="1"/>
    </xf>
    <xf numFmtId="1" fontId="62" fillId="13" borderId="28" xfId="0" applyNumberFormat="1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right" vertical="top"/>
      <protection hidden="1"/>
    </xf>
    <xf numFmtId="0" fontId="81" fillId="13" borderId="12" xfId="0" applyFont="1" applyFill="1" applyBorder="1" applyAlignment="1">
      <alignment horizontal="center"/>
    </xf>
    <xf numFmtId="0" fontId="81" fillId="13" borderId="1" xfId="0" applyFont="1" applyFill="1" applyBorder="1" applyAlignment="1">
      <alignment horizontal="center"/>
    </xf>
    <xf numFmtId="0" fontId="87" fillId="13" borderId="27" xfId="0" applyFont="1" applyFill="1" applyBorder="1" applyAlignment="1">
      <alignment horizontal="center" vertical="center" wrapText="1"/>
    </xf>
    <xf numFmtId="0" fontId="87" fillId="13" borderId="28" xfId="0" applyFont="1" applyFill="1" applyBorder="1" applyAlignment="1">
      <alignment horizontal="center" vertical="center" wrapText="1"/>
    </xf>
    <xf numFmtId="0" fontId="87" fillId="13" borderId="41" xfId="0" applyFont="1" applyFill="1" applyBorder="1" applyAlignment="1">
      <alignment horizontal="center" vertical="center" wrapText="1"/>
    </xf>
    <xf numFmtId="0" fontId="87" fillId="13" borderId="69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10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62" fillId="13" borderId="0" xfId="0" applyFont="1" applyFill="1" applyAlignment="1">
      <alignment horizontal="center" vertical="center" wrapText="1"/>
    </xf>
    <xf numFmtId="0" fontId="80" fillId="13" borderId="0" xfId="0" applyFont="1" applyFill="1" applyAlignment="1">
      <alignment horizontal="center" vertical="center" wrapText="1"/>
    </xf>
    <xf numFmtId="0" fontId="82" fillId="13" borderId="0" xfId="0" applyFont="1" applyFill="1" applyAlignment="1">
      <alignment horizontal="right" vertical="center" wrapText="1" indent="1"/>
    </xf>
    <xf numFmtId="0" fontId="6" fillId="0" borderId="0" xfId="0" applyFont="1" applyAlignment="1" applyProtection="1">
      <alignment horizontal="right" vertical="center"/>
      <protection hidden="1"/>
    </xf>
    <xf numFmtId="0" fontId="5" fillId="0" borderId="16" xfId="0" applyFont="1" applyBorder="1" applyAlignment="1" applyProtection="1">
      <alignment horizontal="left" vertical="center"/>
      <protection hidden="1"/>
    </xf>
    <xf numFmtId="0" fontId="11" fillId="0" borderId="72" xfId="0" applyFont="1" applyBorder="1" applyAlignment="1" applyProtection="1">
      <alignment horizontal="left" vertical="center"/>
      <protection hidden="1"/>
    </xf>
    <xf numFmtId="0" fontId="11" fillId="0" borderId="73" xfId="0" applyFont="1" applyBorder="1" applyAlignment="1" applyProtection="1">
      <alignment horizontal="left" vertical="center"/>
      <protection hidden="1"/>
    </xf>
    <xf numFmtId="0" fontId="11" fillId="0" borderId="118" xfId="0" applyFont="1" applyBorder="1" applyAlignment="1" applyProtection="1">
      <alignment horizontal="left" vertical="center"/>
      <protection hidden="1"/>
    </xf>
    <xf numFmtId="0" fontId="43" fillId="0" borderId="72" xfId="0" applyFont="1" applyBorder="1" applyAlignment="1" applyProtection="1">
      <alignment horizontal="left" vertical="center"/>
      <protection hidden="1"/>
    </xf>
    <xf numFmtId="0" fontId="43" fillId="0" borderId="73" xfId="0" applyFont="1" applyBorder="1" applyAlignment="1" applyProtection="1">
      <alignment horizontal="left" vertical="center"/>
      <protection hidden="1"/>
    </xf>
    <xf numFmtId="0" fontId="43" fillId="0" borderId="118" xfId="0" applyFont="1" applyBorder="1" applyAlignment="1" applyProtection="1">
      <alignment horizontal="left" vertical="center"/>
      <protection hidden="1"/>
    </xf>
    <xf numFmtId="0" fontId="43" fillId="0" borderId="70" xfId="0" applyFont="1" applyBorder="1" applyAlignment="1" applyProtection="1">
      <alignment horizontal="left" vertical="center"/>
      <protection hidden="1"/>
    </xf>
    <xf numFmtId="0" fontId="43" fillId="0" borderId="71" xfId="0" applyFont="1" applyBorder="1" applyAlignment="1" applyProtection="1">
      <alignment horizontal="left" vertical="center"/>
      <protection hidden="1"/>
    </xf>
    <xf numFmtId="0" fontId="43" fillId="0" borderId="201" xfId="0" applyFont="1" applyBorder="1" applyAlignment="1" applyProtection="1">
      <alignment horizontal="left" vertical="center"/>
      <protection hidden="1"/>
    </xf>
    <xf numFmtId="0" fontId="95" fillId="0" borderId="72" xfId="0" applyFont="1" applyBorder="1" applyAlignment="1" applyProtection="1">
      <alignment horizontal="left" vertical="center"/>
      <protection hidden="1"/>
    </xf>
    <xf numFmtId="0" fontId="95" fillId="0" borderId="73" xfId="0" applyFont="1" applyBorder="1" applyAlignment="1" applyProtection="1">
      <alignment horizontal="left" vertical="center"/>
      <protection hidden="1"/>
    </xf>
    <xf numFmtId="0" fontId="95" fillId="0" borderId="118" xfId="0" applyFont="1" applyBorder="1" applyAlignment="1" applyProtection="1">
      <alignment horizontal="left" vertical="center"/>
      <protection hidden="1"/>
    </xf>
    <xf numFmtId="0" fontId="92" fillId="0" borderId="72" xfId="0" applyFont="1" applyBorder="1" applyAlignment="1" applyProtection="1">
      <alignment horizontal="left" vertical="center"/>
      <protection hidden="1"/>
    </xf>
    <xf numFmtId="0" fontId="92" fillId="0" borderId="73" xfId="0" applyFont="1" applyBorder="1" applyAlignment="1" applyProtection="1">
      <alignment horizontal="left" vertical="center"/>
      <protection hidden="1"/>
    </xf>
    <xf numFmtId="0" fontId="92" fillId="0" borderId="118" xfId="0" applyFont="1" applyBorder="1" applyAlignment="1" applyProtection="1">
      <alignment horizontal="left" vertical="center"/>
      <protection hidden="1"/>
    </xf>
    <xf numFmtId="0" fontId="92" fillId="0" borderId="72" xfId="0" applyFont="1" applyBorder="1" applyAlignment="1" applyProtection="1">
      <alignment vertical="center"/>
      <protection hidden="1"/>
    </xf>
    <xf numFmtId="0" fontId="92" fillId="0" borderId="73" xfId="0" applyFont="1" applyBorder="1" applyAlignment="1" applyProtection="1">
      <alignment vertical="center"/>
      <protection hidden="1"/>
    </xf>
    <xf numFmtId="0" fontId="92" fillId="0" borderId="118" xfId="0" applyFont="1" applyBorder="1" applyAlignment="1" applyProtection="1">
      <alignment vertical="center"/>
      <protection hidden="1"/>
    </xf>
    <xf numFmtId="0" fontId="11" fillId="0" borderId="70" xfId="0" applyFont="1" applyBorder="1" applyAlignment="1" applyProtection="1">
      <alignment horizontal="left" vertical="center"/>
      <protection hidden="1"/>
    </xf>
    <xf numFmtId="0" fontId="11" fillId="0" borderId="71" xfId="0" applyFont="1" applyBorder="1" applyAlignment="1" applyProtection="1">
      <alignment horizontal="left" vertical="center"/>
      <protection hidden="1"/>
    </xf>
    <xf numFmtId="0" fontId="11" fillId="0" borderId="201" xfId="0" applyFont="1" applyBorder="1" applyAlignment="1" applyProtection="1">
      <alignment horizontal="left" vertical="center"/>
      <protection hidden="1"/>
    </xf>
    <xf numFmtId="0" fontId="11" fillId="0" borderId="45" xfId="0" applyFont="1" applyBorder="1" applyAlignment="1">
      <alignment horizontal="left" vertical="center" wrapText="1"/>
    </xf>
    <xf numFmtId="164" fontId="6" fillId="0" borderId="0" xfId="2" applyNumberFormat="1" applyFont="1" applyAlignment="1" applyProtection="1">
      <alignment horizontal="right" vertical="center"/>
      <protection hidden="1"/>
    </xf>
    <xf numFmtId="0" fontId="11" fillId="0" borderId="34" xfId="0" applyFont="1" applyBorder="1" applyAlignment="1">
      <alignment horizontal="left" vertical="center"/>
    </xf>
    <xf numFmtId="0" fontId="81" fillId="13" borderId="12" xfId="0" applyFont="1" applyFill="1" applyBorder="1" applyAlignment="1" applyProtection="1">
      <alignment horizontal="left" vertical="center" indent="1"/>
      <protection hidden="1"/>
    </xf>
    <xf numFmtId="0" fontId="81" fillId="13" borderId="2" xfId="0" applyFont="1" applyFill="1" applyBorder="1" applyAlignment="1" applyProtection="1">
      <alignment horizontal="left" vertical="center" indent="1"/>
      <protection hidden="1"/>
    </xf>
    <xf numFmtId="0" fontId="81" fillId="13" borderId="9" xfId="0" applyFont="1" applyFill="1" applyBorder="1" applyAlignment="1" applyProtection="1">
      <alignment horizontal="left" vertical="center" indent="1"/>
      <protection hidden="1"/>
    </xf>
    <xf numFmtId="0" fontId="81" fillId="13" borderId="13" xfId="0" applyFont="1" applyFill="1" applyBorder="1" applyAlignment="1" applyProtection="1">
      <alignment horizontal="left" vertical="center" indent="1"/>
      <protection hidden="1"/>
    </xf>
    <xf numFmtId="0" fontId="81" fillId="13" borderId="34" xfId="0" applyFont="1" applyFill="1" applyBorder="1" applyAlignment="1" applyProtection="1">
      <alignment horizontal="left" vertical="center" indent="1"/>
      <protection hidden="1"/>
    </xf>
    <xf numFmtId="0" fontId="81" fillId="13" borderId="43" xfId="0" applyFont="1" applyFill="1" applyBorder="1" applyAlignment="1" applyProtection="1">
      <alignment horizontal="left" vertical="center" indent="1"/>
      <protection hidden="1"/>
    </xf>
    <xf numFmtId="0" fontId="81" fillId="13" borderId="12" xfId="0" applyFont="1" applyFill="1" applyBorder="1" applyAlignment="1">
      <alignment horizontal="left" vertical="center" wrapText="1" indent="1"/>
    </xf>
    <xf numFmtId="0" fontId="81" fillId="13" borderId="2" xfId="0" applyFont="1" applyFill="1" applyBorder="1" applyAlignment="1">
      <alignment horizontal="left" vertical="center" wrapText="1" indent="1"/>
    </xf>
    <xf numFmtId="0" fontId="81" fillId="13" borderId="9" xfId="0" applyFont="1" applyFill="1" applyBorder="1" applyAlignment="1">
      <alignment horizontal="left" vertical="center" wrapText="1" indent="1"/>
    </xf>
    <xf numFmtId="0" fontId="81" fillId="13" borderId="27" xfId="0" applyFont="1" applyFill="1" applyBorder="1" applyAlignment="1">
      <alignment horizontal="left" vertical="center" wrapText="1" indent="1"/>
    </xf>
    <xf numFmtId="0" fontId="81" fillId="13" borderId="0" xfId="0" applyFont="1" applyFill="1" applyAlignment="1">
      <alignment horizontal="left" vertical="center" wrapText="1" indent="1"/>
    </xf>
    <xf numFmtId="0" fontId="81" fillId="13" borderId="31" xfId="0" applyFont="1" applyFill="1" applyBorder="1" applyAlignment="1">
      <alignment horizontal="left" vertical="center" wrapText="1" indent="1"/>
    </xf>
    <xf numFmtId="0" fontId="81" fillId="13" borderId="13" xfId="0" applyFont="1" applyFill="1" applyBorder="1" applyAlignment="1">
      <alignment horizontal="left" vertical="center" wrapText="1" indent="1"/>
    </xf>
    <xf numFmtId="0" fontId="81" fillId="13" borderId="34" xfId="0" applyFont="1" applyFill="1" applyBorder="1" applyAlignment="1">
      <alignment horizontal="left" vertical="center" wrapText="1" indent="1"/>
    </xf>
    <xf numFmtId="0" fontId="81" fillId="13" borderId="43" xfId="0" applyFont="1" applyFill="1" applyBorder="1" applyAlignment="1">
      <alignment horizontal="left" vertical="center" wrapText="1" indent="1"/>
    </xf>
    <xf numFmtId="0" fontId="92" fillId="0" borderId="74" xfId="0" applyFont="1" applyBorder="1" applyAlignment="1" applyProtection="1">
      <alignment horizontal="right" vertical="center"/>
      <protection hidden="1"/>
    </xf>
    <xf numFmtId="0" fontId="92" fillId="0" borderId="45" xfId="0" applyFont="1" applyBorder="1" applyAlignment="1" applyProtection="1">
      <alignment horizontal="right" vertical="center"/>
      <protection hidden="1"/>
    </xf>
    <xf numFmtId="0" fontId="11" fillId="0" borderId="45" xfId="0" quotePrefix="1" applyFont="1" applyBorder="1" applyAlignment="1">
      <alignment horizontal="left" vertical="center"/>
    </xf>
    <xf numFmtId="0" fontId="74" fillId="0" borderId="4" xfId="0" applyFont="1" applyBorder="1" applyAlignment="1" applyProtection="1">
      <alignment horizontal="right" vertical="center"/>
      <protection hidden="1"/>
    </xf>
    <xf numFmtId="0" fontId="74" fillId="0" borderId="98" xfId="0" applyFont="1" applyBorder="1" applyAlignment="1" applyProtection="1">
      <alignment horizontal="right" vertical="center"/>
      <protection hidden="1"/>
    </xf>
    <xf numFmtId="0" fontId="81" fillId="13" borderId="12" xfId="0" applyFont="1" applyFill="1" applyBorder="1" applyAlignment="1">
      <alignment horizontal="left" vertical="center" indent="1"/>
    </xf>
    <xf numFmtId="0" fontId="81" fillId="13" borderId="2" xfId="0" applyFont="1" applyFill="1" applyBorder="1" applyAlignment="1">
      <alignment horizontal="left" vertical="center" indent="1"/>
    </xf>
    <xf numFmtId="0" fontId="81" fillId="13" borderId="9" xfId="0" applyFont="1" applyFill="1" applyBorder="1" applyAlignment="1">
      <alignment horizontal="left" vertical="center" indent="1"/>
    </xf>
    <xf numFmtId="0" fontId="81" fillId="13" borderId="27" xfId="0" applyFont="1" applyFill="1" applyBorder="1" applyAlignment="1">
      <alignment horizontal="left" vertical="center" indent="1"/>
    </xf>
    <xf numFmtId="0" fontId="81" fillId="13" borderId="0" xfId="0" applyFont="1" applyFill="1" applyAlignment="1">
      <alignment horizontal="left" vertical="center" indent="1"/>
    </xf>
    <xf numFmtId="0" fontId="81" fillId="13" borderId="31" xfId="0" applyFont="1" applyFill="1" applyBorder="1" applyAlignment="1">
      <alignment horizontal="left" vertical="center" indent="1"/>
    </xf>
    <xf numFmtId="0" fontId="81" fillId="13" borderId="13" xfId="0" applyFont="1" applyFill="1" applyBorder="1" applyAlignment="1">
      <alignment horizontal="left" vertical="center" indent="1"/>
    </xf>
    <xf numFmtId="0" fontId="81" fillId="13" borderId="34" xfId="0" applyFont="1" applyFill="1" applyBorder="1" applyAlignment="1">
      <alignment horizontal="left" vertical="center" indent="1"/>
    </xf>
    <xf numFmtId="0" fontId="81" fillId="13" borderId="43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0" fillId="0" borderId="0" xfId="0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right" vertical="top" wrapText="1"/>
      <protection hidden="1"/>
    </xf>
    <xf numFmtId="0" fontId="11" fillId="0" borderId="0" xfId="0" applyFont="1" applyAlignment="1">
      <alignment horizontal="left" vertical="center" wrapText="1"/>
    </xf>
    <xf numFmtId="0" fontId="11" fillId="0" borderId="31" xfId="0" applyFont="1" applyBorder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5" fillId="0" borderId="12" xfId="0" applyFont="1" applyBorder="1" applyAlignment="1">
      <alignment horizontal="left" vertical="center" indent="1"/>
    </xf>
    <xf numFmtId="0" fontId="5" fillId="0" borderId="2" xfId="0" applyFont="1" applyBorder="1" applyAlignment="1">
      <alignment horizontal="left" vertical="center" indent="1"/>
    </xf>
    <xf numFmtId="0" fontId="5" fillId="0" borderId="9" xfId="0" applyFont="1" applyBorder="1" applyAlignment="1">
      <alignment horizontal="left" vertical="center" indent="1"/>
    </xf>
    <xf numFmtId="0" fontId="5" fillId="0" borderId="27" xfId="0" applyFont="1" applyBorder="1" applyAlignment="1">
      <alignment horizontal="left" vertical="center" indent="1"/>
    </xf>
    <xf numFmtId="0" fontId="5" fillId="0" borderId="0" xfId="0" applyFont="1" applyAlignment="1">
      <alignment horizontal="left" vertical="center" indent="1"/>
    </xf>
    <xf numFmtId="0" fontId="5" fillId="0" borderId="31" xfId="0" applyFont="1" applyBorder="1" applyAlignment="1">
      <alignment horizontal="left" vertical="center" indent="1"/>
    </xf>
    <xf numFmtId="2" fontId="5" fillId="0" borderId="16" xfId="0" applyNumberFormat="1" applyFont="1" applyBorder="1" applyAlignment="1" applyProtection="1">
      <alignment horizontal="left" vertical="center"/>
      <protection hidden="1"/>
    </xf>
    <xf numFmtId="0" fontId="3" fillId="0" borderId="17" xfId="0" applyFont="1" applyBorder="1" applyAlignment="1">
      <alignment horizontal="center"/>
    </xf>
    <xf numFmtId="0" fontId="6" fillId="0" borderId="19" xfId="0" applyFont="1" applyBorder="1" applyAlignment="1" applyProtection="1">
      <alignment horizontal="center" vertical="center" wrapText="1"/>
      <protection hidden="1"/>
    </xf>
    <xf numFmtId="0" fontId="6" fillId="0" borderId="32" xfId="0" applyFont="1" applyBorder="1" applyAlignment="1" applyProtection="1">
      <alignment horizontal="center" vertical="center" wrapText="1"/>
      <protection hidden="1"/>
    </xf>
    <xf numFmtId="0" fontId="11" fillId="0" borderId="20" xfId="0" applyFont="1" applyBorder="1" applyAlignment="1">
      <alignment horizontal="left"/>
    </xf>
    <xf numFmtId="0" fontId="2" fillId="0" borderId="10" xfId="0" applyFont="1" applyBorder="1" applyAlignment="1">
      <alignment horizontal="left"/>
    </xf>
    <xf numFmtId="0" fontId="2" fillId="0" borderId="44" xfId="0" applyFont="1" applyBorder="1" applyAlignment="1">
      <alignment horizontal="left"/>
    </xf>
    <xf numFmtId="0" fontId="11" fillId="0" borderId="20" xfId="0" applyFont="1" applyBorder="1" applyAlignment="1">
      <alignment horizontal="left" vertical="center"/>
    </xf>
    <xf numFmtId="0" fontId="11" fillId="0" borderId="10" xfId="0" applyFont="1" applyBorder="1" applyAlignment="1">
      <alignment horizontal="left" vertical="center"/>
    </xf>
    <xf numFmtId="0" fontId="11" fillId="0" borderId="44" xfId="0" applyFont="1" applyBorder="1" applyAlignment="1">
      <alignment horizontal="left" vertical="center"/>
    </xf>
    <xf numFmtId="0" fontId="4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3" fontId="11" fillId="0" borderId="0" xfId="0" applyNumberFormat="1" applyFont="1" applyAlignment="1">
      <alignment horizontal="center" vertical="center"/>
    </xf>
    <xf numFmtId="0" fontId="11" fillId="0" borderId="263" xfId="0" applyFont="1" applyBorder="1" applyAlignment="1" applyProtection="1">
      <alignment horizontal="center" vertical="center"/>
      <protection hidden="1"/>
    </xf>
    <xf numFmtId="0" fontId="11" fillId="0" borderId="32" xfId="0" applyFont="1" applyBorder="1" applyAlignment="1" applyProtection="1">
      <alignment horizontal="center" vertical="center"/>
      <protection hidden="1"/>
    </xf>
    <xf numFmtId="0" fontId="10" fillId="5" borderId="18" xfId="0" applyFont="1" applyFill="1" applyBorder="1" applyAlignment="1" applyProtection="1">
      <alignment horizontal="left" vertical="center"/>
      <protection hidden="1"/>
    </xf>
    <xf numFmtId="0" fontId="10" fillId="5" borderId="7" xfId="0" applyFont="1" applyFill="1" applyBorder="1" applyAlignment="1" applyProtection="1">
      <alignment horizontal="left" vertical="center"/>
      <protection hidden="1"/>
    </xf>
    <xf numFmtId="0" fontId="10" fillId="5" borderId="8" xfId="0" applyFont="1" applyFill="1" applyBorder="1" applyAlignment="1" applyProtection="1">
      <alignment horizontal="left" vertical="center"/>
      <protection hidden="1"/>
    </xf>
    <xf numFmtId="0" fontId="83" fillId="13" borderId="156" xfId="0" applyFont="1" applyFill="1" applyBorder="1" applyAlignment="1">
      <alignment horizontal="center" vertical="center" wrapText="1"/>
    </xf>
    <xf numFmtId="0" fontId="83" fillId="13" borderId="40" xfId="0" applyFont="1" applyFill="1" applyBorder="1" applyAlignment="1">
      <alignment horizontal="center" vertical="center" wrapText="1"/>
    </xf>
    <xf numFmtId="0" fontId="83" fillId="13" borderId="157" xfId="0" applyFont="1" applyFill="1" applyBorder="1" applyAlignment="1">
      <alignment horizontal="center" vertical="center" wrapText="1"/>
    </xf>
    <xf numFmtId="0" fontId="11" fillId="7" borderId="20" xfId="0" applyFont="1" applyFill="1" applyBorder="1" applyAlignment="1" applyProtection="1">
      <alignment horizontal="left" vertical="center"/>
      <protection locked="0"/>
    </xf>
    <xf numFmtId="0" fontId="11" fillId="7" borderId="10" xfId="0" applyFont="1" applyFill="1" applyBorder="1" applyAlignment="1" applyProtection="1">
      <alignment horizontal="left" vertical="center"/>
      <protection locked="0"/>
    </xf>
    <xf numFmtId="0" fontId="11" fillId="7" borderId="44" xfId="0" applyFont="1" applyFill="1" applyBorder="1" applyAlignment="1" applyProtection="1">
      <alignment horizontal="left" vertical="center"/>
      <protection locked="0"/>
    </xf>
    <xf numFmtId="0" fontId="11" fillId="7" borderId="89" xfId="0" applyFont="1" applyFill="1" applyBorder="1" applyAlignment="1" applyProtection="1">
      <alignment horizontal="left" vertical="center"/>
      <protection locked="0"/>
    </xf>
    <xf numFmtId="0" fontId="11" fillId="7" borderId="90" xfId="0" applyFont="1" applyFill="1" applyBorder="1" applyAlignment="1" applyProtection="1">
      <alignment horizontal="left" vertical="center"/>
      <protection locked="0"/>
    </xf>
    <xf numFmtId="0" fontId="11" fillId="7" borderId="91" xfId="0" applyFont="1" applyFill="1" applyBorder="1" applyAlignment="1" applyProtection="1">
      <alignment horizontal="left" vertical="center"/>
      <protection locked="0"/>
    </xf>
    <xf numFmtId="0" fontId="10" fillId="0" borderId="17" xfId="0" applyFont="1" applyBorder="1" applyAlignment="1" applyProtection="1">
      <alignment horizontal="center" vertical="center"/>
      <protection hidden="1"/>
    </xf>
    <xf numFmtId="17" fontId="6" fillId="0" borderId="20" xfId="0" applyNumberFormat="1" applyFont="1" applyBorder="1" applyAlignment="1" applyProtection="1">
      <alignment horizontal="center" vertical="center"/>
      <protection hidden="1"/>
    </xf>
    <xf numFmtId="17" fontId="6" fillId="0" borderId="67" xfId="0" applyNumberFormat="1" applyFont="1" applyBorder="1" applyAlignment="1" applyProtection="1">
      <alignment horizontal="center" vertical="center"/>
      <protection hidden="1"/>
    </xf>
    <xf numFmtId="10" fontId="3" fillId="5" borderId="38" xfId="2" applyNumberFormat="1" applyFont="1" applyFill="1" applyBorder="1" applyAlignment="1" applyProtection="1">
      <alignment horizontal="right" vertical="center"/>
      <protection hidden="1"/>
    </xf>
    <xf numFmtId="10" fontId="3" fillId="5" borderId="17" xfId="2" applyNumberFormat="1" applyFont="1" applyFill="1" applyBorder="1" applyAlignment="1" applyProtection="1">
      <alignment horizontal="right" vertical="center"/>
      <protection hidden="1"/>
    </xf>
    <xf numFmtId="10" fontId="3" fillId="5" borderId="44" xfId="2" applyNumberFormat="1" applyFont="1" applyFill="1" applyBorder="1" applyAlignment="1" applyProtection="1">
      <alignment horizontal="right" vertical="center"/>
      <protection hidden="1"/>
    </xf>
    <xf numFmtId="3" fontId="10" fillId="0" borderId="0" xfId="0" applyNumberFormat="1" applyFont="1" applyAlignment="1">
      <alignment horizontal="right"/>
    </xf>
    <xf numFmtId="0" fontId="43" fillId="0" borderId="20" xfId="0" applyFont="1" applyBorder="1" applyAlignment="1">
      <alignment horizontal="left" vertical="center"/>
    </xf>
    <xf numFmtId="0" fontId="43" fillId="0" borderId="10" xfId="0" applyFont="1" applyBorder="1" applyAlignment="1">
      <alignment horizontal="left" vertical="center"/>
    </xf>
    <xf numFmtId="0" fontId="43" fillId="0" borderId="44" xfId="0" applyFont="1" applyBorder="1" applyAlignment="1">
      <alignment horizontal="left" vertical="center"/>
    </xf>
    <xf numFmtId="0" fontId="52" fillId="0" borderId="124" xfId="0" applyFont="1" applyBorder="1" applyAlignment="1" applyProtection="1">
      <alignment horizontal="left" vertical="center"/>
      <protection hidden="1"/>
    </xf>
    <xf numFmtId="0" fontId="52" fillId="0" borderId="125" xfId="0" applyFont="1" applyBorder="1" applyAlignment="1" applyProtection="1">
      <alignment horizontal="left" vertical="center"/>
      <protection hidden="1"/>
    </xf>
    <xf numFmtId="0" fontId="11" fillId="0" borderId="23" xfId="0" applyFont="1" applyBorder="1" applyAlignment="1">
      <alignment horizontal="left" vertical="center"/>
    </xf>
    <xf numFmtId="0" fontId="2" fillId="0" borderId="16" xfId="0" applyFont="1" applyBorder="1" applyAlignment="1">
      <alignment horizontal="left" vertical="center"/>
    </xf>
    <xf numFmtId="0" fontId="2" fillId="0" borderId="59" xfId="0" applyFont="1" applyBorder="1" applyAlignment="1">
      <alignment horizontal="left" vertical="center"/>
    </xf>
    <xf numFmtId="0" fontId="43" fillId="0" borderId="89" xfId="0" applyFont="1" applyBorder="1" applyAlignment="1">
      <alignment horizontal="left" vertical="center"/>
    </xf>
    <xf numFmtId="0" fontId="53" fillId="0" borderId="90" xfId="0" applyFont="1" applyBorder="1" applyAlignment="1">
      <alignment horizontal="left" vertical="center"/>
    </xf>
    <xf numFmtId="0" fontId="53" fillId="0" borderId="91" xfId="0" applyFont="1" applyBorder="1" applyAlignment="1">
      <alignment horizontal="left" vertical="center"/>
    </xf>
    <xf numFmtId="0" fontId="43" fillId="7" borderId="20" xfId="0" applyFont="1" applyFill="1" applyBorder="1" applyAlignment="1" applyProtection="1">
      <alignment horizontal="left" vertical="center"/>
      <protection locked="0"/>
    </xf>
    <xf numFmtId="0" fontId="43" fillId="7" borderId="10" xfId="0" applyFont="1" applyFill="1" applyBorder="1" applyAlignment="1" applyProtection="1">
      <alignment horizontal="left" vertical="center"/>
      <protection locked="0"/>
    </xf>
    <xf numFmtId="0" fontId="43" fillId="7" borderId="44" xfId="0" applyFont="1" applyFill="1" applyBorder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right"/>
      <protection hidden="1"/>
    </xf>
    <xf numFmtId="3" fontId="6" fillId="0" borderId="0" xfId="0" applyNumberFormat="1" applyFont="1" applyAlignment="1">
      <alignment horizontal="right" vertical="top"/>
    </xf>
    <xf numFmtId="0" fontId="0" fillId="0" borderId="0" xfId="0" applyAlignment="1">
      <alignment horizontal="right" vertical="top"/>
    </xf>
    <xf numFmtId="0" fontId="5" fillId="0" borderId="34" xfId="0" applyFont="1" applyBorder="1" applyAlignment="1">
      <alignment horizontal="center" vertical="center"/>
    </xf>
    <xf numFmtId="0" fontId="5" fillId="5" borderId="2" xfId="0" applyFont="1" applyFill="1" applyBorder="1" applyAlignment="1" applyProtection="1">
      <alignment horizontal="left" vertical="center"/>
      <protection hidden="1"/>
    </xf>
    <xf numFmtId="0" fontId="5" fillId="5" borderId="9" xfId="0" applyFont="1" applyFill="1" applyBorder="1" applyAlignment="1" applyProtection="1">
      <alignment horizontal="left" vertical="center"/>
      <protection hidden="1"/>
    </xf>
    <xf numFmtId="0" fontId="2" fillId="0" borderId="10" xfId="0" applyFont="1" applyBorder="1" applyAlignment="1">
      <alignment horizontal="left" vertical="center"/>
    </xf>
    <xf numFmtId="0" fontId="2" fillId="0" borderId="44" xfId="0" applyFont="1" applyBorder="1" applyAlignment="1">
      <alignment horizontal="left" vertical="center"/>
    </xf>
    <xf numFmtId="0" fontId="82" fillId="13" borderId="165" xfId="0" applyFont="1" applyFill="1" applyBorder="1" applyAlignment="1">
      <alignment horizontal="left" vertical="center"/>
    </xf>
    <xf numFmtId="0" fontId="82" fillId="13" borderId="166" xfId="0" applyFont="1" applyFill="1" applyBorder="1" applyAlignment="1">
      <alignment horizontal="left" vertical="center"/>
    </xf>
    <xf numFmtId="0" fontId="82" fillId="13" borderId="167" xfId="0" applyFont="1" applyFill="1" applyBorder="1" applyAlignment="1">
      <alignment horizontal="left" vertical="center"/>
    </xf>
    <xf numFmtId="0" fontId="10" fillId="5" borderId="23" xfId="0" applyFont="1" applyFill="1" applyBorder="1" applyAlignment="1" applyProtection="1">
      <alignment horizontal="left" vertical="center"/>
      <protection hidden="1"/>
    </xf>
    <xf numFmtId="0" fontId="10" fillId="5" borderId="16" xfId="0" applyFont="1" applyFill="1" applyBorder="1" applyAlignment="1" applyProtection="1">
      <alignment horizontal="left" vertical="center"/>
      <protection hidden="1"/>
    </xf>
    <xf numFmtId="0" fontId="10" fillId="5" borderId="59" xfId="0" applyFont="1" applyFill="1" applyBorder="1" applyAlignment="1" applyProtection="1">
      <alignment horizontal="left" vertical="center"/>
      <protection hidden="1"/>
    </xf>
    <xf numFmtId="0" fontId="5" fillId="5" borderId="16" xfId="0" applyFont="1" applyFill="1" applyBorder="1" applyAlignment="1" applyProtection="1">
      <alignment horizontal="left" vertical="center"/>
      <protection hidden="1"/>
    </xf>
    <xf numFmtId="0" fontId="5" fillId="5" borderId="59" xfId="0" applyFont="1" applyFill="1" applyBorder="1" applyAlignment="1" applyProtection="1">
      <alignment horizontal="left" vertical="center"/>
      <protection hidden="1"/>
    </xf>
    <xf numFmtId="0" fontId="7" fillId="7" borderId="0" xfId="0" applyFont="1" applyFill="1" applyAlignment="1" applyProtection="1">
      <alignment horizontal="center" vertical="center"/>
      <protection locked="0"/>
    </xf>
    <xf numFmtId="0" fontId="88" fillId="7" borderId="0" xfId="0" applyFont="1" applyFill="1" applyAlignment="1" applyProtection="1">
      <alignment horizontal="center"/>
      <protection locked="0"/>
    </xf>
    <xf numFmtId="0" fontId="0" fillId="0" borderId="0" xfId="0" applyAlignment="1">
      <alignment horizontal="center" vertical="center"/>
    </xf>
    <xf numFmtId="16" fontId="11" fillId="0" borderId="20" xfId="0" quotePrefix="1" applyNumberFormat="1" applyFont="1" applyBorder="1" applyAlignment="1">
      <alignment horizontal="left" vertical="center"/>
    </xf>
    <xf numFmtId="16" fontId="36" fillId="0" borderId="10" xfId="0" quotePrefix="1" applyNumberFormat="1" applyFont="1" applyBorder="1" applyAlignment="1">
      <alignment horizontal="left" vertical="center"/>
    </xf>
    <xf numFmtId="16" fontId="36" fillId="0" borderId="44" xfId="0" quotePrefix="1" applyNumberFormat="1" applyFont="1" applyBorder="1" applyAlignment="1">
      <alignment horizontal="left" vertical="center"/>
    </xf>
    <xf numFmtId="0" fontId="11" fillId="0" borderId="20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44" xfId="0" applyFont="1" applyBorder="1" applyAlignment="1">
      <alignment horizontal="left" vertical="top"/>
    </xf>
    <xf numFmtId="0" fontId="62" fillId="13" borderId="165" xfId="0" applyFont="1" applyFill="1" applyBorder="1" applyAlignment="1">
      <alignment horizontal="left" vertical="center"/>
    </xf>
    <xf numFmtId="0" fontId="62" fillId="13" borderId="166" xfId="0" applyFont="1" applyFill="1" applyBorder="1" applyAlignment="1">
      <alignment horizontal="left" vertical="center"/>
    </xf>
    <xf numFmtId="0" fontId="62" fillId="13" borderId="167" xfId="0" applyFont="1" applyFill="1" applyBorder="1" applyAlignment="1">
      <alignment horizontal="left" vertical="center"/>
    </xf>
    <xf numFmtId="0" fontId="62" fillId="13" borderId="20" xfId="0" applyFont="1" applyFill="1" applyBorder="1" applyAlignment="1">
      <alignment horizontal="left" vertical="center"/>
    </xf>
    <xf numFmtId="0" fontId="62" fillId="13" borderId="10" xfId="0" applyFont="1" applyFill="1" applyBorder="1" applyAlignment="1">
      <alignment horizontal="left" vertical="center"/>
    </xf>
    <xf numFmtId="0" fontId="62" fillId="13" borderId="44" xfId="0" applyFont="1" applyFill="1" applyBorder="1" applyAlignment="1">
      <alignment horizontal="left" vertical="center"/>
    </xf>
    <xf numFmtId="0" fontId="56" fillId="0" borderId="124" xfId="0" applyFont="1" applyBorder="1" applyAlignment="1" applyProtection="1">
      <alignment horizontal="left"/>
      <protection hidden="1"/>
    </xf>
    <xf numFmtId="0" fontId="56" fillId="0" borderId="125" xfId="0" applyFont="1" applyBorder="1" applyAlignment="1" applyProtection="1">
      <alignment horizontal="left"/>
      <protection hidden="1"/>
    </xf>
    <xf numFmtId="0" fontId="56" fillId="0" borderId="126" xfId="0" applyFont="1" applyBorder="1" applyAlignment="1" applyProtection="1">
      <alignment horizontal="left"/>
      <protection hidden="1"/>
    </xf>
    <xf numFmtId="0" fontId="7" fillId="2" borderId="0" xfId="0" applyFont="1" applyFill="1" applyAlignment="1">
      <alignment horizontal="right" vertical="center"/>
    </xf>
    <xf numFmtId="0" fontId="43" fillId="0" borderId="23" xfId="0" applyFont="1" applyBorder="1" applyAlignment="1" applyProtection="1">
      <alignment horizontal="left" vertical="center"/>
      <protection hidden="1"/>
    </xf>
    <xf numFmtId="0" fontId="56" fillId="0" borderId="16" xfId="0" applyFont="1" applyBorder="1" applyAlignment="1" applyProtection="1">
      <alignment horizontal="left" vertical="center"/>
      <protection hidden="1"/>
    </xf>
    <xf numFmtId="0" fontId="56" fillId="0" borderId="59" xfId="0" applyFont="1" applyBorder="1" applyAlignment="1" applyProtection="1">
      <alignment horizontal="left" vertical="center"/>
      <protection hidden="1"/>
    </xf>
    <xf numFmtId="0" fontId="53" fillId="0" borderId="44" xfId="0" applyFont="1" applyBorder="1" applyAlignment="1">
      <alignment horizontal="left" vertical="center"/>
    </xf>
    <xf numFmtId="0" fontId="5" fillId="2" borderId="16" xfId="0" applyFont="1" applyFill="1" applyBorder="1" applyAlignment="1" applyProtection="1">
      <alignment horizontal="left"/>
      <protection hidden="1"/>
    </xf>
    <xf numFmtId="0" fontId="11" fillId="0" borderId="60" xfId="0" applyFont="1" applyBorder="1" applyAlignment="1" applyProtection="1">
      <alignment horizontal="center" vertical="center"/>
      <protection hidden="1"/>
    </xf>
    <xf numFmtId="0" fontId="43" fillId="0" borderId="20" xfId="0" applyFont="1" applyBorder="1" applyAlignment="1" applyProtection="1">
      <alignment horizontal="left" vertical="center"/>
      <protection hidden="1"/>
    </xf>
    <xf numFmtId="0" fontId="43" fillId="0" borderId="10" xfId="0" applyFont="1" applyBorder="1" applyAlignment="1" applyProtection="1">
      <alignment horizontal="left" vertical="center"/>
      <protection hidden="1"/>
    </xf>
    <xf numFmtId="0" fontId="43" fillId="0" borderId="44" xfId="0" applyFont="1" applyBorder="1" applyAlignment="1" applyProtection="1">
      <alignment horizontal="left" vertical="center"/>
      <protection hidden="1"/>
    </xf>
    <xf numFmtId="0" fontId="7" fillId="2" borderId="0" xfId="0" applyFont="1" applyFill="1" applyAlignment="1" applyProtection="1">
      <alignment horizontal="left"/>
      <protection hidden="1"/>
    </xf>
    <xf numFmtId="167" fontId="6" fillId="0" borderId="151" xfId="0" applyNumberFormat="1" applyFont="1" applyBorder="1" applyAlignment="1" applyProtection="1">
      <alignment horizontal="center" vertical="center"/>
      <protection hidden="1"/>
    </xf>
    <xf numFmtId="167" fontId="6" fillId="0" borderId="144" xfId="0" applyNumberFormat="1" applyFont="1" applyBorder="1" applyAlignment="1" applyProtection="1">
      <alignment horizontal="center" vertical="center"/>
      <protection hidden="1"/>
    </xf>
    <xf numFmtId="167" fontId="6" fillId="0" borderId="191" xfId="0" applyNumberFormat="1" applyFont="1" applyBorder="1" applyAlignment="1" applyProtection="1">
      <alignment horizontal="center" vertical="center"/>
      <protection hidden="1"/>
    </xf>
    <xf numFmtId="3" fontId="6" fillId="0" borderId="193" xfId="0" applyNumberFormat="1" applyFont="1" applyBorder="1" applyAlignment="1" applyProtection="1">
      <alignment horizontal="center" vertical="center"/>
      <protection hidden="1"/>
    </xf>
    <xf numFmtId="3" fontId="6" fillId="0" borderId="192" xfId="0" applyNumberFormat="1" applyFont="1" applyBorder="1" applyAlignment="1" applyProtection="1">
      <alignment horizontal="center" vertical="center"/>
      <protection hidden="1"/>
    </xf>
    <xf numFmtId="3" fontId="6" fillId="0" borderId="194" xfId="0" applyNumberFormat="1" applyFont="1" applyBorder="1" applyAlignment="1" applyProtection="1">
      <alignment horizontal="center" vertical="center"/>
      <protection hidden="1"/>
    </xf>
    <xf numFmtId="167" fontId="6" fillId="0" borderId="139" xfId="0" applyNumberFormat="1" applyFont="1" applyBorder="1" applyAlignment="1">
      <alignment horizontal="center" vertical="center"/>
    </xf>
    <xf numFmtId="164" fontId="59" fillId="5" borderId="139" xfId="2" applyNumberFormat="1" applyFont="1" applyFill="1" applyBorder="1" applyAlignment="1">
      <alignment horizontal="center" vertical="center"/>
    </xf>
    <xf numFmtId="0" fontId="6" fillId="0" borderId="138" xfId="0" applyFont="1" applyBorder="1" applyAlignment="1" applyProtection="1">
      <alignment horizontal="left" vertical="center"/>
      <protection hidden="1"/>
    </xf>
    <xf numFmtId="0" fontId="6" fillId="0" borderId="144" xfId="0" applyFont="1" applyBorder="1" applyAlignment="1" applyProtection="1">
      <alignment horizontal="left" vertical="center"/>
      <protection hidden="1"/>
    </xf>
    <xf numFmtId="0" fontId="6" fillId="7" borderId="133" xfId="0" applyFont="1" applyFill="1" applyBorder="1" applyAlignment="1" applyProtection="1">
      <alignment horizontal="left" vertical="center" wrapText="1"/>
      <protection locked="0"/>
    </xf>
    <xf numFmtId="0" fontId="0" fillId="0" borderId="129" xfId="0" applyBorder="1" applyAlignment="1" applyProtection="1">
      <alignment horizontal="left" vertical="center" wrapText="1"/>
      <protection locked="0"/>
    </xf>
    <xf numFmtId="0" fontId="0" fillId="0" borderId="182" xfId="0" applyBorder="1" applyAlignment="1" applyProtection="1">
      <alignment horizontal="left" vertical="center" wrapText="1"/>
      <protection locked="0"/>
    </xf>
    <xf numFmtId="0" fontId="0" fillId="0" borderId="134" xfId="0" applyBorder="1" applyAlignment="1" applyProtection="1">
      <alignment horizontal="left" vertical="center" wrapText="1"/>
      <protection locked="0"/>
    </xf>
    <xf numFmtId="0" fontId="0" fillId="0" borderId="128" xfId="0" applyBorder="1" applyAlignment="1" applyProtection="1">
      <alignment horizontal="left" vertical="center" wrapText="1"/>
      <protection locked="0"/>
    </xf>
    <xf numFmtId="0" fontId="0" fillId="0" borderId="183" xfId="0" applyBorder="1" applyAlignment="1" applyProtection="1">
      <alignment horizontal="left" vertical="center" wrapText="1"/>
      <protection locked="0"/>
    </xf>
    <xf numFmtId="0" fontId="0" fillId="0" borderId="187" xfId="0" applyBorder="1" applyAlignment="1" applyProtection="1">
      <alignment horizontal="left" vertical="center" wrapText="1"/>
      <protection locked="0"/>
    </xf>
    <xf numFmtId="0" fontId="0" fillId="0" borderId="177" xfId="0" applyBorder="1" applyAlignment="1" applyProtection="1">
      <alignment horizontal="left" vertical="center" wrapText="1"/>
      <protection locked="0"/>
    </xf>
    <xf numFmtId="0" fontId="0" fillId="0" borderId="179" xfId="0" applyBorder="1" applyAlignment="1" applyProtection="1">
      <alignment horizontal="left" vertical="center" wrapText="1"/>
      <protection locked="0"/>
    </xf>
    <xf numFmtId="164" fontId="6" fillId="7" borderId="132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30" xfId="0" applyBorder="1" applyAlignment="1" applyProtection="1">
      <alignment horizontal="center" vertical="center" wrapText="1"/>
      <protection locked="0"/>
    </xf>
    <xf numFmtId="0" fontId="0" fillId="0" borderId="261" xfId="0" applyBorder="1" applyAlignment="1" applyProtection="1">
      <alignment horizontal="center" vertical="center" wrapText="1"/>
      <protection locked="0"/>
    </xf>
    <xf numFmtId="0" fontId="6" fillId="7" borderId="132" xfId="0" applyFont="1" applyFill="1" applyBorder="1" applyAlignment="1" applyProtection="1">
      <alignment horizontal="center" vertical="center" wrapText="1"/>
      <protection locked="0"/>
    </xf>
    <xf numFmtId="0" fontId="85" fillId="13" borderId="172" xfId="0" applyFont="1" applyFill="1" applyBorder="1" applyAlignment="1" applyProtection="1">
      <alignment horizontal="center" vertical="center"/>
      <protection hidden="1"/>
    </xf>
    <xf numFmtId="0" fontId="85" fillId="13" borderId="0" xfId="0" applyFont="1" applyFill="1" applyAlignment="1" applyProtection="1">
      <alignment horizontal="center" vertical="center"/>
      <protection hidden="1"/>
    </xf>
    <xf numFmtId="0" fontId="85" fillId="13" borderId="173" xfId="0" applyFont="1" applyFill="1" applyBorder="1" applyAlignment="1" applyProtection="1">
      <alignment horizontal="center" vertical="center"/>
      <protection hidden="1"/>
    </xf>
    <xf numFmtId="167" fontId="3" fillId="0" borderId="216" xfId="0" applyNumberFormat="1" applyFont="1" applyBorder="1" applyAlignment="1" applyProtection="1">
      <alignment horizontal="center" vertical="center"/>
      <protection hidden="1"/>
    </xf>
    <xf numFmtId="167" fontId="3" fillId="0" borderId="139" xfId="0" applyNumberFormat="1" applyFont="1" applyBorder="1" applyAlignment="1" applyProtection="1">
      <alignment horizontal="center" vertical="center"/>
      <protection hidden="1"/>
    </xf>
    <xf numFmtId="167" fontId="6" fillId="0" borderId="216" xfId="0" applyNumberFormat="1" applyFont="1" applyBorder="1" applyAlignment="1" applyProtection="1">
      <alignment horizontal="center" vertical="center"/>
      <protection hidden="1"/>
    </xf>
    <xf numFmtId="167" fontId="6" fillId="0" borderId="139" xfId="0" applyNumberFormat="1" applyFont="1" applyBorder="1" applyAlignment="1" applyProtection="1">
      <alignment horizontal="center" vertical="center"/>
      <protection hidden="1"/>
    </xf>
    <xf numFmtId="167" fontId="6" fillId="0" borderId="217" xfId="0" applyNumberFormat="1" applyFont="1" applyBorder="1" applyAlignment="1" applyProtection="1">
      <alignment horizontal="center" vertical="center"/>
      <protection hidden="1"/>
    </xf>
    <xf numFmtId="167" fontId="6" fillId="0" borderId="162" xfId="0" applyNumberFormat="1" applyFont="1" applyBorder="1" applyAlignment="1" applyProtection="1">
      <alignment horizontal="center" vertical="center"/>
      <protection hidden="1"/>
    </xf>
    <xf numFmtId="167" fontId="3" fillId="0" borderId="218" xfId="0" applyNumberFormat="1" applyFont="1" applyBorder="1" applyAlignment="1" applyProtection="1">
      <alignment horizontal="center" vertical="center"/>
      <protection hidden="1"/>
    </xf>
    <xf numFmtId="167" fontId="3" fillId="0" borderId="161" xfId="0" applyNumberFormat="1" applyFont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>
      <alignment horizontal="left" vertical="center"/>
    </xf>
    <xf numFmtId="0" fontId="3" fillId="7" borderId="0" xfId="0" applyFont="1" applyFill="1" applyAlignment="1" applyProtection="1">
      <alignment horizontal="left" vertical="top" wrapText="1"/>
      <protection locked="0"/>
    </xf>
    <xf numFmtId="0" fontId="5" fillId="7" borderId="0" xfId="0" applyFont="1" applyFill="1" applyAlignment="1" applyProtection="1">
      <alignment horizontal="left" vertical="top" wrapText="1"/>
      <protection locked="0"/>
    </xf>
    <xf numFmtId="0" fontId="5" fillId="7" borderId="246" xfId="0" applyFont="1" applyFill="1" applyBorder="1" applyAlignment="1" applyProtection="1">
      <alignment horizontal="left" vertical="top" wrapText="1"/>
      <protection locked="0"/>
    </xf>
    <xf numFmtId="0" fontId="5" fillId="0" borderId="0" xfId="0" applyFont="1" applyAlignment="1" applyProtection="1">
      <alignment horizontal="center" vertical="center" wrapText="1"/>
      <protection hidden="1"/>
    </xf>
    <xf numFmtId="167" fontId="14" fillId="5" borderId="139" xfId="0" applyNumberFormat="1" applyFont="1" applyFill="1" applyBorder="1" applyAlignment="1">
      <alignment horizontal="center" vertical="center"/>
    </xf>
    <xf numFmtId="164" fontId="14" fillId="5" borderId="139" xfId="2" applyNumberFormat="1" applyFont="1" applyFill="1" applyBorder="1" applyAlignment="1">
      <alignment horizontal="center" vertical="center"/>
    </xf>
    <xf numFmtId="0" fontId="6" fillId="0" borderId="138" xfId="0" applyFont="1" applyBorder="1" applyAlignment="1" applyProtection="1">
      <alignment horizontal="left" vertical="center" wrapText="1"/>
      <protection hidden="1"/>
    </xf>
    <xf numFmtId="0" fontId="6" fillId="0" borderId="144" xfId="0" applyFont="1" applyBorder="1" applyAlignment="1" applyProtection="1">
      <alignment horizontal="left" vertical="center" wrapText="1"/>
      <protection hidden="1"/>
    </xf>
    <xf numFmtId="167" fontId="6" fillId="0" borderId="0" xfId="0" applyNumberFormat="1" applyFont="1" applyAlignment="1" applyProtection="1">
      <alignment horizontal="right" vertical="center"/>
      <protection hidden="1"/>
    </xf>
    <xf numFmtId="0" fontId="85" fillId="13" borderId="237" xfId="0" applyFont="1" applyFill="1" applyBorder="1" applyAlignment="1" applyProtection="1">
      <alignment horizontal="center" vertical="center"/>
      <protection hidden="1"/>
    </xf>
    <xf numFmtId="0" fontId="3" fillId="0" borderId="138" xfId="0" applyFont="1" applyBorder="1" applyAlignment="1" applyProtection="1">
      <alignment horizontal="left" vertical="center" wrapText="1"/>
      <protection hidden="1"/>
    </xf>
    <xf numFmtId="0" fontId="3" fillId="0" borderId="191" xfId="0" applyFont="1" applyBorder="1" applyAlignment="1" applyProtection="1">
      <alignment horizontal="left" vertical="center" wrapText="1"/>
      <protection hidden="1"/>
    </xf>
    <xf numFmtId="0" fontId="3" fillId="0" borderId="146" xfId="0" applyFont="1" applyBorder="1" applyAlignment="1" applyProtection="1">
      <alignment horizontal="left" vertical="center" wrapText="1"/>
      <protection hidden="1"/>
    </xf>
    <xf numFmtId="0" fontId="3" fillId="0" borderId="143" xfId="0" applyFont="1" applyBorder="1" applyAlignment="1" applyProtection="1">
      <alignment horizontal="left" vertical="center" wrapText="1"/>
      <protection hidden="1"/>
    </xf>
    <xf numFmtId="0" fontId="6" fillId="0" borderId="190" xfId="0" applyFont="1" applyBorder="1" applyAlignment="1" applyProtection="1">
      <alignment horizontal="center" vertical="center"/>
      <protection hidden="1"/>
    </xf>
    <xf numFmtId="0" fontId="6" fillId="0" borderId="174" xfId="0" applyFont="1" applyBorder="1" applyAlignment="1" applyProtection="1">
      <alignment horizontal="center" vertical="center"/>
      <protection hidden="1"/>
    </xf>
    <xf numFmtId="167" fontId="74" fillId="0" borderId="150" xfId="0" applyNumberFormat="1" applyFont="1" applyBorder="1" applyAlignment="1" applyProtection="1">
      <alignment horizontal="right" vertical="center"/>
      <protection hidden="1"/>
    </xf>
    <xf numFmtId="167" fontId="74" fillId="0" borderId="149" xfId="0" applyNumberFormat="1" applyFont="1" applyBorder="1" applyAlignment="1" applyProtection="1">
      <alignment horizontal="right" vertical="center"/>
      <protection hidden="1"/>
    </xf>
    <xf numFmtId="0" fontId="6" fillId="7" borderId="133" xfId="0" applyFont="1" applyFill="1" applyBorder="1" applyAlignment="1" applyProtection="1">
      <alignment horizontal="left" vertical="center"/>
      <protection locked="0"/>
    </xf>
    <xf numFmtId="0" fontId="0" fillId="0" borderId="260" xfId="0" applyBorder="1" applyAlignment="1" applyProtection="1">
      <alignment horizontal="left" vertical="center"/>
      <protection locked="0"/>
    </xf>
    <xf numFmtId="0" fontId="0" fillId="0" borderId="134" xfId="0" applyBorder="1" applyAlignment="1" applyProtection="1">
      <alignment horizontal="left" vertical="center"/>
      <protection locked="0"/>
    </xf>
    <xf numFmtId="0" fontId="0" fillId="0" borderId="131" xfId="0" applyBorder="1" applyAlignment="1" applyProtection="1">
      <alignment horizontal="left" vertical="center"/>
      <protection locked="0"/>
    </xf>
    <xf numFmtId="0" fontId="0" fillId="0" borderId="260" xfId="0" applyBorder="1" applyAlignment="1" applyProtection="1">
      <alignment horizontal="left" vertical="center" wrapText="1"/>
      <protection locked="0"/>
    </xf>
    <xf numFmtId="0" fontId="0" fillId="0" borderId="131" xfId="0" applyBorder="1" applyAlignment="1" applyProtection="1">
      <alignment horizontal="left" vertical="center" wrapText="1"/>
      <protection locked="0"/>
    </xf>
    <xf numFmtId="0" fontId="0" fillId="0" borderId="262" xfId="0" applyBorder="1" applyAlignment="1" applyProtection="1">
      <alignment horizontal="left" vertical="center" wrapText="1"/>
      <protection locked="0"/>
    </xf>
    <xf numFmtId="1" fontId="85" fillId="13" borderId="0" xfId="0" applyNumberFormat="1" applyFont="1" applyFill="1" applyAlignment="1" applyProtection="1">
      <alignment horizontal="center"/>
      <protection hidden="1"/>
    </xf>
    <xf numFmtId="0" fontId="85" fillId="13" borderId="0" xfId="0" applyFont="1" applyFill="1" applyAlignment="1" applyProtection="1">
      <alignment horizontal="center"/>
      <protection hidden="1"/>
    </xf>
    <xf numFmtId="0" fontId="85" fillId="13" borderId="173" xfId="0" applyFont="1" applyFill="1" applyBorder="1" applyAlignment="1" applyProtection="1">
      <alignment horizontal="center"/>
      <protection hidden="1"/>
    </xf>
    <xf numFmtId="0" fontId="6" fillId="0" borderId="0" xfId="0" applyFont="1" applyAlignment="1" applyProtection="1">
      <alignment horizontal="right" shrinkToFit="1"/>
      <protection hidden="1"/>
    </xf>
    <xf numFmtId="167" fontId="59" fillId="5" borderId="139" xfId="0" applyNumberFormat="1" applyFont="1" applyFill="1" applyBorder="1" applyAlignment="1">
      <alignment horizontal="center" vertical="center"/>
    </xf>
    <xf numFmtId="0" fontId="59" fillId="5" borderId="138" xfId="0" applyFont="1" applyFill="1" applyBorder="1" applyAlignment="1">
      <alignment horizontal="right" vertical="center"/>
    </xf>
    <xf numFmtId="0" fontId="59" fillId="5" borderId="144" xfId="0" applyFont="1" applyFill="1" applyBorder="1" applyAlignment="1">
      <alignment horizontal="right" vertical="center"/>
    </xf>
    <xf numFmtId="0" fontId="85" fillId="13" borderId="211" xfId="0" applyFont="1" applyFill="1" applyBorder="1" applyAlignment="1">
      <alignment horizontal="center" vertical="center"/>
    </xf>
    <xf numFmtId="167" fontId="3" fillId="0" borderId="143" xfId="0" applyNumberFormat="1" applyFont="1" applyBorder="1" applyAlignment="1" applyProtection="1">
      <alignment horizontal="center" vertical="center"/>
      <protection hidden="1"/>
    </xf>
    <xf numFmtId="167" fontId="6" fillId="0" borderId="204" xfId="0" applyNumberFormat="1" applyFont="1" applyBorder="1" applyAlignment="1" applyProtection="1">
      <alignment horizontal="center" vertical="center"/>
      <protection hidden="1"/>
    </xf>
    <xf numFmtId="167" fontId="6" fillId="6" borderId="144" xfId="0" applyNumberFormat="1" applyFont="1" applyFill="1" applyBorder="1" applyAlignment="1">
      <alignment horizontal="center" vertical="center"/>
    </xf>
    <xf numFmtId="167" fontId="6" fillId="6" borderId="139" xfId="0" applyNumberFormat="1" applyFont="1" applyFill="1" applyBorder="1" applyAlignment="1">
      <alignment horizontal="center" vertical="center"/>
    </xf>
    <xf numFmtId="167" fontId="8" fillId="0" borderId="0" xfId="0" applyNumberFormat="1" applyFont="1" applyAlignment="1" applyProtection="1">
      <alignment horizontal="right" vertical="center"/>
      <protection hidden="1"/>
    </xf>
    <xf numFmtId="0" fontId="87" fillId="13" borderId="215" xfId="0" applyFont="1" applyFill="1" applyBorder="1" applyAlignment="1">
      <alignment horizontal="center" vertical="center" wrapText="1"/>
    </xf>
    <xf numFmtId="0" fontId="87" fillId="13" borderId="0" xfId="0" applyFont="1" applyFill="1" applyAlignment="1">
      <alignment horizontal="center" vertical="center" wrapText="1"/>
    </xf>
    <xf numFmtId="0" fontId="87" fillId="13" borderId="211" xfId="0" applyFont="1" applyFill="1" applyBorder="1" applyAlignment="1">
      <alignment horizontal="center" vertical="center" wrapText="1"/>
    </xf>
    <xf numFmtId="0" fontId="87" fillId="13" borderId="0" xfId="0" applyFont="1" applyFill="1" applyAlignment="1" applyProtection="1">
      <alignment horizontal="center" vertical="center" wrapText="1"/>
      <protection hidden="1"/>
    </xf>
    <xf numFmtId="0" fontId="87" fillId="13" borderId="16" xfId="0" applyFont="1" applyFill="1" applyBorder="1" applyAlignment="1" applyProtection="1">
      <alignment horizontal="center" vertical="center" wrapText="1"/>
      <protection hidden="1"/>
    </xf>
    <xf numFmtId="0" fontId="3" fillId="0" borderId="215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3" fontId="87" fillId="13" borderId="215" xfId="0" applyNumberFormat="1" applyFont="1" applyFill="1" applyBorder="1" applyAlignment="1" applyProtection="1">
      <alignment horizontal="center" vertical="center" wrapText="1"/>
      <protection hidden="1"/>
    </xf>
    <xf numFmtId="3" fontId="87" fillId="13" borderId="0" xfId="0" applyNumberFormat="1" applyFont="1" applyFill="1" applyAlignment="1" applyProtection="1">
      <alignment horizontal="center" vertical="center" wrapText="1"/>
      <protection hidden="1"/>
    </xf>
    <xf numFmtId="3" fontId="87" fillId="13" borderId="211" xfId="0" applyNumberFormat="1" applyFont="1" applyFill="1" applyBorder="1" applyAlignment="1" applyProtection="1">
      <alignment horizontal="center" vertical="center" wrapText="1"/>
      <protection hidden="1"/>
    </xf>
    <xf numFmtId="0" fontId="85" fillId="13" borderId="215" xfId="0" applyFont="1" applyFill="1" applyBorder="1" applyAlignment="1">
      <alignment horizontal="center" vertical="center"/>
    </xf>
    <xf numFmtId="0" fontId="85" fillId="13" borderId="247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top"/>
    </xf>
    <xf numFmtId="0" fontId="87" fillId="13" borderId="173" xfId="0" applyFont="1" applyFill="1" applyBorder="1" applyAlignment="1" applyProtection="1">
      <alignment horizontal="center" vertical="center" wrapText="1"/>
      <protection hidden="1"/>
    </xf>
    <xf numFmtId="0" fontId="87" fillId="13" borderId="244" xfId="0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Alignment="1" applyProtection="1">
      <alignment horizontal="left" vertical="top"/>
      <protection hidden="1"/>
    </xf>
    <xf numFmtId="0" fontId="10" fillId="0" borderId="0" xfId="0" applyFont="1" applyAlignment="1">
      <alignment horizontal="center" vertical="center"/>
    </xf>
    <xf numFmtId="164" fontId="59" fillId="5" borderId="139" xfId="0" applyNumberFormat="1" applyFont="1" applyFill="1" applyBorder="1" applyAlignment="1">
      <alignment horizontal="center" vertical="center"/>
    </xf>
    <xf numFmtId="0" fontId="6" fillId="0" borderId="137" xfId="0" applyFont="1" applyBorder="1" applyAlignment="1" applyProtection="1">
      <alignment horizontal="left" vertical="center"/>
      <protection hidden="1"/>
    </xf>
    <xf numFmtId="0" fontId="6" fillId="0" borderId="143" xfId="0" applyFont="1" applyBorder="1" applyAlignment="1" applyProtection="1">
      <alignment horizontal="left" vertical="center"/>
      <protection hidden="1"/>
    </xf>
    <xf numFmtId="1" fontId="10" fillId="0" borderId="245" xfId="0" applyNumberFormat="1" applyFont="1" applyBorder="1" applyAlignment="1" applyProtection="1">
      <alignment horizontal="left" vertical="center"/>
      <protection hidden="1"/>
    </xf>
    <xf numFmtId="0" fontId="10" fillId="0" borderId="245" xfId="0" applyFont="1" applyBorder="1" applyAlignment="1" applyProtection="1">
      <alignment horizontal="left" vertical="center"/>
      <protection hidden="1"/>
    </xf>
    <xf numFmtId="0" fontId="92" fillId="0" borderId="0" xfId="0" applyFont="1" applyAlignment="1" applyProtection="1">
      <alignment horizontal="left" vertical="center"/>
      <protection hidden="1"/>
    </xf>
    <xf numFmtId="169" fontId="10" fillId="0" borderId="168" xfId="0" applyNumberFormat="1" applyFont="1" applyBorder="1" applyAlignment="1" applyProtection="1">
      <alignment horizontal="left" vertical="center"/>
      <protection hidden="1"/>
    </xf>
    <xf numFmtId="0" fontId="51" fillId="5" borderId="145" xfId="0" applyFont="1" applyFill="1" applyBorder="1" applyAlignment="1">
      <alignment horizontal="right" vertical="center"/>
    </xf>
    <xf numFmtId="0" fontId="51" fillId="5" borderId="146" xfId="0" applyFont="1" applyFill="1" applyBorder="1" applyAlignment="1">
      <alignment horizontal="right" vertical="center"/>
    </xf>
    <xf numFmtId="0" fontId="51" fillId="5" borderId="138" xfId="0" applyFont="1" applyFill="1" applyBorder="1" applyAlignment="1">
      <alignment horizontal="right" vertical="center"/>
    </xf>
    <xf numFmtId="0" fontId="51" fillId="5" borderId="144" xfId="0" applyFont="1" applyFill="1" applyBorder="1" applyAlignment="1">
      <alignment horizontal="right" vertical="center"/>
    </xf>
    <xf numFmtId="169" fontId="10" fillId="0" borderId="246" xfId="0" applyNumberFormat="1" applyFont="1" applyBorder="1" applyAlignment="1" applyProtection="1">
      <alignment horizontal="left" vertical="center"/>
      <protection hidden="1"/>
    </xf>
    <xf numFmtId="0" fontId="85" fillId="13" borderId="170" xfId="0" applyFont="1" applyFill="1" applyBorder="1" applyAlignment="1" applyProtection="1">
      <alignment horizontal="center"/>
      <protection hidden="1"/>
    </xf>
    <xf numFmtId="0" fontId="62" fillId="13" borderId="0" xfId="0" applyFont="1" applyFill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left" indent="1"/>
      <protection hidden="1"/>
    </xf>
    <xf numFmtId="0" fontId="85" fillId="13" borderId="211" xfId="0" applyFont="1" applyFill="1" applyBorder="1" applyAlignment="1" applyProtection="1">
      <alignment horizontal="left" vertical="center" indent="1"/>
      <protection hidden="1"/>
    </xf>
    <xf numFmtId="0" fontId="62" fillId="13" borderId="0" xfId="0" applyFont="1" applyFill="1" applyAlignment="1" applyProtection="1">
      <alignment horizontal="left" vertical="center" wrapText="1"/>
      <protection hidden="1"/>
    </xf>
    <xf numFmtId="0" fontId="3" fillId="0" borderId="0" xfId="0" applyFont="1" applyAlignment="1" applyProtection="1">
      <alignment horizontal="right" indent="1"/>
      <protection hidden="1"/>
    </xf>
    <xf numFmtId="0" fontId="3" fillId="0" borderId="145" xfId="0" applyFont="1" applyBorder="1" applyAlignment="1" applyProtection="1">
      <alignment horizontal="right" indent="1"/>
      <protection hidden="1"/>
    </xf>
    <xf numFmtId="0" fontId="85" fillId="13" borderId="0" xfId="0" applyFont="1" applyFill="1" applyAlignment="1">
      <alignment horizontal="left" vertical="center" wrapText="1" indent="1"/>
    </xf>
    <xf numFmtId="0" fontId="3" fillId="0" borderId="145" xfId="0" applyFont="1" applyBorder="1" applyAlignment="1" applyProtection="1">
      <alignment horizontal="right" vertical="center" indent="1"/>
      <protection hidden="1"/>
    </xf>
    <xf numFmtId="0" fontId="3" fillId="0" borderId="146" xfId="0" applyFont="1" applyBorder="1" applyAlignment="1" applyProtection="1">
      <alignment horizontal="right" vertical="center" indent="1"/>
      <protection hidden="1"/>
    </xf>
    <xf numFmtId="0" fontId="85" fillId="13" borderId="0" xfId="0" applyFont="1" applyFill="1" applyAlignment="1" applyProtection="1">
      <alignment horizontal="center" wrapText="1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6" fontId="85" fillId="13" borderId="170" xfId="0" applyNumberFormat="1" applyFont="1" applyFill="1" applyBorder="1" applyAlignment="1" applyProtection="1">
      <alignment horizontal="center" vertical="center"/>
      <protection hidden="1"/>
    </xf>
    <xf numFmtId="6" fontId="85" fillId="13" borderId="0" xfId="0" applyNumberFormat="1" applyFont="1" applyFill="1" applyAlignment="1" applyProtection="1">
      <alignment horizontal="center" vertical="center"/>
      <protection hidden="1"/>
    </xf>
    <xf numFmtId="0" fontId="85" fillId="13" borderId="170" xfId="0" applyFont="1" applyFill="1" applyBorder="1" applyAlignment="1" applyProtection="1">
      <alignment horizontal="left" vertical="center"/>
      <protection hidden="1"/>
    </xf>
    <xf numFmtId="0" fontId="85" fillId="13" borderId="171" xfId="0" applyFont="1" applyFill="1" applyBorder="1" applyAlignment="1" applyProtection="1">
      <alignment horizontal="left" vertical="center"/>
      <protection hidden="1"/>
    </xf>
    <xf numFmtId="0" fontId="85" fillId="13" borderId="0" xfId="0" applyFont="1" applyFill="1" applyAlignment="1" applyProtection="1">
      <alignment horizontal="left" vertical="center"/>
      <protection hidden="1"/>
    </xf>
    <xf numFmtId="0" fontId="85" fillId="13" borderId="173" xfId="0" applyFont="1" applyFill="1" applyBorder="1" applyAlignment="1" applyProtection="1">
      <alignment horizontal="left" vertical="center"/>
      <protection hidden="1"/>
    </xf>
    <xf numFmtId="14" fontId="10" fillId="0" borderId="245" xfId="0" applyNumberFormat="1" applyFont="1" applyBorder="1" applyAlignment="1" applyProtection="1">
      <alignment horizontal="left" vertical="center"/>
      <protection hidden="1"/>
    </xf>
    <xf numFmtId="14" fontId="3" fillId="0" borderId="0" xfId="0" applyNumberFormat="1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2" fontId="10" fillId="0" borderId="245" xfId="0" applyNumberFormat="1" applyFont="1" applyBorder="1" applyAlignment="1" applyProtection="1">
      <alignment horizontal="left" vertical="center"/>
      <protection hidden="1"/>
    </xf>
    <xf numFmtId="0" fontId="62" fillId="13" borderId="169" xfId="0" applyFont="1" applyFill="1" applyBorder="1" applyAlignment="1" applyProtection="1">
      <alignment horizontal="left" vertical="center"/>
      <protection hidden="1"/>
    </xf>
    <xf numFmtId="0" fontId="62" fillId="13" borderId="170" xfId="0" applyFont="1" applyFill="1" applyBorder="1" applyAlignment="1" applyProtection="1">
      <alignment horizontal="left" vertical="center"/>
      <protection hidden="1"/>
    </xf>
    <xf numFmtId="0" fontId="62" fillId="13" borderId="172" xfId="0" applyFont="1" applyFill="1" applyBorder="1" applyAlignment="1" applyProtection="1">
      <alignment horizontal="left" vertical="center"/>
      <protection hidden="1"/>
    </xf>
    <xf numFmtId="0" fontId="92" fillId="0" borderId="0" xfId="0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/>
      <protection hidden="1"/>
    </xf>
    <xf numFmtId="0" fontId="5" fillId="0" borderId="0" xfId="0" applyFont="1" applyAlignment="1" applyProtection="1">
      <alignment horizontal="left" vertical="top" wrapText="1"/>
      <protection hidden="1"/>
    </xf>
    <xf numFmtId="0" fontId="62" fillId="13" borderId="0" xfId="0" applyFont="1" applyFill="1" applyAlignment="1" applyProtection="1">
      <alignment horizontal="left" vertical="center" wrapText="1" indent="2"/>
      <protection hidden="1"/>
    </xf>
    <xf numFmtId="0" fontId="62" fillId="13" borderId="0" xfId="0" applyFont="1" applyFill="1" applyAlignment="1" applyProtection="1">
      <alignment horizontal="left" vertical="center" wrapText="1" indent="1"/>
      <protection hidden="1"/>
    </xf>
    <xf numFmtId="0" fontId="62" fillId="13" borderId="169" xfId="0" applyFont="1" applyFill="1" applyBorder="1" applyAlignment="1" applyProtection="1">
      <alignment horizontal="center" vertical="center"/>
      <protection hidden="1"/>
    </xf>
    <xf numFmtId="0" fontId="62" fillId="13" borderId="170" xfId="0" applyFont="1" applyFill="1" applyBorder="1" applyAlignment="1" applyProtection="1">
      <alignment horizontal="center" vertical="center"/>
      <protection hidden="1"/>
    </xf>
    <xf numFmtId="0" fontId="62" fillId="13" borderId="172" xfId="0" applyFont="1" applyFill="1" applyBorder="1" applyAlignment="1" applyProtection="1">
      <alignment horizontal="center" vertical="center"/>
      <protection hidden="1"/>
    </xf>
    <xf numFmtId="0" fontId="62" fillId="13" borderId="0" xfId="0" applyFont="1" applyFill="1" applyAlignment="1" applyProtection="1">
      <alignment horizontal="center" vertical="center"/>
      <protection hidden="1"/>
    </xf>
    <xf numFmtId="0" fontId="3" fillId="0" borderId="128" xfId="0" applyFont="1" applyBorder="1" applyAlignment="1">
      <alignment horizontal="center" vertical="center"/>
    </xf>
    <xf numFmtId="0" fontId="3" fillId="0" borderId="183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128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left" vertical="center"/>
    </xf>
    <xf numFmtId="0" fontId="3" fillId="0" borderId="135" xfId="0" applyFont="1" applyBorder="1" applyAlignment="1">
      <alignment horizontal="left" vertical="center"/>
    </xf>
    <xf numFmtId="0" fontId="85" fillId="13" borderId="171" xfId="0" applyFont="1" applyFill="1" applyBorder="1" applyAlignment="1" applyProtection="1">
      <alignment horizontal="center"/>
      <protection hidden="1"/>
    </xf>
    <xf numFmtId="0" fontId="10" fillId="3" borderId="12" xfId="0" applyFont="1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41" xfId="0" applyFont="1" applyFill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/>
    </xf>
    <xf numFmtId="0" fontId="5" fillId="3" borderId="69" xfId="0" applyFont="1" applyFill="1" applyBorder="1" applyAlignment="1">
      <alignment horizontal="center" vertical="center"/>
    </xf>
    <xf numFmtId="3" fontId="5" fillId="3" borderId="12" xfId="0" applyNumberFormat="1" applyFont="1" applyFill="1" applyBorder="1" applyAlignment="1">
      <alignment horizontal="center"/>
    </xf>
    <xf numFmtId="3" fontId="5" fillId="3" borderId="2" xfId="0" applyNumberFormat="1" applyFont="1" applyFill="1" applyBorder="1" applyAlignment="1">
      <alignment horizontal="center"/>
    </xf>
    <xf numFmtId="3" fontId="5" fillId="3" borderId="1" xfId="0" applyNumberFormat="1" applyFont="1" applyFill="1" applyBorder="1" applyAlignment="1">
      <alignment horizontal="center"/>
    </xf>
    <xf numFmtId="0" fontId="5" fillId="3" borderId="13" xfId="0" applyFont="1" applyFill="1" applyBorder="1" applyAlignment="1">
      <alignment horizontal="center" vertical="center"/>
    </xf>
    <xf numFmtId="0" fontId="5" fillId="3" borderId="34" xfId="0" applyFont="1" applyFill="1" applyBorder="1" applyAlignment="1">
      <alignment horizontal="center" vertical="center"/>
    </xf>
    <xf numFmtId="0" fontId="5" fillId="3" borderId="26" xfId="0" applyFont="1" applyFill="1" applyBorder="1" applyAlignment="1">
      <alignment horizontal="center" vertical="center"/>
    </xf>
    <xf numFmtId="167" fontId="11" fillId="0" borderId="20" xfId="0" applyNumberFormat="1" applyFont="1" applyBorder="1" applyAlignment="1">
      <alignment horizontal="center"/>
    </xf>
    <xf numFmtId="167" fontId="11" fillId="0" borderId="44" xfId="0" applyNumberFormat="1" applyFont="1" applyBorder="1" applyAlignment="1">
      <alignment horizontal="center"/>
    </xf>
    <xf numFmtId="167" fontId="0" fillId="0" borderId="0" xfId="0" applyNumberFormat="1"/>
    <xf numFmtId="167" fontId="11" fillId="0" borderId="0" xfId="0" applyNumberFormat="1" applyFont="1" applyAlignment="1">
      <alignment horizontal="center"/>
    </xf>
    <xf numFmtId="1" fontId="5" fillId="0" borderId="0" xfId="0" applyNumberFormat="1" applyFont="1" applyAlignment="1" applyProtection="1">
      <alignment horizontal="right"/>
      <protection hidden="1"/>
    </xf>
    <xf numFmtId="3" fontId="11" fillId="0" borderId="23" xfId="0" applyNumberFormat="1" applyFont="1" applyBorder="1" applyAlignment="1">
      <alignment horizontal="center" vertical="center"/>
    </xf>
    <xf numFmtId="3" fontId="11" fillId="0" borderId="59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3" borderId="10" xfId="0" applyFont="1" applyFill="1" applyBorder="1" applyAlignment="1">
      <alignment horizontal="center"/>
    </xf>
    <xf numFmtId="0" fontId="5" fillId="3" borderId="67" xfId="0" applyFont="1" applyFill="1" applyBorder="1" applyAlignment="1">
      <alignment horizontal="center"/>
    </xf>
    <xf numFmtId="3" fontId="11" fillId="0" borderId="0" xfId="0" applyNumberFormat="1" applyFont="1" applyAlignment="1" applyProtection="1">
      <alignment horizontal="center" vertical="center"/>
      <protection hidden="1"/>
    </xf>
    <xf numFmtId="2" fontId="5" fillId="3" borderId="41" xfId="0" applyNumberFormat="1" applyFont="1" applyFill="1" applyBorder="1" applyAlignment="1">
      <alignment horizontal="center"/>
    </xf>
    <xf numFmtId="2" fontId="5" fillId="3" borderId="69" xfId="0" applyNumberFormat="1" applyFont="1" applyFill="1" applyBorder="1" applyAlignment="1">
      <alignment horizontal="center"/>
    </xf>
    <xf numFmtId="0" fontId="5" fillId="3" borderId="12" xfId="0" applyFont="1" applyFill="1" applyBorder="1" applyAlignment="1" applyProtection="1">
      <alignment horizontal="center" vertical="center"/>
      <protection hidden="1"/>
    </xf>
    <xf numFmtId="0" fontId="5" fillId="3" borderId="1" xfId="0" applyFont="1" applyFill="1" applyBorder="1" applyAlignment="1" applyProtection="1">
      <alignment horizontal="center" vertical="center"/>
      <protection hidden="1"/>
    </xf>
  </cellXfs>
  <cellStyles count="4">
    <cellStyle name="Hyperlinkki" xfId="3" builtinId="8"/>
    <cellStyle name="Normaali" xfId="0" builtinId="0"/>
    <cellStyle name="Normaali 13" xfId="1" xr:uid="{00000000-0005-0000-0000-000002000000}"/>
    <cellStyle name="Prosenttia" xfId="2" builtinId="5"/>
  </cellStyles>
  <dxfs count="50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FFFFCC"/>
      <color rgb="FF33CC33"/>
      <color rgb="FF0152A1"/>
      <color rgb="FFF79646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84-4FC4-9E5E-CA74450C0C98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84-4FC4-9E5E-CA74450C0C98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84-4FC4-9E5E-CA74450C0C9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1170703"/>
        <c:axId val="71163215"/>
      </c:lineChart>
      <c:catAx>
        <c:axId val="7117070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1163215"/>
        <c:crosses val="autoZero"/>
        <c:auto val="1"/>
        <c:lblAlgn val="ctr"/>
        <c:lblOffset val="100"/>
        <c:noMultiLvlLbl val="0"/>
      </c:catAx>
      <c:valAx>
        <c:axId val="71163215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crossAx val="7117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kannattavuus</a:t>
            </a:r>
          </a:p>
        </c:rich>
      </c:tx>
      <c:layout>
        <c:manualLayout>
          <c:xMode val="edge"/>
          <c:yMode val="edge"/>
          <c:x val="0.18233333333333332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2445625546806649"/>
          <c:y val="0.20358814523184601"/>
          <c:w val="0.84776596675415572"/>
          <c:h val="0.592368401866433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C-424D-B497-A146BD83A2A0}"/>
            </c:ext>
          </c:extLst>
        </c:ser>
        <c:ser>
          <c:idx val="1"/>
          <c:order val="1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C-424D-B497-A146BD83A2A0}"/>
            </c:ext>
          </c:extLst>
        </c:ser>
        <c:ser>
          <c:idx val="2"/>
          <c:order val="2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C-424D-B497-A146BD83A2A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848299861393731E-2"/>
          <c:y val="0.14765094021209452"/>
          <c:w val="0.91052680212726222"/>
          <c:h val="0.833726331314479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'9. T5 KASSABUDJETTI  '!$C$55</c:f>
              <c:strCache>
                <c:ptCount val="1"/>
                <c:pt idx="0">
                  <c:v>TULOT - MENOT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45720</c:v>
                </c:pt>
                <c:pt idx="3">
                  <c:v>45751</c:v>
                </c:pt>
                <c:pt idx="4">
                  <c:v>45782</c:v>
                </c:pt>
                <c:pt idx="5">
                  <c:v>45813</c:v>
                </c:pt>
                <c:pt idx="6">
                  <c:v>45844</c:v>
                </c:pt>
                <c:pt idx="7">
                  <c:v>45875</c:v>
                </c:pt>
                <c:pt idx="8">
                  <c:v>45906</c:v>
                </c:pt>
                <c:pt idx="9">
                  <c:v>45937</c:v>
                </c:pt>
                <c:pt idx="10">
                  <c:v>45968</c:v>
                </c:pt>
                <c:pt idx="11">
                  <c:v>45999</c:v>
                </c:pt>
              </c:numCache>
            </c:numRef>
          </c:cat>
          <c:val>
            <c:numRef>
              <c:f>'9. T5 KASSABUDJETTI  '!$G$55:$R$55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C-45CA-8B77-28A141CA2FB3}"/>
            </c:ext>
          </c:extLst>
        </c:ser>
        <c:ser>
          <c:idx val="1"/>
          <c:order val="1"/>
          <c:tx>
            <c:strRef>
              <c:f>'9. T5 KASSABUDJETTI  '!$C$56</c:f>
              <c:strCache>
                <c:ptCount val="1"/>
                <c:pt idx="0">
                  <c:v>KUMULATIIVINEN KASSA KUUKAUDEN LOPUSSA</c:v>
                </c:pt>
              </c:strCache>
            </c:strRef>
          </c:tx>
          <c:spPr>
            <a:pattFill prst="ltUpDiag">
              <a:fgClr>
                <a:srgbClr val="C00000"/>
              </a:fgClr>
              <a:bgClr>
                <a:schemeClr val="bg1"/>
              </a:bgClr>
            </a:patt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45720</c:v>
                </c:pt>
                <c:pt idx="3">
                  <c:v>45751</c:v>
                </c:pt>
                <c:pt idx="4">
                  <c:v>45782</c:v>
                </c:pt>
                <c:pt idx="5">
                  <c:v>45813</c:v>
                </c:pt>
                <c:pt idx="6">
                  <c:v>45844</c:v>
                </c:pt>
                <c:pt idx="7">
                  <c:v>45875</c:v>
                </c:pt>
                <c:pt idx="8">
                  <c:v>45906</c:v>
                </c:pt>
                <c:pt idx="9">
                  <c:v>45937</c:v>
                </c:pt>
                <c:pt idx="10">
                  <c:v>45968</c:v>
                </c:pt>
                <c:pt idx="11">
                  <c:v>45999</c:v>
                </c:pt>
              </c:numCache>
            </c:numRef>
          </c:cat>
          <c:val>
            <c:numRef>
              <c:f>'9. T5 KASSABUDJETTI  '!$G$56:$R$56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8C-45CA-8B77-28A141CA2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688741008"/>
        <c:axId val="-612282544"/>
      </c:barChart>
      <c:dateAx>
        <c:axId val="-6887410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612282544"/>
        <c:crosses val="autoZero"/>
        <c:auto val="1"/>
        <c:lblOffset val="100"/>
        <c:baseTimeUnit val="months"/>
      </c:dateAx>
      <c:valAx>
        <c:axId val="-61228254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688741008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</c:legendEntry>
      <c:legendEntry>
        <c:idx val="1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</c:legendEntry>
      <c:layout>
        <c:manualLayout>
          <c:xMode val="edge"/>
          <c:yMode val="edge"/>
          <c:x val="0.20300233304170315"/>
          <c:y val="1.3950535918692983E-2"/>
          <c:w val="0.6057817933014783"/>
          <c:h val="9.9122180212055003E-2"/>
        </c:manualLayout>
      </c:layout>
      <c:overlay val="0"/>
      <c:txPr>
        <a:bodyPr/>
        <a:lstStyle/>
        <a:p>
          <a:pPr>
            <a:defRPr sz="3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i-FI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Liiketoiminnan laajuus 1000 €</a:t>
            </a:r>
          </a:p>
        </c:rich>
      </c:tx>
      <c:layout>
        <c:manualLayout>
          <c:xMode val="edge"/>
          <c:yMode val="edge"/>
          <c:x val="0.3184202329782595"/>
          <c:y val="3.24073489616527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6.5873339618150201E-2"/>
          <c:y val="0.13767190683095593"/>
          <c:w val="0.9134226734405303"/>
          <c:h val="0.655191780821917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1.6719733168856798E-3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B4-4A5B-8079-A511229E6736}"/>
                </c:ext>
              </c:extLst>
            </c:dLbl>
            <c:dLbl>
              <c:idx val="2"/>
              <c:layout>
                <c:manualLayout>
                  <c:x val="0"/>
                  <c:y val="-7.2915695257000127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B4-4A5B-8079-A511229E6736}"/>
                </c:ext>
              </c:extLst>
            </c:dLbl>
            <c:dLbl>
              <c:idx val="5"/>
              <c:layout>
                <c:manualLayout>
                  <c:x val="-1.6719733168858025E-3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33-485F-9054-43424F574F05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B4-4A5B-8079-A511229E6736}"/>
                </c:ext>
              </c:extLst>
            </c:dLbl>
            <c:dLbl>
              <c:idx val="2"/>
              <c:layout>
                <c:manualLayout>
                  <c:x val="-6.1304980085446956E-17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B4-4A5B-8079-A511229E6736}"/>
                </c:ext>
              </c:extLst>
            </c:dLbl>
            <c:dLbl>
              <c:idx val="3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B4-4A5B-8079-A511229E6736}"/>
                </c:ext>
              </c:extLst>
            </c:dLbl>
            <c:dLbl>
              <c:idx val="4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B4-4A5B-8079-A511229E6736}"/>
                </c:ext>
              </c:extLst>
            </c:dLbl>
            <c:dLbl>
              <c:idx val="5"/>
              <c:layout>
                <c:manualLayout>
                  <c:x val="0"/>
                  <c:y val="4.800922882441840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33-485F-9054-43424F574F05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6.1304980085446956E-17"/>
                  <c:y val="-6.777705757538427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B4-4A5B-8079-A511229E6736}"/>
                </c:ext>
              </c:extLst>
            </c:dLbl>
            <c:dLbl>
              <c:idx val="2"/>
              <c:layout>
                <c:manualLayout>
                  <c:x val="0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95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B4-4A5B-8079-A511229E6736}"/>
                </c:ext>
              </c:extLst>
            </c:dLbl>
            <c:dLbl>
              <c:idx val="5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33-485F-9054-43424F574F0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1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tickLblSkip val="1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25107406180060543"/>
          <c:y val="0.91344447805859197"/>
          <c:w val="0.49608258678834449"/>
          <c:h val="8.2025903642125572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Nettovarallisuus 1000 €</a:t>
            </a:r>
          </a:p>
        </c:rich>
      </c:tx>
      <c:layout>
        <c:manualLayout>
          <c:xMode val="edge"/>
          <c:yMode val="edge"/>
          <c:x val="0.36929765262267006"/>
          <c:y val="3.10845289660164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7740320885043536E-2"/>
          <c:y val="0.14981387732221396"/>
          <c:w val="0.91524088608934684"/>
          <c:h val="0.680520800532667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Kaavio!$B$52</c:f>
              <c:strCache>
                <c:ptCount val="1"/>
                <c:pt idx="0">
                  <c:v>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4.94919302044748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BF-45AD-BC1A-5F388E37259E}"/>
                </c:ext>
              </c:extLst>
            </c:dLbl>
            <c:dLbl>
              <c:idx val="2"/>
              <c:layout>
                <c:manualLayout>
                  <c:x val="-6.1428227714617861E-17"/>
                  <c:y val="-7.2951642659906289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BF-45AD-BC1A-5F388E37259E}"/>
                </c:ext>
              </c:extLst>
            </c:dLbl>
            <c:dLbl>
              <c:idx val="3"/>
              <c:layout>
                <c:manualLayout>
                  <c:x val="-6.1428227714617861E-17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BF-45AD-BC1A-5F388E37259E}"/>
                </c:ext>
              </c:extLst>
            </c:dLbl>
            <c:dLbl>
              <c:idx val="4"/>
              <c:layout>
                <c:manualLayout>
                  <c:x val="-1.6753346546930807E-3"/>
                  <c:y val="-7.2951642659861593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BF-45AD-BC1A-5F388E37259E}"/>
                </c:ext>
              </c:extLst>
            </c:dLbl>
            <c:dLbl>
              <c:idx val="5"/>
              <c:layout>
                <c:manualLayout>
                  <c:x val="-1.2285645542923572E-16"/>
                  <c:y val="-4.949193020447577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Kaavio!$C$52:$H$52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2B-47D3-B0AF-CBA5B1FAA434}"/>
            </c:ext>
          </c:extLst>
        </c:ser>
        <c:ser>
          <c:idx val="1"/>
          <c:order val="1"/>
          <c:tx>
            <c:strRef>
              <c:f>Kaavio!$B$53</c:f>
              <c:strCache>
                <c:ptCount val="1"/>
                <c:pt idx="0">
                  <c:v>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2.35462769628051E-3"/>
                  <c:y val="4.696874931955192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2B-47D3-B0AF-CBA5B1FAA434}"/>
                </c:ext>
              </c:extLst>
            </c:dLbl>
            <c:dLbl>
              <c:idx val="2"/>
              <c:layout>
                <c:manualLayout>
                  <c:x val="0"/>
                  <c:y val="4.696499512329906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2B-47D3-B0AF-CBA5B1FAA434}"/>
                </c:ext>
              </c:extLst>
            </c:dLbl>
            <c:dLbl>
              <c:idx val="3"/>
              <c:layout>
                <c:manualLayout>
                  <c:x val="-2.3546276962804671E-3"/>
                  <c:y val="9.464328753464271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2B-47D3-B0AF-CBA5B1FAA434}"/>
                </c:ext>
              </c:extLst>
            </c:dLbl>
            <c:dLbl>
              <c:idx val="4"/>
              <c:layout>
                <c:manualLayout>
                  <c:x val="-8.6335351510269187E-17"/>
                  <c:y val="4.6964995123299066E-3"/>
                </c:manualLayout>
              </c:layout>
              <c:tx>
                <c:rich>
                  <a:bodyPr/>
                  <a:lstStyle/>
                  <a:p>
                    <a:fld id="{3D3A1307-2900-46F6-8F60-EE177A1AB3D2}" type="VALUE">
                      <a:rPr lang="en-US" b="1"/>
                      <a:pPr/>
                      <a:t>[ARVO]</a:t>
                    </a:fld>
                    <a:endParaRPr lang="fi-FI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012B-47D3-B0AF-CBA5B1FAA434}"/>
                </c:ext>
              </c:extLst>
            </c:dLbl>
            <c:dLbl>
              <c:idx val="5"/>
              <c:layout>
                <c:manualLayout>
                  <c:x val="2.3546276962804671E-3"/>
                  <c:y val="4.69649951232999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2B-47D3-B0AF-CBA5B1FAA4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Kaavio!$C$53:$H$53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2B-47D3-B0AF-CBA5B1FAA434}"/>
            </c:ext>
          </c:extLst>
        </c:ser>
        <c:ser>
          <c:idx val="2"/>
          <c:order val="2"/>
          <c:tx>
            <c:strRef>
              <c:f>Kaavio!$B$54</c:f>
              <c:strCache>
                <c:ptCount val="1"/>
                <c:pt idx="0">
                  <c:v>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1.6753346546930807E-3"/>
                  <c:y val="-4.775644902120013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BF-45AD-BC1A-5F388E37259E}"/>
                </c:ext>
              </c:extLst>
            </c:dLbl>
            <c:dLbl>
              <c:idx val="2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BF-45AD-BC1A-5F388E37259E}"/>
                </c:ext>
              </c:extLst>
            </c:dLbl>
            <c:dLbl>
              <c:idx val="3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BF-45AD-BC1A-5F388E37259E}"/>
                </c:ext>
              </c:extLst>
            </c:dLbl>
            <c:dLbl>
              <c:idx val="4"/>
              <c:layout>
                <c:manualLayout>
                  <c:x val="0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BF-45AD-BC1A-5F388E37259E}"/>
                </c:ext>
              </c:extLst>
            </c:dLbl>
            <c:dLbl>
              <c:idx val="5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Kaavio!$C$54:$H$54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2B-47D3-B0AF-CBA5B1FAA43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31272865770381236"/>
          <c:y val="0.91523421859658816"/>
          <c:w val="0.40911427776247133"/>
          <c:h val="8.111090842067735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2"/>
                </a:solidFill>
              </a:rPr>
              <a:t>Liiketoiminnan kannattavuus (%/liikevaihto)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96-437F-AD5B-7EFEF782D78F}"/>
            </c:ext>
          </c:extLst>
        </c:ser>
        <c:ser>
          <c:idx val="1"/>
          <c:order val="1"/>
          <c:tx>
            <c:strRef>
              <c:f>Kaavio!$B$28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Kaavio!$C$28:$H$28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96-437F-AD5B-7EFEF782D78F}"/>
            </c:ext>
          </c:extLst>
        </c:ser>
        <c:ser>
          <c:idx val="2"/>
          <c:order val="2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96-437F-AD5B-7EFEF782D78F}"/>
            </c:ext>
          </c:extLst>
        </c:ser>
        <c:ser>
          <c:idx val="3"/>
          <c:order val="3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96-437F-AD5B-7EFEF782D7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74930976"/>
        <c:axId val="519967728"/>
      </c:barChart>
      <c:catAx>
        <c:axId val="37493097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519967728"/>
        <c:crosses val="autoZero"/>
        <c:auto val="1"/>
        <c:lblAlgn val="ctr"/>
        <c:lblOffset val="100"/>
        <c:noMultiLvlLbl val="0"/>
      </c:catAx>
      <c:valAx>
        <c:axId val="51996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7493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88674924432238"/>
          <c:y val="0.88651257909909353"/>
          <c:w val="0.78177057344744316"/>
          <c:h val="8.9536571815017979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Tulostussivu!A1"/><Relationship Id="rId18" Type="http://schemas.openxmlformats.org/officeDocument/2006/relationships/hyperlink" Target="#'4. T7 LAINAT '!A1"/><Relationship Id="rId3" Type="http://schemas.openxmlformats.org/officeDocument/2006/relationships/image" Target="../media/image2.png"/><Relationship Id="rId21" Type="http://schemas.openxmlformats.org/officeDocument/2006/relationships/image" Target="../media/image12.png"/><Relationship Id="rId7" Type="http://schemas.openxmlformats.org/officeDocument/2006/relationships/hyperlink" Target="#'6. E2 LIIKEVAIHTO '!A1"/><Relationship Id="rId12" Type="http://schemas.openxmlformats.org/officeDocument/2006/relationships/hyperlink" Target="#'9. T5 KASSABUDJETTI '!A1"/><Relationship Id="rId17" Type="http://schemas.openxmlformats.org/officeDocument/2006/relationships/hyperlink" Target="#'5. E1 KUSTANNUKSET '!A1"/><Relationship Id="rId2" Type="http://schemas.openxmlformats.org/officeDocument/2006/relationships/hyperlink" Target="#'1. T1 INVESTOINTISUUN.'!A1"/><Relationship Id="rId16" Type="http://schemas.openxmlformats.org/officeDocument/2006/relationships/image" Target="../media/image9.svg"/><Relationship Id="rId20" Type="http://schemas.openxmlformats.org/officeDocument/2006/relationships/image" Target="../media/image11.png"/><Relationship Id="rId1" Type="http://schemas.openxmlformats.org/officeDocument/2006/relationships/image" Target="../media/image1.png"/><Relationship Id="rId6" Type="http://schemas.openxmlformats.org/officeDocument/2006/relationships/hyperlink" Target="#'3. T3 TASE '!A1"/><Relationship Id="rId11" Type="http://schemas.openxmlformats.org/officeDocument/2006/relationships/image" Target="../media/image6.png"/><Relationship Id="rId24" Type="http://schemas.openxmlformats.org/officeDocument/2006/relationships/image" Target="../media/image15.jpeg"/><Relationship Id="rId5" Type="http://schemas.openxmlformats.org/officeDocument/2006/relationships/image" Target="../media/image3.png"/><Relationship Id="rId15" Type="http://schemas.openxmlformats.org/officeDocument/2006/relationships/image" Target="../media/image8.png"/><Relationship Id="rId23" Type="http://schemas.openxmlformats.org/officeDocument/2006/relationships/image" Target="../media/image14.png"/><Relationship Id="rId10" Type="http://schemas.openxmlformats.org/officeDocument/2006/relationships/image" Target="../media/image5.png"/><Relationship Id="rId19" Type="http://schemas.openxmlformats.org/officeDocument/2006/relationships/image" Target="../media/image10.png"/><Relationship Id="rId4" Type="http://schemas.openxmlformats.org/officeDocument/2006/relationships/hyperlink" Target="#'2. &amp; 7. T2 TULOSSUUN. '!A1"/><Relationship Id="rId9" Type="http://schemas.openxmlformats.org/officeDocument/2006/relationships/hyperlink" Target="#'8. T4 RAHOITUSSUUN. '!A1"/><Relationship Id="rId14" Type="http://schemas.openxmlformats.org/officeDocument/2006/relationships/image" Target="../media/image7.png"/><Relationship Id="rId22" Type="http://schemas.openxmlformats.org/officeDocument/2006/relationships/image" Target="../media/image13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2.png"/><Relationship Id="rId13" Type="http://schemas.openxmlformats.org/officeDocument/2006/relationships/hyperlink" Target="#'3. &amp; 8. T3 TASE '!A1"/><Relationship Id="rId18" Type="http://schemas.openxmlformats.org/officeDocument/2006/relationships/hyperlink" Target="#'6. E2 LIIKEVAIHTO '!A1"/><Relationship Id="rId3" Type="http://schemas.openxmlformats.org/officeDocument/2006/relationships/image" Target="../media/image8.png"/><Relationship Id="rId21" Type="http://schemas.openxmlformats.org/officeDocument/2006/relationships/image" Target="../media/image110.jpeg"/><Relationship Id="rId7" Type="http://schemas.openxmlformats.org/officeDocument/2006/relationships/hyperlink" Target="#'2. &amp; 7. T2 TULOSSUUN. '!A1"/><Relationship Id="rId12" Type="http://schemas.openxmlformats.org/officeDocument/2006/relationships/image" Target="../media/image104.png"/><Relationship Id="rId17" Type="http://schemas.openxmlformats.org/officeDocument/2006/relationships/image" Target="../media/image107.png"/><Relationship Id="rId2" Type="http://schemas.openxmlformats.org/officeDocument/2006/relationships/hyperlink" Target="#Tulostussivu!A1"/><Relationship Id="rId16" Type="http://schemas.openxmlformats.org/officeDocument/2006/relationships/hyperlink" Target="#'1. T1 INVESTOINTISUUN.'!A1"/><Relationship Id="rId20" Type="http://schemas.openxmlformats.org/officeDocument/2006/relationships/image" Target="../media/image109.jpeg"/><Relationship Id="rId1" Type="http://schemas.openxmlformats.org/officeDocument/2006/relationships/chart" Target="../charts/chart3.xml"/><Relationship Id="rId6" Type="http://schemas.openxmlformats.org/officeDocument/2006/relationships/image" Target="../media/image101.png"/><Relationship Id="rId11" Type="http://schemas.openxmlformats.org/officeDocument/2006/relationships/hyperlink" Target="#'4. T4 LAINAT '!A1"/><Relationship Id="rId5" Type="http://schemas.openxmlformats.org/officeDocument/2006/relationships/hyperlink" Target="#'8. T4 RAHOITUSSUUN. '!A1"/><Relationship Id="rId15" Type="http://schemas.openxmlformats.org/officeDocument/2006/relationships/image" Target="../media/image106.png"/><Relationship Id="rId10" Type="http://schemas.openxmlformats.org/officeDocument/2006/relationships/image" Target="../media/image103.png"/><Relationship Id="rId19" Type="http://schemas.openxmlformats.org/officeDocument/2006/relationships/image" Target="../media/image108.png"/><Relationship Id="rId4" Type="http://schemas.openxmlformats.org/officeDocument/2006/relationships/image" Target="../media/image9.svg"/><Relationship Id="rId9" Type="http://schemas.openxmlformats.org/officeDocument/2006/relationships/hyperlink" Target="#'5. E1 KUSTANNUKSET '!A1"/><Relationship Id="rId14" Type="http://schemas.openxmlformats.org/officeDocument/2006/relationships/image" Target="../media/image105.png"/><Relationship Id="rId22" Type="http://schemas.openxmlformats.org/officeDocument/2006/relationships/image" Target="../media/image111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4.png"/><Relationship Id="rId13" Type="http://schemas.openxmlformats.org/officeDocument/2006/relationships/hyperlink" Target="#'5. E1 KUSTANNUKSET '!A1"/><Relationship Id="rId18" Type="http://schemas.openxmlformats.org/officeDocument/2006/relationships/image" Target="../media/image120.png"/><Relationship Id="rId26" Type="http://schemas.openxmlformats.org/officeDocument/2006/relationships/image" Target="../media/image126.jpeg"/><Relationship Id="rId3" Type="http://schemas.openxmlformats.org/officeDocument/2006/relationships/hyperlink" Target="#'10. T5 KASSABUDJETTI '!A1"/><Relationship Id="rId21" Type="http://schemas.openxmlformats.org/officeDocument/2006/relationships/image" Target="../media/image122.png"/><Relationship Id="rId7" Type="http://schemas.openxmlformats.org/officeDocument/2006/relationships/hyperlink" Target="#'3. &amp; 8. T3 TASE '!A1"/><Relationship Id="rId12" Type="http://schemas.openxmlformats.org/officeDocument/2006/relationships/image" Target="../media/image116.png"/><Relationship Id="rId17" Type="http://schemas.openxmlformats.org/officeDocument/2006/relationships/image" Target="../media/image119.png"/><Relationship Id="rId25" Type="http://schemas.openxmlformats.org/officeDocument/2006/relationships/image" Target="../media/image125.jpeg"/><Relationship Id="rId2" Type="http://schemas.openxmlformats.org/officeDocument/2006/relationships/chart" Target="../charts/chart5.xml"/><Relationship Id="rId16" Type="http://schemas.openxmlformats.org/officeDocument/2006/relationships/image" Target="../media/image118.png"/><Relationship Id="rId20" Type="http://schemas.openxmlformats.org/officeDocument/2006/relationships/image" Target="../media/image121.png"/><Relationship Id="rId1" Type="http://schemas.openxmlformats.org/officeDocument/2006/relationships/chart" Target="../charts/chart4.xml"/><Relationship Id="rId6" Type="http://schemas.openxmlformats.org/officeDocument/2006/relationships/image" Target="../media/image113.png"/><Relationship Id="rId11" Type="http://schemas.openxmlformats.org/officeDocument/2006/relationships/hyperlink" Target="#'6. E2 LIIKEVAIHTO '!A1"/><Relationship Id="rId24" Type="http://schemas.openxmlformats.org/officeDocument/2006/relationships/image" Target="../media/image124.jpeg"/><Relationship Id="rId5" Type="http://schemas.openxmlformats.org/officeDocument/2006/relationships/hyperlink" Target="#'9. T4 RAHOITUSSUUN. '!A1"/><Relationship Id="rId15" Type="http://schemas.openxmlformats.org/officeDocument/2006/relationships/hyperlink" Target="#'4. T7 LAINAT '!A1"/><Relationship Id="rId23" Type="http://schemas.openxmlformats.org/officeDocument/2006/relationships/chart" Target="../charts/chart6.xml"/><Relationship Id="rId28" Type="http://schemas.openxmlformats.org/officeDocument/2006/relationships/image" Target="../media/image128.jpeg"/><Relationship Id="rId10" Type="http://schemas.openxmlformats.org/officeDocument/2006/relationships/image" Target="../media/image115.png"/><Relationship Id="rId19" Type="http://schemas.openxmlformats.org/officeDocument/2006/relationships/hyperlink" Target="#'1. T1 INVESTOINTISUUN.'!A1"/><Relationship Id="rId4" Type="http://schemas.openxmlformats.org/officeDocument/2006/relationships/image" Target="../media/image112.png"/><Relationship Id="rId9" Type="http://schemas.openxmlformats.org/officeDocument/2006/relationships/hyperlink" Target="#'2. &amp; 7. T2 TULOSSUUN. '!A1"/><Relationship Id="rId14" Type="http://schemas.openxmlformats.org/officeDocument/2006/relationships/image" Target="../media/image117.png"/><Relationship Id="rId22" Type="http://schemas.openxmlformats.org/officeDocument/2006/relationships/image" Target="../media/image123.svg"/><Relationship Id="rId27" Type="http://schemas.openxmlformats.org/officeDocument/2006/relationships/image" Target="../media/image127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'3. T3 TASE '!A1"/><Relationship Id="rId18" Type="http://schemas.openxmlformats.org/officeDocument/2006/relationships/image" Target="../media/image8.png"/><Relationship Id="rId3" Type="http://schemas.openxmlformats.org/officeDocument/2006/relationships/hyperlink" Target="#'8. T4 RAHOITUSSUUN. '!A1"/><Relationship Id="rId7" Type="http://schemas.openxmlformats.org/officeDocument/2006/relationships/hyperlink" Target="#'6. E2 LIIKEVAIHTO '!A1"/><Relationship Id="rId12" Type="http://schemas.openxmlformats.org/officeDocument/2006/relationships/image" Target="../media/image21.png"/><Relationship Id="rId17" Type="http://schemas.openxmlformats.org/officeDocument/2006/relationships/hyperlink" Target="#Tulostussivu!A1"/><Relationship Id="rId2" Type="http://schemas.openxmlformats.org/officeDocument/2006/relationships/image" Target="../media/image16.png"/><Relationship Id="rId16" Type="http://schemas.openxmlformats.org/officeDocument/2006/relationships/image" Target="../media/image24.png"/><Relationship Id="rId20" Type="http://schemas.openxmlformats.org/officeDocument/2006/relationships/image" Target="../media/image25.jpeg"/><Relationship Id="rId1" Type="http://schemas.openxmlformats.org/officeDocument/2006/relationships/hyperlink" Target="#'9. T5 KASSABUDJETTI '!A1"/><Relationship Id="rId6" Type="http://schemas.openxmlformats.org/officeDocument/2006/relationships/image" Target="../media/image18.png"/><Relationship Id="rId11" Type="http://schemas.openxmlformats.org/officeDocument/2006/relationships/hyperlink" Target="#'4. T7 LAINAT '!A1"/><Relationship Id="rId5" Type="http://schemas.openxmlformats.org/officeDocument/2006/relationships/hyperlink" Target="#'2. &amp; 7. T2 TULOSSUUN. '!A1"/><Relationship Id="rId15" Type="http://schemas.openxmlformats.org/officeDocument/2006/relationships/image" Target="../media/image23.png"/><Relationship Id="rId10" Type="http://schemas.openxmlformats.org/officeDocument/2006/relationships/image" Target="../media/image20.png"/><Relationship Id="rId19" Type="http://schemas.openxmlformats.org/officeDocument/2006/relationships/image" Target="../media/image9.svg"/><Relationship Id="rId4" Type="http://schemas.openxmlformats.org/officeDocument/2006/relationships/image" Target="../media/image17.png"/><Relationship Id="rId9" Type="http://schemas.openxmlformats.org/officeDocument/2006/relationships/hyperlink" Target="#'5. E1 KUSTANNUKSET '!A1"/><Relationship Id="rId14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13" Type="http://schemas.openxmlformats.org/officeDocument/2006/relationships/hyperlink" Target="#'3. T3 TASE '!A1"/><Relationship Id="rId18" Type="http://schemas.openxmlformats.org/officeDocument/2006/relationships/hyperlink" Target="#Tulostussivu!A1"/><Relationship Id="rId3" Type="http://schemas.openxmlformats.org/officeDocument/2006/relationships/image" Target="../media/image27.png"/><Relationship Id="rId21" Type="http://schemas.openxmlformats.org/officeDocument/2006/relationships/image" Target="../media/image36.jpeg"/><Relationship Id="rId7" Type="http://schemas.openxmlformats.org/officeDocument/2006/relationships/hyperlink" Target="#'6. E2 LIIKEVAIHTO '!A1"/><Relationship Id="rId12" Type="http://schemas.openxmlformats.org/officeDocument/2006/relationships/image" Target="../media/image32.png"/><Relationship Id="rId17" Type="http://schemas.openxmlformats.org/officeDocument/2006/relationships/image" Target="../media/image35.png"/><Relationship Id="rId2" Type="http://schemas.openxmlformats.org/officeDocument/2006/relationships/hyperlink" Target="#'9. T5 KASSABUDJETTI '!A1"/><Relationship Id="rId16" Type="http://schemas.openxmlformats.org/officeDocument/2006/relationships/hyperlink" Target="#'1. T1 INVESTOINTISUUN.'!A1"/><Relationship Id="rId20" Type="http://schemas.openxmlformats.org/officeDocument/2006/relationships/image" Target="../media/image9.svg"/><Relationship Id="rId1" Type="http://schemas.openxmlformats.org/officeDocument/2006/relationships/image" Target="../media/image26.jpeg"/><Relationship Id="rId6" Type="http://schemas.openxmlformats.org/officeDocument/2006/relationships/image" Target="../media/image29.png"/><Relationship Id="rId11" Type="http://schemas.openxmlformats.org/officeDocument/2006/relationships/hyperlink" Target="#'4. T7 LAINAT '!A1"/><Relationship Id="rId5" Type="http://schemas.openxmlformats.org/officeDocument/2006/relationships/image" Target="../media/image28.png"/><Relationship Id="rId15" Type="http://schemas.openxmlformats.org/officeDocument/2006/relationships/image" Target="../media/image34.png"/><Relationship Id="rId10" Type="http://schemas.openxmlformats.org/officeDocument/2006/relationships/image" Target="../media/image31.png"/><Relationship Id="rId19" Type="http://schemas.openxmlformats.org/officeDocument/2006/relationships/image" Target="../media/image8.png"/><Relationship Id="rId4" Type="http://schemas.openxmlformats.org/officeDocument/2006/relationships/hyperlink" Target="#'8. T4 RAHOITUSSUUN. '!A1"/><Relationship Id="rId9" Type="http://schemas.openxmlformats.org/officeDocument/2006/relationships/hyperlink" Target="#'5. E1 KUSTANNUKSET '!A1"/><Relationship Id="rId14" Type="http://schemas.openxmlformats.org/officeDocument/2006/relationships/image" Target="../media/image3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6. E2 LIIKEVAIHTO '!A1"/><Relationship Id="rId13" Type="http://schemas.openxmlformats.org/officeDocument/2006/relationships/hyperlink" Target="#'9. T5 KASSABUDJETTI '!A1"/><Relationship Id="rId18" Type="http://schemas.openxmlformats.org/officeDocument/2006/relationships/image" Target="../media/image45.png"/><Relationship Id="rId26" Type="http://schemas.openxmlformats.org/officeDocument/2006/relationships/image" Target="../media/image51.png"/><Relationship Id="rId3" Type="http://schemas.openxmlformats.org/officeDocument/2006/relationships/image" Target="../media/image38.png"/><Relationship Id="rId21" Type="http://schemas.openxmlformats.org/officeDocument/2006/relationships/image" Target="../media/image48.png"/><Relationship Id="rId7" Type="http://schemas.openxmlformats.org/officeDocument/2006/relationships/image" Target="../media/image40.png"/><Relationship Id="rId12" Type="http://schemas.openxmlformats.org/officeDocument/2006/relationships/image" Target="../media/image43.png"/><Relationship Id="rId17" Type="http://schemas.openxmlformats.org/officeDocument/2006/relationships/image" Target="../media/image9.svg"/><Relationship Id="rId25" Type="http://schemas.openxmlformats.org/officeDocument/2006/relationships/hyperlink" Target="#'9. T4 RAHOITUSSUUN. '!A1"/><Relationship Id="rId2" Type="http://schemas.openxmlformats.org/officeDocument/2006/relationships/hyperlink" Target="#'2. &amp; 7. T2 TULOSSUUN. '!A1"/><Relationship Id="rId16" Type="http://schemas.openxmlformats.org/officeDocument/2006/relationships/image" Target="../media/image8.png"/><Relationship Id="rId20" Type="http://schemas.openxmlformats.org/officeDocument/2006/relationships/image" Target="../media/image47.png"/><Relationship Id="rId29" Type="http://schemas.openxmlformats.org/officeDocument/2006/relationships/image" Target="../media/image53.png"/><Relationship Id="rId1" Type="http://schemas.openxmlformats.org/officeDocument/2006/relationships/image" Target="../media/image37.jpeg"/><Relationship Id="rId6" Type="http://schemas.openxmlformats.org/officeDocument/2006/relationships/hyperlink" Target="#'4. T7 LAINAT '!A1"/><Relationship Id="rId11" Type="http://schemas.openxmlformats.org/officeDocument/2006/relationships/image" Target="../media/image42.png"/><Relationship Id="rId24" Type="http://schemas.openxmlformats.org/officeDocument/2006/relationships/image" Target="../media/image50.png"/><Relationship Id="rId32" Type="http://schemas.openxmlformats.org/officeDocument/2006/relationships/image" Target="../media/image28.png"/><Relationship Id="rId5" Type="http://schemas.openxmlformats.org/officeDocument/2006/relationships/image" Target="../media/image39.png"/><Relationship Id="rId15" Type="http://schemas.openxmlformats.org/officeDocument/2006/relationships/hyperlink" Target="#Tulostussivu!A1"/><Relationship Id="rId23" Type="http://schemas.openxmlformats.org/officeDocument/2006/relationships/image" Target="../media/image49.png"/><Relationship Id="rId28" Type="http://schemas.openxmlformats.org/officeDocument/2006/relationships/image" Target="../media/image52.png"/><Relationship Id="rId10" Type="http://schemas.openxmlformats.org/officeDocument/2006/relationships/hyperlink" Target="#'1. T1 INVESTOINTISUUN.'!A1"/><Relationship Id="rId19" Type="http://schemas.openxmlformats.org/officeDocument/2006/relationships/image" Target="../media/image46.png"/><Relationship Id="rId31" Type="http://schemas.openxmlformats.org/officeDocument/2006/relationships/hyperlink" Target="#'8. T4 RAHOITUSSUUN. '!A1"/><Relationship Id="rId4" Type="http://schemas.openxmlformats.org/officeDocument/2006/relationships/hyperlink" Target="#'5. E1 KUSTANNUKSET '!A1"/><Relationship Id="rId9" Type="http://schemas.openxmlformats.org/officeDocument/2006/relationships/image" Target="../media/image41.png"/><Relationship Id="rId14" Type="http://schemas.openxmlformats.org/officeDocument/2006/relationships/image" Target="../media/image44.png"/><Relationship Id="rId22" Type="http://schemas.openxmlformats.org/officeDocument/2006/relationships/hyperlink" Target="#'1. T1 NVESTOINTISUUN.'!A1"/><Relationship Id="rId27" Type="http://schemas.openxmlformats.org/officeDocument/2006/relationships/hyperlink" Target="#'10. T5 KASSABUDJETTI '!A1"/><Relationship Id="rId30" Type="http://schemas.openxmlformats.org/officeDocument/2006/relationships/image" Target="../media/image5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png"/><Relationship Id="rId13" Type="http://schemas.openxmlformats.org/officeDocument/2006/relationships/hyperlink" Target="#'5. E1 KUSTANNUKSET '!A1"/><Relationship Id="rId18" Type="http://schemas.openxmlformats.org/officeDocument/2006/relationships/image" Target="../media/image63.png"/><Relationship Id="rId3" Type="http://schemas.openxmlformats.org/officeDocument/2006/relationships/image" Target="../media/image8.png"/><Relationship Id="rId7" Type="http://schemas.openxmlformats.org/officeDocument/2006/relationships/hyperlink" Target="#'3. &amp; 8. T3 TASE '!A1"/><Relationship Id="rId12" Type="http://schemas.openxmlformats.org/officeDocument/2006/relationships/image" Target="../media/image59.png"/><Relationship Id="rId17" Type="http://schemas.openxmlformats.org/officeDocument/2006/relationships/image" Target="../media/image62.png"/><Relationship Id="rId2" Type="http://schemas.openxmlformats.org/officeDocument/2006/relationships/hyperlink" Target="#Tulostussivu!A1"/><Relationship Id="rId16" Type="http://schemas.openxmlformats.org/officeDocument/2006/relationships/hyperlink" Target="#'3. T3 TASE '!A1"/><Relationship Id="rId20" Type="http://schemas.openxmlformats.org/officeDocument/2006/relationships/image" Target="../media/image64.png"/><Relationship Id="rId1" Type="http://schemas.openxmlformats.org/officeDocument/2006/relationships/image" Target="../media/image55.jpeg"/><Relationship Id="rId6" Type="http://schemas.openxmlformats.org/officeDocument/2006/relationships/image" Target="../media/image56.png"/><Relationship Id="rId11" Type="http://schemas.openxmlformats.org/officeDocument/2006/relationships/hyperlink" Target="#'6. E2 LIIKEVAIHTO '!A1"/><Relationship Id="rId5" Type="http://schemas.openxmlformats.org/officeDocument/2006/relationships/hyperlink" Target="#'9. T4 RAHOITUSSUUN. '!A1"/><Relationship Id="rId15" Type="http://schemas.openxmlformats.org/officeDocument/2006/relationships/image" Target="../media/image61.png"/><Relationship Id="rId10" Type="http://schemas.openxmlformats.org/officeDocument/2006/relationships/image" Target="../media/image58.png"/><Relationship Id="rId19" Type="http://schemas.openxmlformats.org/officeDocument/2006/relationships/hyperlink" Target="#'1. T1 INVESTOINTISUUN.'!A1"/><Relationship Id="rId4" Type="http://schemas.openxmlformats.org/officeDocument/2006/relationships/image" Target="../media/image9.svg"/><Relationship Id="rId9" Type="http://schemas.openxmlformats.org/officeDocument/2006/relationships/hyperlink" Target="#'2. &amp; 7. T2 TULOSSUUN. '!A1"/><Relationship Id="rId14" Type="http://schemas.openxmlformats.org/officeDocument/2006/relationships/image" Target="../media/image60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26" Type="http://schemas.openxmlformats.org/officeDocument/2006/relationships/image" Target="../media/image76.png"/><Relationship Id="rId3" Type="http://schemas.openxmlformats.org/officeDocument/2006/relationships/image" Target="../media/image9.svg"/><Relationship Id="rId21" Type="http://schemas.openxmlformats.org/officeDocument/2006/relationships/image" Target="../media/image52.png"/><Relationship Id="rId34" Type="http://schemas.openxmlformats.org/officeDocument/2006/relationships/image" Target="../media/image82.png"/><Relationship Id="rId7" Type="http://schemas.openxmlformats.org/officeDocument/2006/relationships/image" Target="../media/image66.png"/><Relationship Id="rId12" Type="http://schemas.openxmlformats.org/officeDocument/2006/relationships/image" Target="../media/image69.png"/><Relationship Id="rId17" Type="http://schemas.openxmlformats.org/officeDocument/2006/relationships/image" Target="../media/image72.png"/><Relationship Id="rId25" Type="http://schemas.openxmlformats.org/officeDocument/2006/relationships/image" Target="../media/image75.png"/><Relationship Id="rId33" Type="http://schemas.openxmlformats.org/officeDocument/2006/relationships/hyperlink" Target="#'1. T1 NVESTOINTISUUN.'!A1"/><Relationship Id="rId2" Type="http://schemas.openxmlformats.org/officeDocument/2006/relationships/image" Target="../media/image8.png"/><Relationship Id="rId16" Type="http://schemas.openxmlformats.org/officeDocument/2006/relationships/image" Target="../media/image71.png"/><Relationship Id="rId20" Type="http://schemas.openxmlformats.org/officeDocument/2006/relationships/hyperlink" Target="#'10. T5 KASSABUDJETTI '!A1"/><Relationship Id="rId29" Type="http://schemas.openxmlformats.org/officeDocument/2006/relationships/hyperlink" Target="#'4. T4 LAINAT '!A1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image" Target="../media/image68.png"/><Relationship Id="rId24" Type="http://schemas.openxmlformats.org/officeDocument/2006/relationships/hyperlink" Target="#'3. &amp; 8. T3 TASE '!A1"/><Relationship Id="rId32" Type="http://schemas.openxmlformats.org/officeDocument/2006/relationships/image" Target="../media/image81.png"/><Relationship Id="rId5" Type="http://schemas.openxmlformats.org/officeDocument/2006/relationships/image" Target="../media/image65.png"/><Relationship Id="rId15" Type="http://schemas.openxmlformats.org/officeDocument/2006/relationships/hyperlink" Target="#'3. T3 TASE '!A1"/><Relationship Id="rId23" Type="http://schemas.openxmlformats.org/officeDocument/2006/relationships/image" Target="../media/image74.png"/><Relationship Id="rId28" Type="http://schemas.openxmlformats.org/officeDocument/2006/relationships/image" Target="../media/image78.png"/><Relationship Id="rId10" Type="http://schemas.openxmlformats.org/officeDocument/2006/relationships/hyperlink" Target="#'6. E2 LIIKEVAIHTO '!A1"/><Relationship Id="rId19" Type="http://schemas.openxmlformats.org/officeDocument/2006/relationships/image" Target="../media/image73.png"/><Relationship Id="rId31" Type="http://schemas.openxmlformats.org/officeDocument/2006/relationships/image" Target="../media/image80.png"/><Relationship Id="rId4" Type="http://schemas.openxmlformats.org/officeDocument/2006/relationships/hyperlink" Target="#'9. T5 KASSABUDJETTI '!A1"/><Relationship Id="rId9" Type="http://schemas.openxmlformats.org/officeDocument/2006/relationships/image" Target="../media/image67.png"/><Relationship Id="rId14" Type="http://schemas.openxmlformats.org/officeDocument/2006/relationships/image" Target="../media/image70.png"/><Relationship Id="rId22" Type="http://schemas.openxmlformats.org/officeDocument/2006/relationships/hyperlink" Target="#'9. T4 RAHOITUSSUUN. '!A1"/><Relationship Id="rId27" Type="http://schemas.openxmlformats.org/officeDocument/2006/relationships/image" Target="../media/image77.png"/><Relationship Id="rId30" Type="http://schemas.openxmlformats.org/officeDocument/2006/relationships/image" Target="../media/image79.png"/><Relationship Id="rId35" Type="http://schemas.openxmlformats.org/officeDocument/2006/relationships/image" Target="../media/image83.jpeg"/><Relationship Id="rId8" Type="http://schemas.openxmlformats.org/officeDocument/2006/relationships/hyperlink" Target="#'2. &amp; 7. T2 TULOSSUUN. 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2. &amp; 7. T2 TULOSSUUN. '!A1"/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3" Type="http://schemas.openxmlformats.org/officeDocument/2006/relationships/image" Target="../media/image9.svg"/><Relationship Id="rId7" Type="http://schemas.openxmlformats.org/officeDocument/2006/relationships/image" Target="../media/image84.png"/><Relationship Id="rId12" Type="http://schemas.openxmlformats.org/officeDocument/2006/relationships/image" Target="../media/image86.png"/><Relationship Id="rId17" Type="http://schemas.openxmlformats.org/officeDocument/2006/relationships/image" Target="../media/image89.png"/><Relationship Id="rId2" Type="http://schemas.openxmlformats.org/officeDocument/2006/relationships/image" Target="../media/image8.png"/><Relationship Id="rId16" Type="http://schemas.openxmlformats.org/officeDocument/2006/relationships/image" Target="../media/image88.png"/><Relationship Id="rId20" Type="http://schemas.openxmlformats.org/officeDocument/2006/relationships/image" Target="../media/image91.jpeg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hyperlink" Target="#'5. E1 KUSTANNUKSET '!A1"/><Relationship Id="rId5" Type="http://schemas.openxmlformats.org/officeDocument/2006/relationships/image" Target="../media/image44.png"/><Relationship Id="rId15" Type="http://schemas.openxmlformats.org/officeDocument/2006/relationships/hyperlink" Target="#'3. T3 TASE '!A1"/><Relationship Id="rId10" Type="http://schemas.openxmlformats.org/officeDocument/2006/relationships/image" Target="../media/image85.png"/><Relationship Id="rId19" Type="http://schemas.openxmlformats.org/officeDocument/2006/relationships/image" Target="../media/image90.png"/><Relationship Id="rId4" Type="http://schemas.openxmlformats.org/officeDocument/2006/relationships/hyperlink" Target="#'9. T5 KASSABUDJETTI '!A1"/><Relationship Id="rId9" Type="http://schemas.openxmlformats.org/officeDocument/2006/relationships/image" Target="../media/image67.png"/><Relationship Id="rId14" Type="http://schemas.openxmlformats.org/officeDocument/2006/relationships/image" Target="../media/image87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5. E1 KUSTANNUKSET '!A1"/><Relationship Id="rId13" Type="http://schemas.openxmlformats.org/officeDocument/2006/relationships/image" Target="../media/image95.png"/><Relationship Id="rId18" Type="http://schemas.openxmlformats.org/officeDocument/2006/relationships/image" Target="../media/image98.jpeg"/><Relationship Id="rId3" Type="http://schemas.openxmlformats.org/officeDocument/2006/relationships/hyperlink" Target="#Tulostussivu!A1"/><Relationship Id="rId21" Type="http://schemas.openxmlformats.org/officeDocument/2006/relationships/image" Target="../media/image100.png"/><Relationship Id="rId7" Type="http://schemas.openxmlformats.org/officeDocument/2006/relationships/image" Target="../media/image93.png"/><Relationship Id="rId12" Type="http://schemas.openxmlformats.org/officeDocument/2006/relationships/hyperlink" Target="#'3. T3 TASE '!A1"/><Relationship Id="rId17" Type="http://schemas.openxmlformats.org/officeDocument/2006/relationships/image" Target="../media/image97.jpeg"/><Relationship Id="rId2" Type="http://schemas.openxmlformats.org/officeDocument/2006/relationships/image" Target="../media/image92.png"/><Relationship Id="rId16" Type="http://schemas.openxmlformats.org/officeDocument/2006/relationships/image" Target="../media/image96.png"/><Relationship Id="rId20" Type="http://schemas.openxmlformats.org/officeDocument/2006/relationships/hyperlink" Target="#'9. T5 KASSABUDJETTI '!A1"/><Relationship Id="rId1" Type="http://schemas.openxmlformats.org/officeDocument/2006/relationships/hyperlink" Target="#'1. T1 INVESTOINTISUUN.'!A1"/><Relationship Id="rId6" Type="http://schemas.openxmlformats.org/officeDocument/2006/relationships/hyperlink" Target="#'2. &amp; 7. T2 TULOSSUUN. '!A1"/><Relationship Id="rId11" Type="http://schemas.openxmlformats.org/officeDocument/2006/relationships/image" Target="../media/image70.png"/><Relationship Id="rId5" Type="http://schemas.openxmlformats.org/officeDocument/2006/relationships/image" Target="../media/image9.svg"/><Relationship Id="rId15" Type="http://schemas.openxmlformats.org/officeDocument/2006/relationships/hyperlink" Target="#'6. E2 LIIKEVAIHTO '!A1"/><Relationship Id="rId10" Type="http://schemas.openxmlformats.org/officeDocument/2006/relationships/hyperlink" Target="#'4. T7 LAINAT '!A1"/><Relationship Id="rId19" Type="http://schemas.openxmlformats.org/officeDocument/2006/relationships/image" Target="../media/image99.png"/><Relationship Id="rId4" Type="http://schemas.openxmlformats.org/officeDocument/2006/relationships/image" Target="../media/image8.png"/><Relationship Id="rId9" Type="http://schemas.openxmlformats.org/officeDocument/2006/relationships/image" Target="../media/image94.png"/><Relationship Id="rId14" Type="http://schemas.openxmlformats.org/officeDocument/2006/relationships/image" Target="../media/image7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248331</xdr:colOff>
      <xdr:row>4</xdr:row>
      <xdr:rowOff>93346</xdr:rowOff>
    </xdr:from>
    <xdr:to>
      <xdr:col>6</xdr:col>
      <xdr:colOff>170406</xdr:colOff>
      <xdr:row>22</xdr:row>
      <xdr:rowOff>94617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6DDC5BFA-B360-4276-AAFA-80DBB2902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331" y="755334"/>
          <a:ext cx="6819220" cy="4932997"/>
        </a:xfrm>
        <a:prstGeom prst="rect">
          <a:avLst/>
        </a:prstGeom>
      </xdr:spPr>
    </xdr:pic>
    <xdr:clientData/>
  </xdr:twoCellAnchor>
  <xdr:twoCellAnchor>
    <xdr:from>
      <xdr:col>1</xdr:col>
      <xdr:colOff>219074</xdr:colOff>
      <xdr:row>4</xdr:row>
      <xdr:rowOff>169554</xdr:rowOff>
    </xdr:from>
    <xdr:to>
      <xdr:col>3</xdr:col>
      <xdr:colOff>2349203</xdr:colOff>
      <xdr:row>6</xdr:row>
      <xdr:rowOff>309268</xdr:rowOff>
    </xdr:to>
    <xdr:sp macro="" textlink="">
      <xdr:nvSpPr>
        <xdr:cNvPr id="4" name="Suorakulmio: Vastakkaiset kulmat leikatt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057A6C2-D4E0-4ABB-A78D-680A7CC0721B}"/>
            </a:ext>
          </a:extLst>
        </xdr:cNvPr>
        <xdr:cNvSpPr/>
      </xdr:nvSpPr>
      <xdr:spPr>
        <a:xfrm>
          <a:off x="485774" y="822697"/>
          <a:ext cx="2952000" cy="684000"/>
        </a:xfrm>
        <a:prstGeom prst="snip2DiagRect">
          <a:avLst/>
        </a:prstGeom>
        <a:solidFill>
          <a:schemeClr val="accent1">
            <a:lumMod val="40000"/>
            <a:lumOff val="6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T1 INVESTOINTISUUNNITELMA</a:t>
          </a:r>
        </a:p>
        <a:p>
          <a:pPr marL="360000" algn="l">
            <a:lnSpc>
              <a:spcPts val="12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Hankkeen perustiedot, rahan käytön ja rahoituksen selvittäminen. </a:t>
          </a:r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280889</xdr:colOff>
      <xdr:row>4</xdr:row>
      <xdr:rowOff>298415</xdr:rowOff>
    </xdr:from>
    <xdr:to>
      <xdr:col>2</xdr:col>
      <xdr:colOff>40075</xdr:colOff>
      <xdr:row>6</xdr:row>
      <xdr:rowOff>169497</xdr:rowOff>
    </xdr:to>
    <xdr:pic>
      <xdr:nvPicPr>
        <xdr:cNvPr id="9" name="Kuva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442D111-B239-40F0-B46F-4CC37D8C47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589" y="951558"/>
          <a:ext cx="401443" cy="404482"/>
        </a:xfrm>
        <a:prstGeom prst="rect">
          <a:avLst/>
        </a:prstGeom>
      </xdr:spPr>
    </xdr:pic>
    <xdr:clientData/>
  </xdr:twoCellAnchor>
  <xdr:twoCellAnchor>
    <xdr:from>
      <xdr:col>5</xdr:col>
      <xdr:colOff>19052</xdr:colOff>
      <xdr:row>4</xdr:row>
      <xdr:rowOff>161390</xdr:rowOff>
    </xdr:from>
    <xdr:to>
      <xdr:col>6</xdr:col>
      <xdr:colOff>10137</xdr:colOff>
      <xdr:row>6</xdr:row>
      <xdr:rowOff>301104</xdr:rowOff>
    </xdr:to>
    <xdr:sp macro="" textlink="">
      <xdr:nvSpPr>
        <xdr:cNvPr id="65" name="Suorakulmio: Vastakkaiset kulmat leikattu 6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2147FDC-C54C-44CB-8E25-EFCB6A58AB56}"/>
            </a:ext>
          </a:extLst>
        </xdr:cNvPr>
        <xdr:cNvSpPr/>
      </xdr:nvSpPr>
      <xdr:spPr>
        <a:xfrm>
          <a:off x="3894366" y="814533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5</xdr:col>
      <xdr:colOff>84033</xdr:colOff>
      <xdr:row>4</xdr:row>
      <xdr:rowOff>290834</xdr:rowOff>
    </xdr:from>
    <xdr:to>
      <xdr:col>5</xdr:col>
      <xdr:colOff>476223</xdr:colOff>
      <xdr:row>6</xdr:row>
      <xdr:rowOff>136063</xdr:rowOff>
    </xdr:to>
    <xdr:pic>
      <xdr:nvPicPr>
        <xdr:cNvPr id="11" name="Kuva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49E994A-A3E7-439A-8F48-59BBC2E7EC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9347" y="943977"/>
          <a:ext cx="396000" cy="394958"/>
        </a:xfrm>
        <a:prstGeom prst="rect">
          <a:avLst/>
        </a:prstGeom>
      </xdr:spPr>
    </xdr:pic>
    <xdr:clientData/>
  </xdr:twoCellAnchor>
  <xdr:twoCellAnchor>
    <xdr:from>
      <xdr:col>1</xdr:col>
      <xdr:colOff>223156</xdr:colOff>
      <xdr:row>8</xdr:row>
      <xdr:rowOff>101402</xdr:rowOff>
    </xdr:from>
    <xdr:to>
      <xdr:col>3</xdr:col>
      <xdr:colOff>2353285</xdr:colOff>
      <xdr:row>10</xdr:row>
      <xdr:rowOff>241116</xdr:rowOff>
    </xdr:to>
    <xdr:sp macro="" textlink="">
      <xdr:nvSpPr>
        <xdr:cNvPr id="67" name="Suorakulmio: Vastakkaiset kulmat leikattu 6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6D0B228-57C2-4B99-80BC-23DCD29C2A40}"/>
            </a:ext>
          </a:extLst>
        </xdr:cNvPr>
        <xdr:cNvSpPr/>
      </xdr:nvSpPr>
      <xdr:spPr>
        <a:xfrm>
          <a:off x="489856" y="1843116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T3 TASE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taseesta keltaisiin soluihin.</a:t>
          </a:r>
        </a:p>
      </xdr:txBody>
    </xdr:sp>
    <xdr:clientData/>
  </xdr:twoCellAnchor>
  <xdr:twoCellAnchor>
    <xdr:from>
      <xdr:col>5</xdr:col>
      <xdr:colOff>26196</xdr:colOff>
      <xdr:row>12</xdr:row>
      <xdr:rowOff>17109</xdr:rowOff>
    </xdr:from>
    <xdr:to>
      <xdr:col>6</xdr:col>
      <xdr:colOff>17281</xdr:colOff>
      <xdr:row>14</xdr:row>
      <xdr:rowOff>156824</xdr:rowOff>
    </xdr:to>
    <xdr:sp macro="" textlink="">
      <xdr:nvSpPr>
        <xdr:cNvPr id="68" name="Suorakulmio: Vastakkaiset kulmat leikattu 6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CA897AA-A8DE-488A-9926-6517EEA5E196}"/>
            </a:ext>
          </a:extLst>
        </xdr:cNvPr>
        <xdr:cNvSpPr/>
      </xdr:nvSpPr>
      <xdr:spPr>
        <a:xfrm>
          <a:off x="3901510" y="2847395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Ins="36000" bIns="36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E2 LIIKEVAIHTO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Kirjataan toteutuneen tilikauden myyntitiedot</a:t>
          </a:r>
          <a:b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tuloslaskelmasta keltaisiin soluihin.</a:t>
          </a:r>
        </a:p>
      </xdr:txBody>
    </xdr:sp>
    <xdr:clientData/>
  </xdr:twoCellAnchor>
  <xdr:twoCellAnchor editAs="oneCell">
    <xdr:from>
      <xdr:col>1</xdr:col>
      <xdr:colOff>286244</xdr:colOff>
      <xdr:row>8</xdr:row>
      <xdr:rowOff>262552</xdr:rowOff>
    </xdr:from>
    <xdr:to>
      <xdr:col>2</xdr:col>
      <xdr:colOff>55136</xdr:colOff>
      <xdr:row>10</xdr:row>
      <xdr:rowOff>112777</xdr:rowOff>
    </xdr:to>
    <xdr:pic>
      <xdr:nvPicPr>
        <xdr:cNvPr id="13" name="Kuva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2023352-C06B-46CD-8999-B0C2C588BD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944" y="2004266"/>
          <a:ext cx="400263" cy="394511"/>
        </a:xfrm>
        <a:prstGeom prst="rect">
          <a:avLst/>
        </a:prstGeom>
      </xdr:spPr>
    </xdr:pic>
    <xdr:clientData/>
  </xdr:twoCellAnchor>
  <xdr:twoCellAnchor>
    <xdr:from>
      <xdr:col>1</xdr:col>
      <xdr:colOff>239485</xdr:colOff>
      <xdr:row>15</xdr:row>
      <xdr:rowOff>65320</xdr:rowOff>
    </xdr:from>
    <xdr:to>
      <xdr:col>3</xdr:col>
      <xdr:colOff>2369614</xdr:colOff>
      <xdr:row>18</xdr:row>
      <xdr:rowOff>79848</xdr:rowOff>
    </xdr:to>
    <xdr:sp macro="" textlink="">
      <xdr:nvSpPr>
        <xdr:cNvPr id="72" name="Suorakulmio: Vastakkaiset kulmat leikattu 7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EA1A239-7B30-4481-A227-163DB174AD3F}"/>
            </a:ext>
          </a:extLst>
        </xdr:cNvPr>
        <xdr:cNvSpPr/>
      </xdr:nvSpPr>
      <xdr:spPr>
        <a:xfrm>
          <a:off x="506185" y="3858991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144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ennustetilikausien keltaiset solut.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46264</xdr:colOff>
      <xdr:row>15</xdr:row>
      <xdr:rowOff>48668</xdr:rowOff>
    </xdr:from>
    <xdr:to>
      <xdr:col>6</xdr:col>
      <xdr:colOff>37349</xdr:colOff>
      <xdr:row>18</xdr:row>
      <xdr:rowOff>63196</xdr:rowOff>
    </xdr:to>
    <xdr:sp macro="" textlink="">
      <xdr:nvSpPr>
        <xdr:cNvPr id="74" name="Suorakulmio: Vastakkaiset kulmat leikattu 7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A1668049-B4AD-4C0C-A1FA-F20B726EAE69}"/>
            </a:ext>
          </a:extLst>
        </xdr:cNvPr>
        <xdr:cNvSpPr/>
      </xdr:nvSpPr>
      <xdr:spPr>
        <a:xfrm>
          <a:off x="3921578" y="3842339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T4 RAHOITUSSUUNNITELMA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toteutuneen tilikauden tiedot taseesta ja ennustetaan tulevat tilikaudet.</a:t>
          </a:r>
        </a:p>
      </xdr:txBody>
    </xdr:sp>
    <xdr:clientData/>
  </xdr:twoCellAnchor>
  <xdr:twoCellAnchor editAs="oneCell">
    <xdr:from>
      <xdr:col>1</xdr:col>
      <xdr:colOff>316362</xdr:colOff>
      <xdr:row>16</xdr:row>
      <xdr:rowOff>98873</xdr:rowOff>
    </xdr:from>
    <xdr:to>
      <xdr:col>2</xdr:col>
      <xdr:colOff>57586</xdr:colOff>
      <xdr:row>17</xdr:row>
      <xdr:rowOff>76634</xdr:rowOff>
    </xdr:to>
    <xdr:pic>
      <xdr:nvPicPr>
        <xdr:cNvPr id="21" name="Kuva 2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40B63FE-1919-4E8C-8624-935F8DD96A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062" y="4017730"/>
          <a:ext cx="388651" cy="396861"/>
        </a:xfrm>
        <a:prstGeom prst="rect">
          <a:avLst/>
        </a:prstGeom>
      </xdr:spPr>
    </xdr:pic>
    <xdr:clientData/>
  </xdr:twoCellAnchor>
  <xdr:twoCellAnchor editAs="oneCell">
    <xdr:from>
      <xdr:col>5</xdr:col>
      <xdr:colOff>97637</xdr:colOff>
      <xdr:row>16</xdr:row>
      <xdr:rowOff>57666</xdr:rowOff>
    </xdr:from>
    <xdr:to>
      <xdr:col>5</xdr:col>
      <xdr:colOff>493637</xdr:colOff>
      <xdr:row>17</xdr:row>
      <xdr:rowOff>19734</xdr:rowOff>
    </xdr:to>
    <xdr:pic>
      <xdr:nvPicPr>
        <xdr:cNvPr id="23" name="Kuva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A0158C5-EE60-4C5D-9565-6B6B9DD19B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2951" y="3976523"/>
          <a:ext cx="396000" cy="390148"/>
        </a:xfrm>
        <a:prstGeom prst="rect">
          <a:avLst/>
        </a:prstGeom>
      </xdr:spPr>
    </xdr:pic>
    <xdr:clientData/>
  </xdr:twoCellAnchor>
  <xdr:twoCellAnchor>
    <xdr:from>
      <xdr:col>1</xdr:col>
      <xdr:colOff>260578</xdr:colOff>
      <xdr:row>18</xdr:row>
      <xdr:rowOff>390522</xdr:rowOff>
    </xdr:from>
    <xdr:to>
      <xdr:col>3</xdr:col>
      <xdr:colOff>2390707</xdr:colOff>
      <xdr:row>22</xdr:row>
      <xdr:rowOff>21951</xdr:rowOff>
    </xdr:to>
    <xdr:sp macro="" textlink="">
      <xdr:nvSpPr>
        <xdr:cNvPr id="77" name="Suorakulmio: Vastakkaiset kulmat leikattu 7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6ED7FE6-4CC7-4E13-B487-99714302A739}"/>
            </a:ext>
          </a:extLst>
        </xdr:cNvPr>
        <xdr:cNvSpPr/>
      </xdr:nvSpPr>
      <xdr:spPr>
        <a:xfrm>
          <a:off x="527278" y="4853665"/>
          <a:ext cx="2952000" cy="720000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T5 KASSABUDJETTI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Tehdään tulojen ja menojen ennuste 1. tai 2. ennustekaudelle. </a:t>
          </a:r>
        </a:p>
      </xdr:txBody>
    </xdr:sp>
    <xdr:clientData/>
  </xdr:twoCellAnchor>
  <xdr:twoCellAnchor>
    <xdr:from>
      <xdr:col>5</xdr:col>
      <xdr:colOff>45495</xdr:colOff>
      <xdr:row>18</xdr:row>
      <xdr:rowOff>408466</xdr:rowOff>
    </xdr:from>
    <xdr:to>
      <xdr:col>6</xdr:col>
      <xdr:colOff>36580</xdr:colOff>
      <xdr:row>22</xdr:row>
      <xdr:rowOff>3895</xdr:rowOff>
    </xdr:to>
    <xdr:sp macro="" textlink="">
      <xdr:nvSpPr>
        <xdr:cNvPr id="78" name="Suorakulmio: Vastakkaiset kulmat leikattu 77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18CDAF1-09A6-4C87-A128-D465C5AB00C8}"/>
            </a:ext>
          </a:extLst>
        </xdr:cNvPr>
        <xdr:cNvSpPr/>
      </xdr:nvSpPr>
      <xdr:spPr>
        <a:xfrm>
          <a:off x="3920809" y="4871609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TULOSTUSSIVU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Kooste laskennasta, tulosta  tai tallenna pdf-muotoon. </a:t>
          </a:r>
        </a:p>
      </xdr:txBody>
    </xdr:sp>
    <xdr:clientData/>
  </xdr:twoCellAnchor>
  <xdr:twoCellAnchor editAs="oneCell">
    <xdr:from>
      <xdr:col>1</xdr:col>
      <xdr:colOff>329140</xdr:colOff>
      <xdr:row>19</xdr:row>
      <xdr:rowOff>102586</xdr:rowOff>
    </xdr:from>
    <xdr:to>
      <xdr:col>2</xdr:col>
      <xdr:colOff>96490</xdr:colOff>
      <xdr:row>20</xdr:row>
      <xdr:rowOff>362787</xdr:rowOff>
    </xdr:to>
    <xdr:pic>
      <xdr:nvPicPr>
        <xdr:cNvPr id="25" name="Kuva 2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1B7AC58E-109B-4CFD-865E-219E2AADC1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840" y="4984829"/>
          <a:ext cx="413417" cy="396000"/>
        </a:xfrm>
        <a:prstGeom prst="rect">
          <a:avLst/>
        </a:prstGeom>
      </xdr:spPr>
    </xdr:pic>
    <xdr:clientData/>
  </xdr:twoCellAnchor>
  <xdr:twoCellAnchor editAs="oneCell">
    <xdr:from>
      <xdr:col>5</xdr:col>
      <xdr:colOff>164401</xdr:colOff>
      <xdr:row>20</xdr:row>
      <xdr:rowOff>45299</xdr:rowOff>
    </xdr:from>
    <xdr:to>
      <xdr:col>5</xdr:col>
      <xdr:colOff>515102</xdr:colOff>
      <xdr:row>20</xdr:row>
      <xdr:rowOff>398382</xdr:rowOff>
    </xdr:to>
    <xdr:pic>
      <xdr:nvPicPr>
        <xdr:cNvPr id="89" name="Kuva 88" descr="Tulostin">
          <a:extLst>
            <a:ext uri="{FF2B5EF4-FFF2-40B4-BE49-F238E27FC236}">
              <a16:creationId xmlns:a16="http://schemas.microsoft.com/office/drawing/2014/main" id="{9E9A1FAC-BEA9-47E4-99B7-D544C8DAA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6"/>
            </a:ext>
          </a:extLst>
        </a:blip>
        <a:stretch>
          <a:fillRect/>
        </a:stretch>
      </xdr:blipFill>
      <xdr:spPr>
        <a:xfrm>
          <a:off x="4039715" y="5052728"/>
          <a:ext cx="341721" cy="342197"/>
        </a:xfrm>
        <a:prstGeom prst="rect">
          <a:avLst/>
        </a:prstGeom>
      </xdr:spPr>
    </xdr:pic>
    <xdr:clientData/>
  </xdr:twoCellAnchor>
  <xdr:twoCellAnchor>
    <xdr:from>
      <xdr:col>0</xdr:col>
      <xdr:colOff>182880</xdr:colOff>
      <xdr:row>3</xdr:row>
      <xdr:rowOff>106680</xdr:rowOff>
    </xdr:from>
    <xdr:to>
      <xdr:col>7</xdr:col>
      <xdr:colOff>99060</xdr:colOff>
      <xdr:row>14</xdr:row>
      <xdr:rowOff>30480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D8DEB3ED-3659-46FD-9749-1ACF7B3E1A02}"/>
            </a:ext>
          </a:extLst>
        </xdr:cNvPr>
        <xdr:cNvSpPr/>
      </xdr:nvSpPr>
      <xdr:spPr>
        <a:xfrm>
          <a:off x="182880" y="601980"/>
          <a:ext cx="6728460" cy="2834640"/>
        </a:xfrm>
        <a:prstGeom prst="rect">
          <a:avLst/>
        </a:prstGeom>
        <a:noFill/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226050</xdr:colOff>
      <xdr:row>12</xdr:row>
      <xdr:rowOff>9184</xdr:rowOff>
    </xdr:from>
    <xdr:to>
      <xdr:col>3</xdr:col>
      <xdr:colOff>2356179</xdr:colOff>
      <xdr:row>14</xdr:row>
      <xdr:rowOff>148899</xdr:rowOff>
    </xdr:to>
    <xdr:sp macro="" textlink="">
      <xdr:nvSpPr>
        <xdr:cNvPr id="30" name="Suorakulmio: Vastakkaiset kulmat leikattu 2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7AD019F9-7D95-4E53-9CB3-51A4E7CE1E22}"/>
            </a:ext>
          </a:extLst>
        </xdr:cNvPr>
        <xdr:cNvSpPr/>
      </xdr:nvSpPr>
      <xdr:spPr>
        <a:xfrm>
          <a:off x="492750" y="2839470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E1 TOIMINTAKUSTANNUKSET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marL="180000" algn="l">
            <a:lnSpc>
              <a:spcPts val="1100"/>
            </a:lnSpc>
          </a:pP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19901</xdr:colOff>
      <xdr:row>8</xdr:row>
      <xdr:rowOff>83344</xdr:rowOff>
    </xdr:from>
    <xdr:to>
      <xdr:col>6</xdr:col>
      <xdr:colOff>10986</xdr:colOff>
      <xdr:row>10</xdr:row>
      <xdr:rowOff>223058</xdr:rowOff>
    </xdr:to>
    <xdr:sp macro="" textlink="">
      <xdr:nvSpPr>
        <xdr:cNvPr id="33" name="Suorakulmio: Vastakkaiset kulmat leikattu 3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A68A0E9A-C631-4575-8885-F3A4BB1A5B27}"/>
            </a:ext>
          </a:extLst>
        </xdr:cNvPr>
        <xdr:cNvSpPr/>
      </xdr:nvSpPr>
      <xdr:spPr>
        <a:xfrm>
          <a:off x="3895215" y="1825058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144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T7 LAINAT</a:t>
          </a:r>
        </a:p>
        <a:p>
          <a:pPr marL="360000" algn="l">
            <a:lnSpc>
              <a:spcPts val="12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nykyiset lainat ja suunniteltu rahoitus.</a:t>
          </a:r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5</xdr:col>
      <xdr:colOff>92698</xdr:colOff>
      <xdr:row>8</xdr:row>
      <xdr:rowOff>247801</xdr:rowOff>
    </xdr:from>
    <xdr:to>
      <xdr:col>5</xdr:col>
      <xdr:colOff>492961</xdr:colOff>
      <xdr:row>10</xdr:row>
      <xdr:rowOff>93075</xdr:rowOff>
    </xdr:to>
    <xdr:pic>
      <xdr:nvPicPr>
        <xdr:cNvPr id="75" name="Kuva 7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6FB4B2AE-D46A-42F1-B527-69EE52FC83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8012" y="1989515"/>
          <a:ext cx="400263" cy="384117"/>
        </a:xfrm>
        <a:prstGeom prst="rect">
          <a:avLst/>
        </a:prstGeom>
      </xdr:spPr>
    </xdr:pic>
    <xdr:clientData/>
  </xdr:twoCellAnchor>
  <xdr:twoCellAnchor editAs="oneCell">
    <xdr:from>
      <xdr:col>5</xdr:col>
      <xdr:colOff>98686</xdr:colOff>
      <xdr:row>12</xdr:row>
      <xdr:rowOff>207628</xdr:rowOff>
    </xdr:from>
    <xdr:to>
      <xdr:col>5</xdr:col>
      <xdr:colOff>494686</xdr:colOff>
      <xdr:row>14</xdr:row>
      <xdr:rowOff>54943</xdr:rowOff>
    </xdr:to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6FF0714-4765-4561-BE4A-2FE02D8128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4000" y="3037914"/>
          <a:ext cx="396000" cy="386157"/>
        </a:xfrm>
        <a:prstGeom prst="rect">
          <a:avLst/>
        </a:prstGeom>
      </xdr:spPr>
    </xdr:pic>
    <xdr:clientData/>
  </xdr:twoCellAnchor>
  <xdr:twoCellAnchor editAs="oneCell">
    <xdr:from>
      <xdr:col>1</xdr:col>
      <xdr:colOff>293368</xdr:colOff>
      <xdr:row>12</xdr:row>
      <xdr:rowOff>186103</xdr:rowOff>
    </xdr:from>
    <xdr:to>
      <xdr:col>2</xdr:col>
      <xdr:colOff>39762</xdr:colOff>
      <xdr:row>14</xdr:row>
      <xdr:rowOff>18995</xdr:rowOff>
    </xdr:to>
    <xdr:pic>
      <xdr:nvPicPr>
        <xdr:cNvPr id="15" name="Kuva 14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281C92CD-1D51-40DF-81E3-3D00731093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68" y="3016389"/>
          <a:ext cx="388651" cy="386157"/>
        </a:xfrm>
        <a:prstGeom prst="rect">
          <a:avLst/>
        </a:prstGeom>
      </xdr:spPr>
    </xdr:pic>
    <xdr:clientData/>
  </xdr:twoCellAnchor>
  <xdr:oneCellAnchor>
    <xdr:from>
      <xdr:col>7</xdr:col>
      <xdr:colOff>10887</xdr:colOff>
      <xdr:row>10</xdr:row>
      <xdr:rowOff>130628</xdr:rowOff>
    </xdr:from>
    <xdr:ext cx="2906484" cy="3143157"/>
    <xdr:sp macro="" textlink="">
      <xdr:nvSpPr>
        <xdr:cNvPr id="5" name="Suorakulmio: Yksi kulma pyöristetty 4">
          <a:extLst>
            <a:ext uri="{FF2B5EF4-FFF2-40B4-BE49-F238E27FC236}">
              <a16:creationId xmlns:a16="http://schemas.microsoft.com/office/drawing/2014/main" id="{B68229C3-3ABF-4351-AC7D-BD9CEF72A35A}"/>
            </a:ext>
          </a:extLst>
        </xdr:cNvPr>
        <xdr:cNvSpPr/>
      </xdr:nvSpPr>
      <xdr:spPr>
        <a:xfrm>
          <a:off x="7146473" y="2416628"/>
          <a:ext cx="2906484" cy="3143157"/>
        </a:xfrm>
        <a:prstGeom prst="round1Rect">
          <a:avLst/>
        </a:prstGeom>
        <a:solidFill>
          <a:srgbClr val="FFC000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Tämä laskentaohjelma soveltuu mm. </a:t>
          </a: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investoinnin kannattavuuden ja rahoituksen 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laskentaan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taloudellisen tilan analysoitiin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yrityksen arvon, kunnon ja  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tuloksentekokyvyn arviointiin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kriisitilanteessa arvioidaan yrityksen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taloutta ja tulevaisuutta</a:t>
          </a:r>
          <a:br>
            <a:rPr kumimoji="0" lang="fi-FI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Täytä laskentaa numerojärjestyksessä. </a:t>
          </a: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Jos investointeja ei tehdä, aloita kohdasta 2.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Ohjeita täyttämiseen www.yritystulkki.fi</a:t>
          </a:r>
        </a:p>
        <a:p>
          <a:pPr algn="ctr"/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</xdr:col>
      <xdr:colOff>161923</xdr:colOff>
      <xdr:row>0</xdr:row>
      <xdr:rowOff>38101</xdr:rowOff>
    </xdr:from>
    <xdr:to>
      <xdr:col>12</xdr:col>
      <xdr:colOff>19186</xdr:colOff>
      <xdr:row>3</xdr:row>
      <xdr:rowOff>76199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7005D07E-86A6-49AE-8286-59E71A086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6" y="38101"/>
          <a:ext cx="9848852" cy="538161"/>
        </a:xfrm>
        <a:prstGeom prst="rect">
          <a:avLst/>
        </a:prstGeom>
      </xdr:spPr>
    </xdr:pic>
    <xdr:clientData/>
  </xdr:twoCellAnchor>
  <xdr:twoCellAnchor>
    <xdr:from>
      <xdr:col>1</xdr:col>
      <xdr:colOff>209550</xdr:colOff>
      <xdr:row>0</xdr:row>
      <xdr:rowOff>161104</xdr:rowOff>
    </xdr:from>
    <xdr:to>
      <xdr:col>6</xdr:col>
      <xdr:colOff>61912</xdr:colOff>
      <xdr:row>2</xdr:row>
      <xdr:rowOff>169800</xdr:rowOff>
    </xdr:to>
    <xdr:sp macro="" textlink="">
      <xdr:nvSpPr>
        <xdr:cNvPr id="53" name="Tekstikehys 35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481013" y="161104"/>
          <a:ext cx="6491287" cy="332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fi-FI" sz="1500" b="1" i="1">
              <a:solidFill>
                <a:schemeClr val="bg1"/>
              </a:solidFill>
            </a:rPr>
            <a:t>YT22 TOIMIVAN</a:t>
          </a:r>
          <a:r>
            <a:rPr lang="fi-FI" sz="1500" b="1" i="1" baseline="0">
              <a:solidFill>
                <a:schemeClr val="bg1"/>
              </a:solidFill>
            </a:rPr>
            <a:t> YRITYKSEN </a:t>
          </a:r>
          <a:r>
            <a:rPr lang="fi-FI" sz="1500" b="1" i="1">
              <a:solidFill>
                <a:schemeClr val="bg1"/>
              </a:solidFill>
            </a:rPr>
            <a:t>TULOSSUUNNITELMA</a:t>
          </a:r>
        </a:p>
      </xdr:txBody>
    </xdr:sp>
    <xdr:clientData/>
  </xdr:twoCellAnchor>
  <xdr:twoCellAnchor editAs="oneCell">
    <xdr:from>
      <xdr:col>8</xdr:col>
      <xdr:colOff>391932</xdr:colOff>
      <xdr:row>0</xdr:row>
      <xdr:rowOff>107364</xdr:rowOff>
    </xdr:from>
    <xdr:to>
      <xdr:col>10</xdr:col>
      <xdr:colOff>208144</xdr:colOff>
      <xdr:row>3</xdr:row>
      <xdr:rowOff>20321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7E79C75C-8DDC-4392-B173-D693ED8B8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1803" y="107364"/>
          <a:ext cx="992413" cy="405536"/>
        </a:xfrm>
        <a:prstGeom prst="rect">
          <a:avLst/>
        </a:prstGeom>
      </xdr:spPr>
    </xdr:pic>
    <xdr:clientData/>
  </xdr:twoCellAnchor>
  <xdr:twoCellAnchor editAs="oneCell">
    <xdr:from>
      <xdr:col>8</xdr:col>
      <xdr:colOff>152399</xdr:colOff>
      <xdr:row>4</xdr:row>
      <xdr:rowOff>345227</xdr:rowOff>
    </xdr:from>
    <xdr:to>
      <xdr:col>10</xdr:col>
      <xdr:colOff>446314</xdr:colOff>
      <xdr:row>8</xdr:row>
      <xdr:rowOff>166986</xdr:rowOff>
    </xdr:to>
    <xdr:pic>
      <xdr:nvPicPr>
        <xdr:cNvPr id="59" name="Kuva 58">
          <a:extLst>
            <a:ext uri="{FF2B5EF4-FFF2-40B4-BE49-F238E27FC236}">
              <a16:creationId xmlns:a16="http://schemas.microsoft.com/office/drawing/2014/main" id="{B1385CA4-4912-7ECA-DD47-BAE3897CD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5056" y="998370"/>
          <a:ext cx="1464129" cy="91033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133350</xdr:colOff>
      <xdr:row>65</xdr:row>
      <xdr:rowOff>62865</xdr:rowOff>
    </xdr:from>
    <xdr:to>
      <xdr:col>18</xdr:col>
      <xdr:colOff>217169</xdr:colOff>
      <xdr:row>92</xdr:row>
      <xdr:rowOff>19050</xdr:rowOff>
    </xdr:to>
    <xdr:graphicFrame macro="">
      <xdr:nvGraphicFramePr>
        <xdr:cNvPr id="5474107" name="Kaavio 3">
          <a:extLst>
            <a:ext uri="{FF2B5EF4-FFF2-40B4-BE49-F238E27FC236}">
              <a16:creationId xmlns:a16="http://schemas.microsoft.com/office/drawing/2014/main" id="{00000000-0008-0000-0600-00003B875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104584</xdr:colOff>
      <xdr:row>43</xdr:row>
      <xdr:rowOff>163431</xdr:rowOff>
    </xdr:from>
    <xdr:to>
      <xdr:col>0</xdr:col>
      <xdr:colOff>525184</xdr:colOff>
      <xdr:row>47</xdr:row>
      <xdr:rowOff>30925</xdr:rowOff>
    </xdr:to>
    <xdr:pic>
      <xdr:nvPicPr>
        <xdr:cNvPr id="31" name="Kuva 30" descr="Tulosti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87B4561-C7E2-48B4-9000-AFF9105BE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04584" y="7116681"/>
          <a:ext cx="420600" cy="458044"/>
        </a:xfrm>
        <a:prstGeom prst="rect">
          <a:avLst/>
        </a:prstGeom>
      </xdr:spPr>
    </xdr:pic>
    <xdr:clientData/>
  </xdr:twoCellAnchor>
  <xdr:twoCellAnchor>
    <xdr:from>
      <xdr:col>0</xdr:col>
      <xdr:colOff>162164</xdr:colOff>
      <xdr:row>38</xdr:row>
      <xdr:rowOff>151844</xdr:rowOff>
    </xdr:from>
    <xdr:to>
      <xdr:col>0</xdr:col>
      <xdr:colOff>524885</xdr:colOff>
      <xdr:row>41</xdr:row>
      <xdr:rowOff>38503</xdr:rowOff>
    </xdr:to>
    <xdr:pic>
      <xdr:nvPicPr>
        <xdr:cNvPr id="34" name="Kuva 3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9E980FF-0D7C-4EE0-AA82-10995ED36C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164" y="6295469"/>
          <a:ext cx="362721" cy="372434"/>
        </a:xfrm>
        <a:prstGeom prst="rect">
          <a:avLst/>
        </a:prstGeom>
      </xdr:spPr>
    </xdr:pic>
    <xdr:clientData/>
  </xdr:twoCellAnchor>
  <xdr:twoCellAnchor>
    <xdr:from>
      <xdr:col>0</xdr:col>
      <xdr:colOff>168673</xdr:colOff>
      <xdr:row>36</xdr:row>
      <xdr:rowOff>59249</xdr:rowOff>
    </xdr:from>
    <xdr:to>
      <xdr:col>0</xdr:col>
      <xdr:colOff>528673</xdr:colOff>
      <xdr:row>38</xdr:row>
      <xdr:rowOff>103563</xdr:rowOff>
    </xdr:to>
    <xdr:pic>
      <xdr:nvPicPr>
        <xdr:cNvPr id="35" name="Kuva 3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DA2DB834-3EA4-4A4C-8D49-DA9FBE906A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673" y="6958539"/>
          <a:ext cx="360000" cy="359625"/>
        </a:xfrm>
        <a:prstGeom prst="rect">
          <a:avLst/>
        </a:prstGeom>
      </xdr:spPr>
    </xdr:pic>
    <xdr:clientData/>
  </xdr:twoCellAnchor>
  <xdr:twoCellAnchor>
    <xdr:from>
      <xdr:col>0</xdr:col>
      <xdr:colOff>166958</xdr:colOff>
      <xdr:row>31</xdr:row>
      <xdr:rowOff>41217</xdr:rowOff>
    </xdr:from>
    <xdr:to>
      <xdr:col>0</xdr:col>
      <xdr:colOff>526958</xdr:colOff>
      <xdr:row>33</xdr:row>
      <xdr:rowOff>85343</xdr:rowOff>
    </xdr:to>
    <xdr:pic>
      <xdr:nvPicPr>
        <xdr:cNvPr id="36" name="Kuva 3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23D93DC-29E2-440E-AA8C-47B24D6037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958" y="6152231"/>
          <a:ext cx="360000" cy="359437"/>
        </a:xfrm>
        <a:prstGeom prst="rect">
          <a:avLst/>
        </a:prstGeom>
      </xdr:spPr>
    </xdr:pic>
    <xdr:clientData/>
  </xdr:twoCellAnchor>
  <xdr:twoCellAnchor>
    <xdr:from>
      <xdr:col>0</xdr:col>
      <xdr:colOff>160696</xdr:colOff>
      <xdr:row>28</xdr:row>
      <xdr:rowOff>110802</xdr:rowOff>
    </xdr:from>
    <xdr:to>
      <xdr:col>0</xdr:col>
      <xdr:colOff>520696</xdr:colOff>
      <xdr:row>30</xdr:row>
      <xdr:rowOff>155117</xdr:rowOff>
    </xdr:to>
    <xdr:pic>
      <xdr:nvPicPr>
        <xdr:cNvPr id="48" name="Kuva 47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4F7D700-A371-494F-BA1F-67DCFE032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96" y="5748851"/>
          <a:ext cx="360000" cy="359625"/>
        </a:xfrm>
        <a:prstGeom prst="rect">
          <a:avLst/>
        </a:prstGeom>
      </xdr:spPr>
    </xdr:pic>
    <xdr:clientData/>
  </xdr:twoCellAnchor>
  <xdr:twoCellAnchor>
    <xdr:from>
      <xdr:col>0</xdr:col>
      <xdr:colOff>153031</xdr:colOff>
      <xdr:row>26</xdr:row>
      <xdr:rowOff>24007</xdr:rowOff>
    </xdr:from>
    <xdr:to>
      <xdr:col>0</xdr:col>
      <xdr:colOff>513031</xdr:colOff>
      <xdr:row>28</xdr:row>
      <xdr:rowOff>68321</xdr:rowOff>
    </xdr:to>
    <xdr:pic>
      <xdr:nvPicPr>
        <xdr:cNvPr id="49" name="Kuva 4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7C6952C-C994-4F51-A3AD-F7FE273E4F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031" y="5346746"/>
          <a:ext cx="360000" cy="359624"/>
        </a:xfrm>
        <a:prstGeom prst="rect">
          <a:avLst/>
        </a:prstGeom>
      </xdr:spPr>
    </xdr:pic>
    <xdr:clientData/>
  </xdr:twoCellAnchor>
  <xdr:twoCellAnchor>
    <xdr:from>
      <xdr:col>0</xdr:col>
      <xdr:colOff>152752</xdr:colOff>
      <xdr:row>23</xdr:row>
      <xdr:rowOff>99225</xdr:rowOff>
    </xdr:from>
    <xdr:to>
      <xdr:col>0</xdr:col>
      <xdr:colOff>512752</xdr:colOff>
      <xdr:row>25</xdr:row>
      <xdr:rowOff>143353</xdr:rowOff>
    </xdr:to>
    <xdr:pic>
      <xdr:nvPicPr>
        <xdr:cNvPr id="50" name="Kuva 4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9C12A22-E265-49BC-8C12-A9E99D7E96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752" y="4948998"/>
          <a:ext cx="360000" cy="359438"/>
        </a:xfrm>
        <a:prstGeom prst="rect">
          <a:avLst/>
        </a:prstGeom>
      </xdr:spPr>
    </xdr:pic>
    <xdr:clientData/>
  </xdr:twoCellAnchor>
  <xdr:twoCellAnchor>
    <xdr:from>
      <xdr:col>0</xdr:col>
      <xdr:colOff>140672</xdr:colOff>
      <xdr:row>21</xdr:row>
      <xdr:rowOff>22860</xdr:rowOff>
    </xdr:from>
    <xdr:to>
      <xdr:col>0</xdr:col>
      <xdr:colOff>503393</xdr:colOff>
      <xdr:row>23</xdr:row>
      <xdr:rowOff>62820</xdr:rowOff>
    </xdr:to>
    <xdr:pic>
      <xdr:nvPicPr>
        <xdr:cNvPr id="51" name="Kuva 50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50711A83-EF49-4428-A78F-E7EB1DC77F4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672" y="3573780"/>
          <a:ext cx="362721" cy="360000"/>
        </a:xfrm>
        <a:prstGeom prst="rect">
          <a:avLst/>
        </a:prstGeom>
      </xdr:spPr>
    </xdr:pic>
    <xdr:clientData/>
  </xdr:twoCellAnchor>
  <xdr:twoCellAnchor>
    <xdr:from>
      <xdr:col>0</xdr:col>
      <xdr:colOff>161970</xdr:colOff>
      <xdr:row>33</xdr:row>
      <xdr:rowOff>130769</xdr:rowOff>
    </xdr:from>
    <xdr:to>
      <xdr:col>0</xdr:col>
      <xdr:colOff>521970</xdr:colOff>
      <xdr:row>36</xdr:row>
      <xdr:rowOff>17428</xdr:rowOff>
    </xdr:to>
    <xdr:pic>
      <xdr:nvPicPr>
        <xdr:cNvPr id="52" name="Kuva 5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8050D60C-F232-46A1-AE94-D63F8C9635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70" y="6596883"/>
          <a:ext cx="360000" cy="360188"/>
        </a:xfrm>
        <a:prstGeom prst="rect">
          <a:avLst/>
        </a:prstGeom>
      </xdr:spPr>
    </xdr:pic>
    <xdr:clientData/>
  </xdr:twoCellAnchor>
  <xdr:twoCellAnchor editAs="oneCell">
    <xdr:from>
      <xdr:col>17</xdr:col>
      <xdr:colOff>322066</xdr:colOff>
      <xdr:row>4</xdr:row>
      <xdr:rowOff>57979</xdr:rowOff>
    </xdr:from>
    <xdr:to>
      <xdr:col>18</xdr:col>
      <xdr:colOff>630131</xdr:colOff>
      <xdr:row>6</xdr:row>
      <xdr:rowOff>98851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E182982-5B36-4E23-BA62-A3CE613B4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92" y="2190751"/>
          <a:ext cx="995396" cy="379343"/>
        </a:xfrm>
        <a:prstGeom prst="rect">
          <a:avLst/>
        </a:prstGeom>
      </xdr:spPr>
    </xdr:pic>
    <xdr:clientData/>
  </xdr:twoCellAnchor>
  <xdr:twoCellAnchor editAs="oneCell">
    <xdr:from>
      <xdr:col>17</xdr:col>
      <xdr:colOff>202925</xdr:colOff>
      <xdr:row>59</xdr:row>
      <xdr:rowOff>157370</xdr:rowOff>
    </xdr:from>
    <xdr:to>
      <xdr:col>18</xdr:col>
      <xdr:colOff>494299</xdr:colOff>
      <xdr:row>62</xdr:row>
      <xdr:rowOff>135131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B4449BD5-AC01-494C-921A-0376B01FF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251" y="10485783"/>
          <a:ext cx="995396" cy="379343"/>
        </a:xfrm>
        <a:prstGeom prst="rect">
          <a:avLst/>
        </a:prstGeom>
      </xdr:spPr>
    </xdr:pic>
    <xdr:clientData/>
  </xdr:twoCellAnchor>
  <xdr:twoCellAnchor>
    <xdr:from>
      <xdr:col>0</xdr:col>
      <xdr:colOff>145313</xdr:colOff>
      <xdr:row>41</xdr:row>
      <xdr:rowOff>73571</xdr:rowOff>
    </xdr:from>
    <xdr:to>
      <xdr:col>0</xdr:col>
      <xdr:colOff>502592</xdr:colOff>
      <xdr:row>43</xdr:row>
      <xdr:rowOff>122155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B136A0C-8C61-4828-AE4A-B0624CE004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13" y="6702971"/>
          <a:ext cx="357279" cy="37243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179235</xdr:colOff>
      <xdr:row>21</xdr:row>
      <xdr:rowOff>35989</xdr:rowOff>
    </xdr:from>
    <xdr:to>
      <xdr:col>51</xdr:col>
      <xdr:colOff>0</xdr:colOff>
      <xdr:row>38</xdr:row>
      <xdr:rowOff>99061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994</xdr:colOff>
      <xdr:row>57</xdr:row>
      <xdr:rowOff>106680</xdr:rowOff>
    </xdr:from>
    <xdr:to>
      <xdr:col>51</xdr:col>
      <xdr:colOff>0</xdr:colOff>
      <xdr:row>77</xdr:row>
      <xdr:rowOff>38099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137067</xdr:colOff>
      <xdr:row>40</xdr:row>
      <xdr:rowOff>71772</xdr:rowOff>
    </xdr:from>
    <xdr:to>
      <xdr:col>0</xdr:col>
      <xdr:colOff>546841</xdr:colOff>
      <xdr:row>43</xdr:row>
      <xdr:rowOff>42137</xdr:rowOff>
    </xdr:to>
    <xdr:pic>
      <xdr:nvPicPr>
        <xdr:cNvPr id="67" name="Kuva 6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9D48AA8-33D7-4C63-8725-EE5DB8304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067" y="20741022"/>
          <a:ext cx="409774" cy="398990"/>
        </a:xfrm>
        <a:prstGeom prst="rect">
          <a:avLst/>
        </a:prstGeom>
      </xdr:spPr>
    </xdr:pic>
    <xdr:clientData/>
  </xdr:twoCellAnchor>
  <xdr:twoCellAnchor>
    <xdr:from>
      <xdr:col>0</xdr:col>
      <xdr:colOff>129310</xdr:colOff>
      <xdr:row>37</xdr:row>
      <xdr:rowOff>96900</xdr:rowOff>
    </xdr:from>
    <xdr:to>
      <xdr:col>0</xdr:col>
      <xdr:colOff>538509</xdr:colOff>
      <xdr:row>40</xdr:row>
      <xdr:rowOff>66705</xdr:rowOff>
    </xdr:to>
    <xdr:pic>
      <xdr:nvPicPr>
        <xdr:cNvPr id="68" name="Kuva 6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03FB4B6-9F90-4CC8-917A-A7478C723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310" y="20337525"/>
          <a:ext cx="409199" cy="398430"/>
        </a:xfrm>
        <a:prstGeom prst="rect">
          <a:avLst/>
        </a:prstGeom>
      </xdr:spPr>
    </xdr:pic>
    <xdr:clientData/>
  </xdr:twoCellAnchor>
  <xdr:twoCellAnchor>
    <xdr:from>
      <xdr:col>0</xdr:col>
      <xdr:colOff>129555</xdr:colOff>
      <xdr:row>34</xdr:row>
      <xdr:rowOff>133405</xdr:rowOff>
    </xdr:from>
    <xdr:to>
      <xdr:col>0</xdr:col>
      <xdr:colOff>534792</xdr:colOff>
      <xdr:row>37</xdr:row>
      <xdr:rowOff>99352</xdr:rowOff>
    </xdr:to>
    <xdr:pic>
      <xdr:nvPicPr>
        <xdr:cNvPr id="69" name="Kuva 6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F25D90E-BA93-4B5A-8D1D-1DEEA690E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55" y="19945405"/>
          <a:ext cx="405237" cy="394572"/>
        </a:xfrm>
        <a:prstGeom prst="rect">
          <a:avLst/>
        </a:prstGeom>
      </xdr:spPr>
    </xdr:pic>
    <xdr:clientData/>
  </xdr:twoCellAnchor>
  <xdr:twoCellAnchor>
    <xdr:from>
      <xdr:col>0</xdr:col>
      <xdr:colOff>133015</xdr:colOff>
      <xdr:row>32</xdr:row>
      <xdr:rowOff>20820</xdr:rowOff>
    </xdr:from>
    <xdr:to>
      <xdr:col>0</xdr:col>
      <xdr:colOff>544876</xdr:colOff>
      <xdr:row>34</xdr:row>
      <xdr:rowOff>134061</xdr:rowOff>
    </xdr:to>
    <xdr:pic>
      <xdr:nvPicPr>
        <xdr:cNvPr id="70" name="Kuva 6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94C0D9-6E5E-4EA3-B7E2-4274721F7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015" y="19547070"/>
          <a:ext cx="411861" cy="398991"/>
        </a:xfrm>
        <a:prstGeom prst="rect">
          <a:avLst/>
        </a:prstGeom>
      </xdr:spPr>
    </xdr:pic>
    <xdr:clientData/>
  </xdr:twoCellAnchor>
  <xdr:twoCellAnchor>
    <xdr:from>
      <xdr:col>0</xdr:col>
      <xdr:colOff>140247</xdr:colOff>
      <xdr:row>29</xdr:row>
      <xdr:rowOff>46158</xdr:rowOff>
    </xdr:from>
    <xdr:to>
      <xdr:col>0</xdr:col>
      <xdr:colOff>545484</xdr:colOff>
      <xdr:row>32</xdr:row>
      <xdr:rowOff>19185</xdr:rowOff>
    </xdr:to>
    <xdr:pic>
      <xdr:nvPicPr>
        <xdr:cNvPr id="71" name="Kuva 7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5E935D0B-E4E6-4B9F-ACD6-9A5633830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47" y="19143783"/>
          <a:ext cx="405237" cy="401652"/>
        </a:xfrm>
        <a:prstGeom prst="rect">
          <a:avLst/>
        </a:prstGeom>
      </xdr:spPr>
    </xdr:pic>
    <xdr:clientData/>
  </xdr:twoCellAnchor>
  <xdr:twoCellAnchor>
    <xdr:from>
      <xdr:col>0</xdr:col>
      <xdr:colOff>138475</xdr:colOff>
      <xdr:row>26</xdr:row>
      <xdr:rowOff>69371</xdr:rowOff>
    </xdr:from>
    <xdr:to>
      <xdr:col>0</xdr:col>
      <xdr:colOff>547689</xdr:colOff>
      <xdr:row>29</xdr:row>
      <xdr:rowOff>39835</xdr:rowOff>
    </xdr:to>
    <xdr:pic>
      <xdr:nvPicPr>
        <xdr:cNvPr id="72" name="Kuva 7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BA885AA-28D4-4F8C-A801-9A80F703F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75" y="18738371"/>
          <a:ext cx="409214" cy="399089"/>
        </a:xfrm>
        <a:prstGeom prst="rect">
          <a:avLst/>
        </a:prstGeom>
      </xdr:spPr>
    </xdr:pic>
    <xdr:clientData/>
  </xdr:twoCellAnchor>
  <xdr:twoCellAnchor>
    <xdr:from>
      <xdr:col>0</xdr:col>
      <xdr:colOff>134609</xdr:colOff>
      <xdr:row>23</xdr:row>
      <xdr:rowOff>46276</xdr:rowOff>
    </xdr:from>
    <xdr:to>
      <xdr:col>0</xdr:col>
      <xdr:colOff>551093</xdr:colOff>
      <xdr:row>26</xdr:row>
      <xdr:rowOff>13357</xdr:rowOff>
    </xdr:to>
    <xdr:pic>
      <xdr:nvPicPr>
        <xdr:cNvPr id="73" name="Kuva 7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1461501-D212-4D75-956E-7D5CEF120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09" y="3452416"/>
          <a:ext cx="416484" cy="378561"/>
        </a:xfrm>
        <a:prstGeom prst="rect">
          <a:avLst/>
        </a:prstGeom>
      </xdr:spPr>
    </xdr:pic>
    <xdr:clientData/>
  </xdr:twoCellAnchor>
  <xdr:twoCellAnchor>
    <xdr:from>
      <xdr:col>0</xdr:col>
      <xdr:colOff>136187</xdr:colOff>
      <xdr:row>20</xdr:row>
      <xdr:rowOff>34987</xdr:rowOff>
    </xdr:from>
    <xdr:to>
      <xdr:col>0</xdr:col>
      <xdr:colOff>543530</xdr:colOff>
      <xdr:row>23</xdr:row>
      <xdr:rowOff>22537</xdr:rowOff>
    </xdr:to>
    <xdr:pic>
      <xdr:nvPicPr>
        <xdr:cNvPr id="74" name="Kuva 7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DBE7F28-27A7-45D4-A195-4A3B6B4F9B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87" y="3029647"/>
          <a:ext cx="407343" cy="399030"/>
        </a:xfrm>
        <a:prstGeom prst="rect">
          <a:avLst/>
        </a:prstGeom>
      </xdr:spPr>
    </xdr:pic>
    <xdr:clientData/>
  </xdr:twoCellAnchor>
  <xdr:twoCellAnchor>
    <xdr:from>
      <xdr:col>0</xdr:col>
      <xdr:colOff>143417</xdr:colOff>
      <xdr:row>17</xdr:row>
      <xdr:rowOff>51318</xdr:rowOff>
    </xdr:from>
    <xdr:to>
      <xdr:col>0</xdr:col>
      <xdr:colOff>555701</xdr:colOff>
      <xdr:row>20</xdr:row>
      <xdr:rowOff>21125</xdr:rowOff>
    </xdr:to>
    <xdr:pic>
      <xdr:nvPicPr>
        <xdr:cNvPr id="75" name="Kuva 7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68D8A35-21BC-43EA-B4B7-F979D070D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17" y="175201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144615</xdr:colOff>
      <xdr:row>14</xdr:row>
      <xdr:rowOff>47625</xdr:rowOff>
    </xdr:from>
    <xdr:to>
      <xdr:col>0</xdr:col>
      <xdr:colOff>551318</xdr:colOff>
      <xdr:row>17</xdr:row>
      <xdr:rowOff>18571</xdr:rowOff>
    </xdr:to>
    <xdr:pic>
      <xdr:nvPicPr>
        <xdr:cNvPr id="76" name="Kuva 7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FA22DEE-C0F9-4EC1-ACEC-73F8BE141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15" y="2219325"/>
          <a:ext cx="406703" cy="382426"/>
        </a:xfrm>
        <a:prstGeom prst="rect">
          <a:avLst/>
        </a:prstGeom>
      </xdr:spPr>
    </xdr:pic>
    <xdr:clientData/>
  </xdr:twoCellAnchor>
  <xdr:twoCellAnchor>
    <xdr:from>
      <xdr:col>0</xdr:col>
      <xdr:colOff>138793</xdr:colOff>
      <xdr:row>43</xdr:row>
      <xdr:rowOff>84369</xdr:rowOff>
    </xdr:from>
    <xdr:to>
      <xdr:col>0</xdr:col>
      <xdr:colOff>553951</xdr:colOff>
      <xdr:row>46</xdr:row>
      <xdr:rowOff>70245</xdr:rowOff>
    </xdr:to>
    <xdr:pic>
      <xdr:nvPicPr>
        <xdr:cNvPr id="77" name="Kuva 76" descr="Tulostin">
          <a:extLst>
            <a:ext uri="{FF2B5EF4-FFF2-40B4-BE49-F238E27FC236}">
              <a16:creationId xmlns:a16="http://schemas.microsoft.com/office/drawing/2014/main" id="{3DC131CB-7A2D-4D7C-8BFE-D5405C04E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2"/>
            </a:ext>
          </a:extLst>
        </a:blip>
        <a:stretch>
          <a:fillRect/>
        </a:stretch>
      </xdr:blipFill>
      <xdr:spPr>
        <a:xfrm>
          <a:off x="138793" y="6294669"/>
          <a:ext cx="415158" cy="410419"/>
        </a:xfrm>
        <a:prstGeom prst="rect">
          <a:avLst/>
        </a:prstGeom>
      </xdr:spPr>
    </xdr:pic>
    <xdr:clientData/>
  </xdr:twoCellAnchor>
  <xdr:twoCellAnchor>
    <xdr:from>
      <xdr:col>43</xdr:col>
      <xdr:colOff>7620</xdr:colOff>
      <xdr:row>39</xdr:row>
      <xdr:rowOff>38100</xdr:rowOff>
    </xdr:from>
    <xdr:to>
      <xdr:col>51</xdr:col>
      <xdr:colOff>2816</xdr:colOff>
      <xdr:row>57</xdr:row>
      <xdr:rowOff>53340</xdr:rowOff>
    </xdr:to>
    <xdr:graphicFrame macro="">
      <xdr:nvGraphicFramePr>
        <xdr:cNvPr id="23" name="Kaavio 22">
          <a:extLst>
            <a:ext uri="{FF2B5EF4-FFF2-40B4-BE49-F238E27FC236}">
              <a16:creationId xmlns:a16="http://schemas.microsoft.com/office/drawing/2014/main" id="{5109D65D-2D53-43F3-87B9-6C9C62789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452120</xdr:colOff>
      <xdr:row>1</xdr:row>
      <xdr:rowOff>40640</xdr:rowOff>
    </xdr:from>
    <xdr:to>
      <xdr:col>9</xdr:col>
      <xdr:colOff>88900</xdr:colOff>
      <xdr:row>2</xdr:row>
      <xdr:rowOff>154940</xdr:rowOff>
    </xdr:to>
    <xdr:sp macro="" textlink="">
      <xdr:nvSpPr>
        <xdr:cNvPr id="2" name="Tekstiruutu 1">
          <a:extLst>
            <a:ext uri="{FF2B5EF4-FFF2-40B4-BE49-F238E27FC236}">
              <a16:creationId xmlns:a16="http://schemas.microsoft.com/office/drawing/2014/main" id="{790F7EE1-8F3B-4D54-81B6-C49EE969D19C}"/>
            </a:ext>
          </a:extLst>
        </xdr:cNvPr>
        <xdr:cNvSpPr txBox="1"/>
      </xdr:nvSpPr>
      <xdr:spPr>
        <a:xfrm>
          <a:off x="3227070" y="205740"/>
          <a:ext cx="2348230" cy="330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>
              <a:solidFill>
                <a:schemeClr val="tx1"/>
              </a:solidFill>
            </a:rPr>
            <a:t>T1 INVESTOINTISUUNNITELMA</a:t>
          </a:r>
        </a:p>
      </xdr:txBody>
    </xdr:sp>
    <xdr:clientData/>
  </xdr:twoCellAnchor>
  <xdr:twoCellAnchor>
    <xdr:from>
      <xdr:col>18</xdr:col>
      <xdr:colOff>165100</xdr:colOff>
      <xdr:row>1</xdr:row>
      <xdr:rowOff>34291</xdr:rowOff>
    </xdr:from>
    <xdr:to>
      <xdr:col>22</xdr:col>
      <xdr:colOff>300990</xdr:colOff>
      <xdr:row>2</xdr:row>
      <xdr:rowOff>155461</xdr:rowOff>
    </xdr:to>
    <xdr:sp macro="" textlink="">
      <xdr:nvSpPr>
        <xdr:cNvPr id="7" name="Tekstiruutu 6">
          <a:extLst>
            <a:ext uri="{FF2B5EF4-FFF2-40B4-BE49-F238E27FC236}">
              <a16:creationId xmlns:a16="http://schemas.microsoft.com/office/drawing/2014/main" id="{A6D7F756-5254-4124-A44B-DD21C6C7EA9C}"/>
            </a:ext>
          </a:extLst>
        </xdr:cNvPr>
        <xdr:cNvSpPr txBox="1"/>
      </xdr:nvSpPr>
      <xdr:spPr>
        <a:xfrm>
          <a:off x="10255250" y="199391"/>
          <a:ext cx="3082290" cy="3370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T3 TASE JA T4 RAHOITUSSUUNNITELMA</a:t>
          </a:r>
        </a:p>
      </xdr:txBody>
    </xdr:sp>
    <xdr:clientData/>
  </xdr:twoCellAnchor>
  <xdr:twoCellAnchor>
    <xdr:from>
      <xdr:col>28</xdr:col>
      <xdr:colOff>44450</xdr:colOff>
      <xdr:row>1</xdr:row>
      <xdr:rowOff>38100</xdr:rowOff>
    </xdr:from>
    <xdr:to>
      <xdr:col>36</xdr:col>
      <xdr:colOff>143511</xdr:colOff>
      <xdr:row>2</xdr:row>
      <xdr:rowOff>79357</xdr:rowOff>
    </xdr:to>
    <xdr:sp macro="" textlink="">
      <xdr:nvSpPr>
        <xdr:cNvPr id="28" name="Tekstiruutu 27">
          <a:extLst>
            <a:ext uri="{FF2B5EF4-FFF2-40B4-BE49-F238E27FC236}">
              <a16:creationId xmlns:a16="http://schemas.microsoft.com/office/drawing/2014/main" id="{5B2309E4-39DF-4692-A79C-419E8B4477F9}"/>
            </a:ext>
          </a:extLst>
        </xdr:cNvPr>
        <xdr:cNvSpPr txBox="1"/>
      </xdr:nvSpPr>
      <xdr:spPr>
        <a:xfrm>
          <a:off x="17792700" y="203200"/>
          <a:ext cx="3274061" cy="2571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T4 RAHOITUSSUUNNITELMA JA T7 LAINAT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>
    <xdr:from>
      <xdr:col>45</xdr:col>
      <xdr:colOff>234950</xdr:colOff>
      <xdr:row>1</xdr:row>
      <xdr:rowOff>38100</xdr:rowOff>
    </xdr:from>
    <xdr:to>
      <xdr:col>48</xdr:col>
      <xdr:colOff>148591</xdr:colOff>
      <xdr:row>2</xdr:row>
      <xdr:rowOff>79293</xdr:rowOff>
    </xdr:to>
    <xdr:sp macro="" textlink="">
      <xdr:nvSpPr>
        <xdr:cNvPr id="31" name="Tekstiruutu 30">
          <a:extLst>
            <a:ext uri="{FF2B5EF4-FFF2-40B4-BE49-F238E27FC236}">
              <a16:creationId xmlns:a16="http://schemas.microsoft.com/office/drawing/2014/main" id="{AE575780-8BD0-4C9A-BDDE-D389856E03A0}"/>
            </a:ext>
          </a:extLst>
        </xdr:cNvPr>
        <xdr:cNvSpPr txBox="1"/>
      </xdr:nvSpPr>
      <xdr:spPr>
        <a:xfrm>
          <a:off x="25901650" y="203200"/>
          <a:ext cx="2447291" cy="2570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TALOUDEN TUNNUSLUVUT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12</xdr:col>
      <xdr:colOff>354330</xdr:colOff>
      <xdr:row>77</xdr:row>
      <xdr:rowOff>104140</xdr:rowOff>
    </xdr:from>
    <xdr:to>
      <xdr:col>14</xdr:col>
      <xdr:colOff>362171</xdr:colOff>
      <xdr:row>80</xdr:row>
      <xdr:rowOff>188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23CDC38-6748-48C9-B175-EF2700B04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1530" y="11057890"/>
          <a:ext cx="859739" cy="316146"/>
        </a:xfrm>
        <a:prstGeom prst="rect">
          <a:avLst/>
        </a:prstGeom>
      </xdr:spPr>
    </xdr:pic>
    <xdr:clientData/>
  </xdr:twoCellAnchor>
  <xdr:twoCellAnchor editAs="oneCell">
    <xdr:from>
      <xdr:col>23</xdr:col>
      <xdr:colOff>577850</xdr:colOff>
      <xdr:row>77</xdr:row>
      <xdr:rowOff>101600</xdr:rowOff>
    </xdr:from>
    <xdr:to>
      <xdr:col>24</xdr:col>
      <xdr:colOff>705071</xdr:colOff>
      <xdr:row>80</xdr:row>
      <xdr:rowOff>188</xdr:rowOff>
    </xdr:to>
    <xdr:pic>
      <xdr:nvPicPr>
        <xdr:cNvPr id="30" name="Kuva 29">
          <a:extLst>
            <a:ext uri="{FF2B5EF4-FFF2-40B4-BE49-F238E27FC236}">
              <a16:creationId xmlns:a16="http://schemas.microsoft.com/office/drawing/2014/main" id="{42FE119F-5F10-441E-976F-96903358A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1000" y="11055350"/>
          <a:ext cx="862279" cy="316146"/>
        </a:xfrm>
        <a:prstGeom prst="rect">
          <a:avLst/>
        </a:prstGeom>
      </xdr:spPr>
    </xdr:pic>
    <xdr:clientData/>
  </xdr:twoCellAnchor>
  <xdr:twoCellAnchor editAs="oneCell">
    <xdr:from>
      <xdr:col>39</xdr:col>
      <xdr:colOff>335280</xdr:colOff>
      <xdr:row>77</xdr:row>
      <xdr:rowOff>102870</xdr:rowOff>
    </xdr:from>
    <xdr:to>
      <xdr:col>41</xdr:col>
      <xdr:colOff>302209</xdr:colOff>
      <xdr:row>80</xdr:row>
      <xdr:rowOff>188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32A68DD4-5377-49F4-93FD-4D303B8F9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39630" y="11056620"/>
          <a:ext cx="855929" cy="319956"/>
        </a:xfrm>
        <a:prstGeom prst="rect">
          <a:avLst/>
        </a:prstGeom>
      </xdr:spPr>
    </xdr:pic>
    <xdr:clientData/>
  </xdr:twoCellAnchor>
  <xdr:twoCellAnchor editAs="oneCell">
    <xdr:from>
      <xdr:col>49</xdr:col>
      <xdr:colOff>730250</xdr:colOff>
      <xdr:row>77</xdr:row>
      <xdr:rowOff>107950</xdr:rowOff>
    </xdr:from>
    <xdr:to>
      <xdr:col>50</xdr:col>
      <xdr:colOff>743171</xdr:colOff>
      <xdr:row>80</xdr:row>
      <xdr:rowOff>188</xdr:rowOff>
    </xdr:to>
    <xdr:pic>
      <xdr:nvPicPr>
        <xdr:cNvPr id="33" name="Kuva 32">
          <a:extLst>
            <a:ext uri="{FF2B5EF4-FFF2-40B4-BE49-F238E27FC236}">
              <a16:creationId xmlns:a16="http://schemas.microsoft.com/office/drawing/2014/main" id="{83ED5BCE-CE20-458A-A8EB-02C1A1306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75150" y="11061700"/>
          <a:ext cx="857199" cy="316146"/>
        </a:xfrm>
        <a:prstGeom prst="rect">
          <a:avLst/>
        </a:prstGeom>
      </xdr:spPr>
    </xdr:pic>
    <xdr:clientData/>
  </xdr:twoCellAnchor>
  <xdr:twoCellAnchor editAs="oneCell">
    <xdr:from>
      <xdr:col>1</xdr:col>
      <xdr:colOff>32657</xdr:colOff>
      <xdr:row>1</xdr:row>
      <xdr:rowOff>5442</xdr:rowOff>
    </xdr:from>
    <xdr:to>
      <xdr:col>2</xdr:col>
      <xdr:colOff>1186543</xdr:colOff>
      <xdr:row>2</xdr:row>
      <xdr:rowOff>73112</xdr:rowOff>
    </xdr:to>
    <xdr:pic>
      <xdr:nvPicPr>
        <xdr:cNvPr id="36" name="Kuva 35">
          <a:extLst>
            <a:ext uri="{FF2B5EF4-FFF2-40B4-BE49-F238E27FC236}">
              <a16:creationId xmlns:a16="http://schemas.microsoft.com/office/drawing/2014/main" id="{4809BE40-C055-A3DF-A88B-5CDEA4F94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328" y="163285"/>
          <a:ext cx="1317172" cy="2799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151377</xdr:colOff>
      <xdr:row>34</xdr:row>
      <xdr:rowOff>53895</xdr:rowOff>
    </xdr:from>
    <xdr:to>
      <xdr:col>0</xdr:col>
      <xdr:colOff>514098</xdr:colOff>
      <xdr:row>36</xdr:row>
      <xdr:rowOff>77994</xdr:rowOff>
    </xdr:to>
    <xdr:pic>
      <xdr:nvPicPr>
        <xdr:cNvPr id="6" name="Kuva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0217E1-7E54-4E7D-9958-25E553D39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77" y="5655373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151159</xdr:colOff>
      <xdr:row>31</xdr:row>
      <xdr:rowOff>152849</xdr:rowOff>
    </xdr:from>
    <xdr:to>
      <xdr:col>0</xdr:col>
      <xdr:colOff>513880</xdr:colOff>
      <xdr:row>34</xdr:row>
      <xdr:rowOff>16071</xdr:rowOff>
    </xdr:to>
    <xdr:pic>
      <xdr:nvPicPr>
        <xdr:cNvPr id="8" name="Kuva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56AE791-D90E-47B6-AECA-572109BE8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59" y="525047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147292</xdr:colOff>
      <xdr:row>29</xdr:row>
      <xdr:rowOff>80945</xdr:rowOff>
    </xdr:from>
    <xdr:to>
      <xdr:col>0</xdr:col>
      <xdr:colOff>512162</xdr:colOff>
      <xdr:row>31</xdr:row>
      <xdr:rowOff>97967</xdr:rowOff>
    </xdr:to>
    <xdr:pic>
      <xdr:nvPicPr>
        <xdr:cNvPr id="10" name="Kuva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764B5CD-C05A-48F3-9CAD-09FF14D03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92" y="4842667"/>
          <a:ext cx="362149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154524</xdr:colOff>
      <xdr:row>27</xdr:row>
      <xdr:rowOff>4468</xdr:rowOff>
    </xdr:from>
    <xdr:to>
      <xdr:col>0</xdr:col>
      <xdr:colOff>514746</xdr:colOff>
      <xdr:row>29</xdr:row>
      <xdr:rowOff>21492</xdr:rowOff>
    </xdr:to>
    <xdr:pic>
      <xdr:nvPicPr>
        <xdr:cNvPr id="12" name="Kuva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4F8C9AE-352A-4007-AA59-99398A4C8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24" y="4430289"/>
          <a:ext cx="357501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155862</xdr:colOff>
      <xdr:row>24</xdr:row>
      <xdr:rowOff>96180</xdr:rowOff>
    </xdr:from>
    <xdr:to>
      <xdr:col>0</xdr:col>
      <xdr:colOff>513141</xdr:colOff>
      <xdr:row>26</xdr:row>
      <xdr:rowOff>131164</xdr:rowOff>
    </xdr:to>
    <xdr:pic>
      <xdr:nvPicPr>
        <xdr:cNvPr id="14" name="Kuva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4138B4F-2C7D-4336-A7D0-EA401210C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62" y="4021258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158413</xdr:colOff>
      <xdr:row>22</xdr:row>
      <xdr:rowOff>22124</xdr:rowOff>
    </xdr:from>
    <xdr:to>
      <xdr:col>0</xdr:col>
      <xdr:colOff>515692</xdr:colOff>
      <xdr:row>24</xdr:row>
      <xdr:rowOff>59011</xdr:rowOff>
    </xdr:to>
    <xdr:pic>
      <xdr:nvPicPr>
        <xdr:cNvPr id="16" name="Kuva 1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6C57688-5F80-439D-A566-3CC55D838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13" y="361129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166135</xdr:colOff>
      <xdr:row>19</xdr:row>
      <xdr:rowOff>120538</xdr:rowOff>
    </xdr:from>
    <xdr:to>
      <xdr:col>0</xdr:col>
      <xdr:colOff>517945</xdr:colOff>
      <xdr:row>21</xdr:row>
      <xdr:rowOff>131845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708BB22-90F3-4B2B-A113-8B45D33CE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35" y="3205860"/>
          <a:ext cx="358885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157814</xdr:colOff>
      <xdr:row>17</xdr:row>
      <xdr:rowOff>62091</xdr:rowOff>
    </xdr:from>
    <xdr:to>
      <xdr:col>0</xdr:col>
      <xdr:colOff>533081</xdr:colOff>
      <xdr:row>19</xdr:row>
      <xdr:rowOff>93265</xdr:rowOff>
    </xdr:to>
    <xdr:pic>
      <xdr:nvPicPr>
        <xdr:cNvPr id="37" name="Kuva 3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3924D1C-8FCC-49E1-B183-2C48CD98C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14" y="2811512"/>
          <a:ext cx="375267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162240</xdr:colOff>
      <xdr:row>15</xdr:row>
      <xdr:rowOff>2695</xdr:rowOff>
    </xdr:from>
    <xdr:to>
      <xdr:col>0</xdr:col>
      <xdr:colOff>514216</xdr:colOff>
      <xdr:row>17</xdr:row>
      <xdr:rowOff>21350</xdr:rowOff>
    </xdr:to>
    <xdr:pic>
      <xdr:nvPicPr>
        <xdr:cNvPr id="44" name="Kuva 43">
          <a:extLst>
            <a:ext uri="{FF2B5EF4-FFF2-40B4-BE49-F238E27FC236}">
              <a16:creationId xmlns:a16="http://schemas.microsoft.com/office/drawing/2014/main" id="{1E0F419A-A73B-4422-BA93-788135C5D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240" y="2416213"/>
          <a:ext cx="364766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134838</xdr:colOff>
      <xdr:row>36</xdr:row>
      <xdr:rowOff>123454</xdr:rowOff>
    </xdr:from>
    <xdr:to>
      <xdr:col>0</xdr:col>
      <xdr:colOff>550082</xdr:colOff>
      <xdr:row>39</xdr:row>
      <xdr:rowOff>17601</xdr:rowOff>
    </xdr:to>
    <xdr:pic>
      <xdr:nvPicPr>
        <xdr:cNvPr id="57" name="Kuva 56" descr="Tulosti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10AC6680-B895-4631-82E0-FA100F725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134838" y="6060833"/>
          <a:ext cx="402726" cy="400722"/>
        </a:xfrm>
        <a:prstGeom prst="rect">
          <a:avLst/>
        </a:prstGeom>
      </xdr:spPr>
    </xdr:pic>
    <xdr:clientData/>
  </xdr:twoCellAnchor>
  <xdr:twoCellAnchor editAs="oneCell">
    <xdr:from>
      <xdr:col>6</xdr:col>
      <xdr:colOff>661989</xdr:colOff>
      <xdr:row>2</xdr:row>
      <xdr:rowOff>26411</xdr:rowOff>
    </xdr:from>
    <xdr:to>
      <xdr:col>7</xdr:col>
      <xdr:colOff>705526</xdr:colOff>
      <xdr:row>4</xdr:row>
      <xdr:rowOff>19725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876EFC22-ECD7-4378-911C-B50F04D76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9" y="259774"/>
          <a:ext cx="842962" cy="3212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18</xdr:col>
      <xdr:colOff>514894</xdr:colOff>
      <xdr:row>0</xdr:row>
      <xdr:rowOff>0</xdr:rowOff>
    </xdr:to>
    <xdr:pic>
      <xdr:nvPicPr>
        <xdr:cNvPr id="5503073" name="Kuva 12" descr="tulkki_vari2rivi.jpg">
          <a:extLst>
            <a:ext uri="{FF2B5EF4-FFF2-40B4-BE49-F238E27FC236}">
              <a16:creationId xmlns:a16="http://schemas.microsoft.com/office/drawing/2014/main" id="{00000000-0008-0000-0200-000061F8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0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129319</xdr:colOff>
      <xdr:row>8</xdr:row>
      <xdr:rowOff>60905</xdr:rowOff>
    </xdr:from>
    <xdr:to>
      <xdr:col>0</xdr:col>
      <xdr:colOff>516108</xdr:colOff>
      <xdr:row>32</xdr:row>
      <xdr:rowOff>120956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295B6735-2D1D-262A-ED47-9179995133FB}"/>
            </a:ext>
          </a:extLst>
        </xdr:cNvPr>
        <xdr:cNvGrpSpPr/>
      </xdr:nvGrpSpPr>
      <xdr:grpSpPr>
        <a:xfrm>
          <a:off x="129319" y="1759076"/>
          <a:ext cx="386789" cy="4468766"/>
          <a:chOff x="129319" y="1659979"/>
          <a:chExt cx="386789" cy="3956386"/>
        </a:xfrm>
      </xdr:grpSpPr>
      <xdr:pic>
        <xdr:nvPicPr>
          <xdr:cNvPr id="38" name="Kuva 37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3CDA4AC5-09EB-4755-9E5E-313C6C5BBEA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4430" y="4869820"/>
            <a:ext cx="360000" cy="343324"/>
          </a:xfrm>
          <a:prstGeom prst="rect">
            <a:avLst/>
          </a:prstGeom>
        </xdr:spPr>
      </xdr:pic>
      <xdr:pic>
        <xdr:nvPicPr>
          <xdr:cNvPr id="39" name="Kuva 38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17023383-F677-4E10-BDA4-0CD5E6098CD9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8419" y="4471574"/>
            <a:ext cx="377689" cy="350178"/>
          </a:xfrm>
          <a:prstGeom prst="rect">
            <a:avLst/>
          </a:prstGeom>
        </xdr:spPr>
      </xdr:pic>
      <xdr:pic>
        <xdr:nvPicPr>
          <xdr:cNvPr id="40" name="Kuva 39">
            <a:extLst>
              <a:ext uri="{FF2B5EF4-FFF2-40B4-BE49-F238E27FC236}">
                <a16:creationId xmlns:a16="http://schemas.microsoft.com/office/drawing/2014/main" id="{1598AE97-62FD-4696-9F1D-8984F23CDD47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6149" y="4066247"/>
            <a:ext cx="360000" cy="357211"/>
          </a:xfrm>
          <a:prstGeom prst="rect">
            <a:avLst/>
          </a:prstGeom>
        </xdr:spPr>
      </xdr:pic>
      <xdr:pic>
        <xdr:nvPicPr>
          <xdr:cNvPr id="41" name="Kuva 4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1DEAF475-59CA-4357-B7AF-666F0F088BCC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652" y="3679752"/>
            <a:ext cx="360000" cy="358564"/>
          </a:xfrm>
          <a:prstGeom prst="rect">
            <a:avLst/>
          </a:prstGeom>
        </xdr:spPr>
      </xdr:pic>
      <xdr:pic>
        <xdr:nvPicPr>
          <xdr:cNvPr id="42" name="Kuva 41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51741777-29E6-402E-9259-1239412CA8F5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4474" y="3277562"/>
            <a:ext cx="366531" cy="355668"/>
          </a:xfrm>
          <a:prstGeom prst="rect">
            <a:avLst/>
          </a:prstGeom>
        </xdr:spPr>
      </xdr:pic>
      <xdr:pic>
        <xdr:nvPicPr>
          <xdr:cNvPr id="43" name="Kuva 42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CDAC6E65-FABE-4627-98B3-378D297D9B1E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744" y="2876916"/>
            <a:ext cx="360000" cy="345139"/>
          </a:xfrm>
          <a:prstGeom prst="rect">
            <a:avLst/>
          </a:prstGeom>
        </xdr:spPr>
      </xdr:pic>
      <xdr:pic>
        <xdr:nvPicPr>
          <xdr:cNvPr id="44" name="Kuva 43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C3F2462C-70D7-4E65-BB71-C43F83D22E77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2185" y="2473315"/>
            <a:ext cx="372246" cy="357122"/>
          </a:xfrm>
          <a:prstGeom prst="rect">
            <a:avLst/>
          </a:prstGeom>
        </xdr:spPr>
      </xdr:pic>
      <xdr:pic>
        <xdr:nvPicPr>
          <xdr:cNvPr id="45" name="Kuva 44">
            <a:extLst>
              <a:ext uri="{FF2B5EF4-FFF2-40B4-BE49-F238E27FC236}">
                <a16:creationId xmlns:a16="http://schemas.microsoft.com/office/drawing/2014/main" id="{510A1423-29AE-495D-902D-2A4F8656C03C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9319" y="2069740"/>
            <a:ext cx="370341" cy="358743"/>
          </a:xfrm>
          <a:prstGeom prst="rect">
            <a:avLst/>
          </a:prstGeom>
        </xdr:spPr>
      </xdr:pic>
      <xdr:pic>
        <xdr:nvPicPr>
          <xdr:cNvPr id="46" name="Kuva 45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518D66CE-BEC9-4027-9F4B-5B40D66C26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2830" y="1659979"/>
            <a:ext cx="364416" cy="360974"/>
          </a:xfrm>
          <a:prstGeom prst="rect">
            <a:avLst/>
          </a:prstGeom>
        </xdr:spPr>
      </xdr:pic>
      <xdr:pic>
        <xdr:nvPicPr>
          <xdr:cNvPr id="47" name="Kuva 46" descr="Tulostin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5657EF89-353F-4334-BE7B-D32E30EC58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0"/>
              </a:ext>
            </a:extLst>
          </a:blip>
          <a:stretch>
            <a:fillRect/>
          </a:stretch>
        </xdr:blipFill>
        <xdr:spPr>
          <a:xfrm>
            <a:off x="129821" y="5240403"/>
            <a:ext cx="381377" cy="375962"/>
          </a:xfrm>
          <a:prstGeom prst="rect">
            <a:avLst/>
          </a:prstGeom>
        </xdr:spPr>
      </xdr:pic>
    </xdr:grpSp>
    <xdr:clientData/>
  </xdr:twoCellAnchor>
  <xdr:twoCellAnchor editAs="oneCell">
    <xdr:from>
      <xdr:col>14</xdr:col>
      <xdr:colOff>200026</xdr:colOff>
      <xdr:row>1</xdr:row>
      <xdr:rowOff>64046</xdr:rowOff>
    </xdr:from>
    <xdr:to>
      <xdr:col>15</xdr:col>
      <xdr:colOff>228600</xdr:colOff>
      <xdr:row>3</xdr:row>
      <xdr:rowOff>18822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AEB979E8-1B0E-442B-AB93-54F1EFA68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8914" y="225971"/>
          <a:ext cx="919161" cy="3502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6</xdr:row>
      <xdr:rowOff>47625</xdr:rowOff>
    </xdr:from>
    <xdr:to>
      <xdr:col>7</xdr:col>
      <xdr:colOff>28575</xdr:colOff>
      <xdr:row>23</xdr:row>
      <xdr:rowOff>38100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342900</xdr:colOff>
      <xdr:row>31</xdr:row>
      <xdr:rowOff>133350</xdr:rowOff>
    </xdr:from>
    <xdr:to>
      <xdr:col>7</xdr:col>
      <xdr:colOff>85725</xdr:colOff>
      <xdr:row>48</xdr:row>
      <xdr:rowOff>123825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619125</xdr:colOff>
      <xdr:row>1</xdr:row>
      <xdr:rowOff>180974</xdr:rowOff>
    </xdr:from>
    <xdr:to>
      <xdr:col>10</xdr:col>
      <xdr:colOff>724738</xdr:colOff>
      <xdr:row>4</xdr:row>
      <xdr:rowOff>20636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FA8A23AB-7E03-404A-9B42-D0EB0E8E2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3775" y="342899"/>
          <a:ext cx="924763" cy="352425"/>
        </a:xfrm>
        <a:prstGeom prst="rect">
          <a:avLst/>
        </a:prstGeom>
      </xdr:spPr>
    </xdr:pic>
    <xdr:clientData/>
  </xdr:twoCellAnchor>
  <xdr:twoCellAnchor>
    <xdr:from>
      <xdr:col>1</xdr:col>
      <xdr:colOff>2540</xdr:colOff>
      <xdr:row>98</xdr:row>
      <xdr:rowOff>57150</xdr:rowOff>
    </xdr:from>
    <xdr:to>
      <xdr:col>6</xdr:col>
      <xdr:colOff>615950</xdr:colOff>
      <xdr:row>99</xdr:row>
      <xdr:rowOff>154940</xdr:rowOff>
    </xdr:to>
    <xdr:sp macro="" textlink="">
      <xdr:nvSpPr>
        <xdr:cNvPr id="36" name="Pyöristetty suorakulmio 3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>
          <a:off x="770890" y="16224250"/>
          <a:ext cx="3934460" cy="262890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36000" tIns="36000" rIns="36000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JOS</a:t>
          </a:r>
          <a:r>
            <a:rPr lang="fi-FI" sz="11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LOMAPALKKAVARAUSTA EI TEHDÄ, MERKITSE RIVI 93 = 0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oneCellAnchor>
    <xdr:from>
      <xdr:col>0</xdr:col>
      <xdr:colOff>225028</xdr:colOff>
      <xdr:row>13</xdr:row>
      <xdr:rowOff>9156</xdr:rowOff>
    </xdr:from>
    <xdr:ext cx="360000" cy="360000"/>
    <xdr:pic>
      <xdr:nvPicPr>
        <xdr:cNvPr id="53" name="Kuva 5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05A6A82-F14D-4720-9A86-273436096B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14764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219775</xdr:colOff>
      <xdr:row>20</xdr:row>
      <xdr:rowOff>102576</xdr:rowOff>
    </xdr:from>
    <xdr:ext cx="360000" cy="360000"/>
    <xdr:pic>
      <xdr:nvPicPr>
        <xdr:cNvPr id="55" name="Kuva 5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01592F-737A-4092-9C67-93ED6C4090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75" y="3318527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212854</xdr:colOff>
      <xdr:row>18</xdr:row>
      <xdr:rowOff>15089</xdr:rowOff>
    </xdr:from>
    <xdr:ext cx="360000" cy="360000"/>
    <xdr:pic>
      <xdr:nvPicPr>
        <xdr:cNvPr id="56" name="Kuva 5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56DB1F8-90D1-4019-8FC2-415B1F2352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854" y="2913799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219804</xdr:colOff>
      <xdr:row>23</xdr:row>
      <xdr:rowOff>23521</xdr:rowOff>
    </xdr:from>
    <xdr:ext cx="360000" cy="360000"/>
    <xdr:pic>
      <xdr:nvPicPr>
        <xdr:cNvPr id="57" name="Kuva 5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D925B4D-874C-474B-8C28-0E2DBFF9E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04" y="3715333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10</xdr:row>
      <xdr:rowOff>75214</xdr:rowOff>
    </xdr:from>
    <xdr:ext cx="360000" cy="360000"/>
    <xdr:pic>
      <xdr:nvPicPr>
        <xdr:cNvPr id="58" name="Kuva 5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D919E59-062D-4999-AE36-7EFC522D2A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696810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211221</xdr:colOff>
      <xdr:row>15</xdr:row>
      <xdr:rowOff>84223</xdr:rowOff>
    </xdr:from>
    <xdr:ext cx="373090" cy="360000"/>
    <xdr:pic>
      <xdr:nvPicPr>
        <xdr:cNvPr id="59" name="Kuva 58">
          <a:extLst>
            <a:ext uri="{FF2B5EF4-FFF2-40B4-BE49-F238E27FC236}">
              <a16:creationId xmlns:a16="http://schemas.microsoft.com/office/drawing/2014/main" id="{93EBB33B-C495-45E0-8EA5-26DE582F5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221" y="2507072"/>
          <a:ext cx="373090" cy="360000"/>
        </a:xfrm>
        <a:prstGeom prst="rect">
          <a:avLst/>
        </a:prstGeom>
      </xdr:spPr>
    </xdr:pic>
    <xdr:clientData/>
  </xdr:oneCellAnchor>
  <xdr:twoCellAnchor>
    <xdr:from>
      <xdr:col>0</xdr:col>
      <xdr:colOff>223552</xdr:colOff>
      <xdr:row>30</xdr:row>
      <xdr:rowOff>112388</xdr:rowOff>
    </xdr:from>
    <xdr:to>
      <xdr:col>0</xdr:col>
      <xdr:colOff>583552</xdr:colOff>
      <xdr:row>32</xdr:row>
      <xdr:rowOff>158043</xdr:rowOff>
    </xdr:to>
    <xdr:pic>
      <xdr:nvPicPr>
        <xdr:cNvPr id="61" name="Kuva 6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7D4A36C-0A70-4242-A2BC-4F7152BC347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552" y="4914543"/>
          <a:ext cx="360000" cy="362896"/>
        </a:xfrm>
        <a:prstGeom prst="rect">
          <a:avLst/>
        </a:prstGeom>
      </xdr:spPr>
    </xdr:pic>
    <xdr:clientData/>
  </xdr:twoCellAnchor>
  <xdr:oneCellAnchor>
    <xdr:from>
      <xdr:col>0</xdr:col>
      <xdr:colOff>192216</xdr:colOff>
      <xdr:row>33</xdr:row>
      <xdr:rowOff>17454</xdr:rowOff>
    </xdr:from>
    <xdr:ext cx="415158" cy="417431"/>
    <xdr:pic>
      <xdr:nvPicPr>
        <xdr:cNvPr id="63" name="Kuva 62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9055F567-F01E-4B73-9D99-154B9E21B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2216" y="5295471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218686</xdr:colOff>
      <xdr:row>25</xdr:row>
      <xdr:rowOff>110413</xdr:rowOff>
    </xdr:from>
    <xdr:to>
      <xdr:col>0</xdr:col>
      <xdr:colOff>578686</xdr:colOff>
      <xdr:row>27</xdr:row>
      <xdr:rowOff>155102</xdr:rowOff>
    </xdr:to>
    <xdr:pic>
      <xdr:nvPicPr>
        <xdr:cNvPr id="28" name="Kuva 2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06157D-3CC8-4501-9CE6-F310D84C24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686" y="4119466"/>
          <a:ext cx="360000" cy="361930"/>
        </a:xfrm>
        <a:prstGeom prst="rect">
          <a:avLst/>
        </a:prstGeom>
      </xdr:spPr>
    </xdr:pic>
    <xdr:clientData/>
  </xdr:twoCellAnchor>
  <xdr:oneCellAnchor>
    <xdr:from>
      <xdr:col>0</xdr:col>
      <xdr:colOff>225028</xdr:colOff>
      <xdr:row>63</xdr:row>
      <xdr:rowOff>18487</xdr:rowOff>
    </xdr:from>
    <xdr:ext cx="406703" cy="396000"/>
    <xdr:pic>
      <xdr:nvPicPr>
        <xdr:cNvPr id="31" name="Kuva 3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8895E8A-FF5E-489D-AA38-94569CF43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806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223080</xdr:colOff>
      <xdr:row>71</xdr:row>
      <xdr:rowOff>9271</xdr:rowOff>
    </xdr:from>
    <xdr:ext cx="406703" cy="396000"/>
    <xdr:pic>
      <xdr:nvPicPr>
        <xdr:cNvPr id="37" name="Kuva 3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2E2740A-63A6-4E03-94AD-495B6E935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080" y="3466846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219075</xdr:colOff>
      <xdr:row>68</xdr:row>
      <xdr:rowOff>67962</xdr:rowOff>
    </xdr:from>
    <xdr:ext cx="406703" cy="396000"/>
    <xdr:pic>
      <xdr:nvPicPr>
        <xdr:cNvPr id="38" name="Kuva 3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596B10C-1F76-4D47-AB41-9E7295C93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30397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207168</xdr:colOff>
      <xdr:row>73</xdr:row>
      <xdr:rowOff>121648</xdr:rowOff>
    </xdr:from>
    <xdr:ext cx="406703" cy="393619"/>
    <xdr:pic>
      <xdr:nvPicPr>
        <xdr:cNvPr id="39" name="Kuva 3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07D7771-A0EA-4A95-BB1E-C3E14CE5B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168" y="12418423"/>
          <a:ext cx="406703" cy="393619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60</xdr:row>
      <xdr:rowOff>75214</xdr:rowOff>
    </xdr:from>
    <xdr:ext cx="406703" cy="393701"/>
    <xdr:pic>
      <xdr:nvPicPr>
        <xdr:cNvPr id="40" name="Kuva 39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C022A64A-CD30-4232-84CA-ED2511AEF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751614"/>
          <a:ext cx="406703" cy="393701"/>
        </a:xfrm>
        <a:prstGeom prst="rect">
          <a:avLst/>
        </a:prstGeom>
      </xdr:spPr>
    </xdr:pic>
    <xdr:clientData/>
  </xdr:oneCellAnchor>
  <xdr:oneCellAnchor>
    <xdr:from>
      <xdr:col>0</xdr:col>
      <xdr:colOff>217442</xdr:colOff>
      <xdr:row>65</xdr:row>
      <xdr:rowOff>127766</xdr:rowOff>
    </xdr:from>
    <xdr:ext cx="408016" cy="393700"/>
    <xdr:pic>
      <xdr:nvPicPr>
        <xdr:cNvPr id="41" name="Kuva 40">
          <a:extLst>
            <a:ext uri="{FF2B5EF4-FFF2-40B4-BE49-F238E27FC236}">
              <a16:creationId xmlns:a16="http://schemas.microsoft.com/office/drawing/2014/main" id="{4D70EBEB-2908-4DCB-9495-0CF11E683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42" y="2613791"/>
          <a:ext cx="408016" cy="393700"/>
        </a:xfrm>
        <a:prstGeom prst="rect">
          <a:avLst/>
        </a:prstGeom>
      </xdr:spPr>
    </xdr:pic>
    <xdr:clientData/>
  </xdr:oneCellAnchor>
  <xdr:twoCellAnchor>
    <xdr:from>
      <xdr:col>0</xdr:col>
      <xdr:colOff>184325</xdr:colOff>
      <xdr:row>81</xdr:row>
      <xdr:rowOff>134860</xdr:rowOff>
    </xdr:from>
    <xdr:to>
      <xdr:col>0</xdr:col>
      <xdr:colOff>584135</xdr:colOff>
      <xdr:row>83</xdr:row>
      <xdr:rowOff>161925</xdr:rowOff>
    </xdr:to>
    <xdr:pic>
      <xdr:nvPicPr>
        <xdr:cNvPr id="42" name="Kuva 41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B1E5F61E-61CE-4BFA-BA66-8174B4DF2D9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25" y="13803235"/>
          <a:ext cx="399810" cy="369965"/>
        </a:xfrm>
        <a:prstGeom prst="rect">
          <a:avLst/>
        </a:prstGeom>
      </xdr:spPr>
    </xdr:pic>
    <xdr:clientData/>
  </xdr:twoCellAnchor>
  <xdr:oneCellAnchor>
    <xdr:from>
      <xdr:col>0</xdr:col>
      <xdr:colOff>176705</xdr:colOff>
      <xdr:row>84</xdr:row>
      <xdr:rowOff>80470</xdr:rowOff>
    </xdr:from>
    <xdr:ext cx="413522" cy="398991"/>
    <xdr:pic>
      <xdr:nvPicPr>
        <xdr:cNvPr id="43" name="Kuva 4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192CFE77-7205-4C81-A50A-321DA3573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705" y="5643070"/>
          <a:ext cx="413522" cy="398991"/>
        </a:xfrm>
        <a:prstGeom prst="rect">
          <a:avLst/>
        </a:prstGeom>
      </xdr:spPr>
    </xdr:pic>
    <xdr:clientData/>
  </xdr:oneCellAnchor>
  <xdr:oneCellAnchor>
    <xdr:from>
      <xdr:col>0</xdr:col>
      <xdr:colOff>196609</xdr:colOff>
      <xdr:row>87</xdr:row>
      <xdr:rowOff>75149</xdr:rowOff>
    </xdr:from>
    <xdr:ext cx="415158" cy="417431"/>
    <xdr:pic>
      <xdr:nvPicPr>
        <xdr:cNvPr id="44" name="Kuva 43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DD88231E-D06B-417B-B115-7F0B9A968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6609" y="15057974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192403</xdr:colOff>
      <xdr:row>79</xdr:row>
      <xdr:rowOff>1903</xdr:rowOff>
    </xdr:from>
    <xdr:to>
      <xdr:col>0</xdr:col>
      <xdr:colOff>592213</xdr:colOff>
      <xdr:row>81</xdr:row>
      <xdr:rowOff>55003</xdr:rowOff>
    </xdr:to>
    <xdr:pic>
      <xdr:nvPicPr>
        <xdr:cNvPr id="45" name="Kuva 44">
          <a:extLst>
            <a:ext uri="{FF2B5EF4-FFF2-40B4-BE49-F238E27FC236}">
              <a16:creationId xmlns:a16="http://schemas.microsoft.com/office/drawing/2014/main" id="{80843596-1DA4-4820-B8F5-7164F2EE87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3" y="13327378"/>
          <a:ext cx="399810" cy="396000"/>
        </a:xfrm>
        <a:prstGeom prst="rect">
          <a:avLst/>
        </a:prstGeom>
      </xdr:spPr>
    </xdr:pic>
    <xdr:clientData/>
  </xdr:twoCellAnchor>
  <xdr:twoCellAnchor>
    <xdr:from>
      <xdr:col>0</xdr:col>
      <xdr:colOff>207646</xdr:colOff>
      <xdr:row>76</xdr:row>
      <xdr:rowOff>59054</xdr:rowOff>
    </xdr:from>
    <xdr:to>
      <xdr:col>0</xdr:col>
      <xdr:colOff>601431</xdr:colOff>
      <xdr:row>78</xdr:row>
      <xdr:rowOff>108554</xdr:rowOff>
    </xdr:to>
    <xdr:pic>
      <xdr:nvPicPr>
        <xdr:cNvPr id="46" name="Kuva 4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38B001-025C-4DAE-A005-D23F0CB0E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46" y="12870179"/>
          <a:ext cx="393785" cy="392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</xdr:colOff>
      <xdr:row>28</xdr:row>
      <xdr:rowOff>53340</xdr:rowOff>
    </xdr:from>
    <xdr:to>
      <xdr:col>0</xdr:col>
      <xdr:colOff>592138</xdr:colOff>
      <xdr:row>30</xdr:row>
      <xdr:rowOff>58318</xdr:rowOff>
    </xdr:to>
    <xdr:pic>
      <xdr:nvPicPr>
        <xdr:cNvPr id="2" name="Kuva 1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2C340B6E-1139-4EFC-90B5-05D014B210D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" y="4762500"/>
          <a:ext cx="368164" cy="3508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435428</xdr:colOff>
      <xdr:row>0</xdr:row>
      <xdr:rowOff>137433</xdr:rowOff>
    </xdr:from>
    <xdr:to>
      <xdr:col>17</xdr:col>
      <xdr:colOff>3773</xdr:colOff>
      <xdr:row>3</xdr:row>
      <xdr:rowOff>20440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EFE689D6-59EB-4AF2-8530-85BA141EA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6099" y="137433"/>
          <a:ext cx="811493" cy="310816"/>
        </a:xfrm>
        <a:prstGeom prst="rect">
          <a:avLst/>
        </a:prstGeom>
      </xdr:spPr>
    </xdr:pic>
    <xdr:clientData/>
  </xdr:twoCellAnchor>
  <xdr:twoCellAnchor>
    <xdr:from>
      <xdr:col>0</xdr:col>
      <xdr:colOff>157691</xdr:colOff>
      <xdr:row>40</xdr:row>
      <xdr:rowOff>7901</xdr:rowOff>
    </xdr:from>
    <xdr:to>
      <xdr:col>0</xdr:col>
      <xdr:colOff>517691</xdr:colOff>
      <xdr:row>42</xdr:row>
      <xdr:rowOff>76917</xdr:rowOff>
    </xdr:to>
    <xdr:pic>
      <xdr:nvPicPr>
        <xdr:cNvPr id="48" name="Kuva 47" descr="Tulosti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F009E7E-719B-472F-B652-BAAED12604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57691" y="6365158"/>
          <a:ext cx="360000" cy="362930"/>
        </a:xfrm>
        <a:prstGeom prst="rect">
          <a:avLst/>
        </a:prstGeom>
      </xdr:spPr>
    </xdr:pic>
    <xdr:clientData/>
  </xdr:twoCellAnchor>
  <xdr:twoCellAnchor>
    <xdr:from>
      <xdr:col>0</xdr:col>
      <xdr:colOff>163288</xdr:colOff>
      <xdr:row>38</xdr:row>
      <xdr:rowOff>28707</xdr:rowOff>
    </xdr:from>
    <xdr:to>
      <xdr:col>0</xdr:col>
      <xdr:colOff>523288</xdr:colOff>
      <xdr:row>39</xdr:row>
      <xdr:rowOff>198207</xdr:rowOff>
    </xdr:to>
    <xdr:pic>
      <xdr:nvPicPr>
        <xdr:cNvPr id="16" name="Kuva 1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AC397E2-3280-4EF3-9754-56F113DEB6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8" y="5966864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165858</xdr:colOff>
      <xdr:row>35</xdr:row>
      <xdr:rowOff>93577</xdr:rowOff>
    </xdr:from>
    <xdr:to>
      <xdr:col>0</xdr:col>
      <xdr:colOff>525858</xdr:colOff>
      <xdr:row>38</xdr:row>
      <xdr:rowOff>15217</xdr:rowOff>
    </xdr:to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6137E18-BD96-4B55-A88B-9657413E98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858" y="5666225"/>
          <a:ext cx="360000" cy="361256"/>
        </a:xfrm>
        <a:prstGeom prst="rect">
          <a:avLst/>
        </a:prstGeom>
      </xdr:spPr>
    </xdr:pic>
    <xdr:clientData/>
  </xdr:twoCellAnchor>
  <xdr:twoCellAnchor>
    <xdr:from>
      <xdr:col>0</xdr:col>
      <xdr:colOff>161729</xdr:colOff>
      <xdr:row>32</xdr:row>
      <xdr:rowOff>144696</xdr:rowOff>
    </xdr:from>
    <xdr:to>
      <xdr:col>0</xdr:col>
      <xdr:colOff>521729</xdr:colOff>
      <xdr:row>35</xdr:row>
      <xdr:rowOff>76963</xdr:rowOff>
    </xdr:to>
    <xdr:pic>
      <xdr:nvPicPr>
        <xdr:cNvPr id="18" name="Kuva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7F6A351D-0846-441B-9FFA-F8CA90E69D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729" y="5277729"/>
          <a:ext cx="360000" cy="371882"/>
        </a:xfrm>
        <a:prstGeom prst="rect">
          <a:avLst/>
        </a:prstGeom>
      </xdr:spPr>
    </xdr:pic>
    <xdr:clientData/>
  </xdr:twoCellAnchor>
  <xdr:twoCellAnchor>
    <xdr:from>
      <xdr:col>0</xdr:col>
      <xdr:colOff>167130</xdr:colOff>
      <xdr:row>30</xdr:row>
      <xdr:rowOff>67406</xdr:rowOff>
    </xdr:from>
    <xdr:to>
      <xdr:col>0</xdr:col>
      <xdr:colOff>527130</xdr:colOff>
      <xdr:row>32</xdr:row>
      <xdr:rowOff>145319</xdr:rowOff>
    </xdr:to>
    <xdr:pic>
      <xdr:nvPicPr>
        <xdr:cNvPr id="19" name="Kuva 1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7AA2B1D-594A-44F7-B56E-EBEE1FB24D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30" y="4907362"/>
          <a:ext cx="360000" cy="370990"/>
        </a:xfrm>
        <a:prstGeom prst="rect">
          <a:avLst/>
        </a:prstGeom>
      </xdr:spPr>
    </xdr:pic>
    <xdr:clientData/>
  </xdr:twoCellAnchor>
  <xdr:twoCellAnchor>
    <xdr:from>
      <xdr:col>0</xdr:col>
      <xdr:colOff>167869</xdr:colOff>
      <xdr:row>27</xdr:row>
      <xdr:rowOff>134685</xdr:rowOff>
    </xdr:from>
    <xdr:to>
      <xdr:col>0</xdr:col>
      <xdr:colOff>527869</xdr:colOff>
      <xdr:row>30</xdr:row>
      <xdr:rowOff>61978</xdr:rowOff>
    </xdr:to>
    <xdr:pic>
      <xdr:nvPicPr>
        <xdr:cNvPr id="20" name="Kuva 19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5F7C226-326B-4A7B-BFD1-31D94F169E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869" y="4527071"/>
          <a:ext cx="360000" cy="368164"/>
        </a:xfrm>
        <a:prstGeom prst="rect">
          <a:avLst/>
        </a:prstGeom>
      </xdr:spPr>
    </xdr:pic>
    <xdr:clientData/>
  </xdr:twoCellAnchor>
  <xdr:twoCellAnchor>
    <xdr:from>
      <xdr:col>0</xdr:col>
      <xdr:colOff>160880</xdr:colOff>
      <xdr:row>25</xdr:row>
      <xdr:rowOff>58930</xdr:rowOff>
    </xdr:from>
    <xdr:to>
      <xdr:col>0</xdr:col>
      <xdr:colOff>520880</xdr:colOff>
      <xdr:row>27</xdr:row>
      <xdr:rowOff>133179</xdr:rowOff>
    </xdr:to>
    <xdr:pic>
      <xdr:nvPicPr>
        <xdr:cNvPr id="21" name="Kuva 20">
          <a:extLst>
            <a:ext uri="{FF2B5EF4-FFF2-40B4-BE49-F238E27FC236}">
              <a16:creationId xmlns:a16="http://schemas.microsoft.com/office/drawing/2014/main" id="{4F51FA2E-D15D-4BA5-9BA1-417237CCC4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80" y="4157401"/>
          <a:ext cx="360000" cy="368164"/>
        </a:xfrm>
        <a:prstGeom prst="rect">
          <a:avLst/>
        </a:prstGeom>
      </xdr:spPr>
    </xdr:pic>
    <xdr:clientData/>
  </xdr:twoCellAnchor>
  <xdr:twoCellAnchor>
    <xdr:from>
      <xdr:col>0</xdr:col>
      <xdr:colOff>168983</xdr:colOff>
      <xdr:row>22</xdr:row>
      <xdr:rowOff>146565</xdr:rowOff>
    </xdr:from>
    <xdr:to>
      <xdr:col>0</xdr:col>
      <xdr:colOff>528983</xdr:colOff>
      <xdr:row>25</xdr:row>
      <xdr:rowOff>54808</xdr:rowOff>
    </xdr:to>
    <xdr:pic>
      <xdr:nvPicPr>
        <xdr:cNvPr id="22" name="Kuva 21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D053A9F9-8B3A-48FC-8F45-8D368E88DF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983" y="3793279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167370</xdr:colOff>
      <xdr:row>21</xdr:row>
      <xdr:rowOff>5733</xdr:rowOff>
    </xdr:from>
    <xdr:to>
      <xdr:col>0</xdr:col>
      <xdr:colOff>527370</xdr:colOff>
      <xdr:row>22</xdr:row>
      <xdr:rowOff>137133</xdr:rowOff>
    </xdr:to>
    <xdr:pic>
      <xdr:nvPicPr>
        <xdr:cNvPr id="23" name="Kuva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4F05256-763C-4865-A9AE-7597F0923B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70" y="3423847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174690</xdr:colOff>
      <xdr:row>18</xdr:row>
      <xdr:rowOff>166008</xdr:rowOff>
    </xdr:from>
    <xdr:to>
      <xdr:col>0</xdr:col>
      <xdr:colOff>534690</xdr:colOff>
      <xdr:row>20</xdr:row>
      <xdr:rowOff>145008</xdr:rowOff>
    </xdr:to>
    <xdr:pic>
      <xdr:nvPicPr>
        <xdr:cNvPr id="24" name="Kuva 2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A3B2C25-BF65-4ACF-B6B8-1B063C3423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90" y="3056165"/>
          <a:ext cx="360000" cy="36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2609851</xdr:colOff>
      <xdr:row>11</xdr:row>
      <xdr:rowOff>27215</xdr:rowOff>
    </xdr:from>
    <xdr:to>
      <xdr:col>4</xdr:col>
      <xdr:colOff>420461</xdr:colOff>
      <xdr:row>44</xdr:row>
      <xdr:rowOff>4353</xdr:rowOff>
    </xdr:to>
    <xdr:sp macro="" textlink="">
      <xdr:nvSpPr>
        <xdr:cNvPr id="3" name="Tekstiruutu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3518808" y="2106386"/>
          <a:ext cx="1141639" cy="5724796"/>
        </a:xfrm>
        <a:prstGeom prst="rect">
          <a:avLst/>
        </a:prstGeom>
        <a:solidFill>
          <a:srgbClr val="FFC000">
            <a:alpha val="70000"/>
          </a:srgb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rIns="72000" bIns="0" rtlCol="0" anchor="ctr"/>
        <a:lstStyle/>
        <a:p>
          <a:r>
            <a:rPr lang="fi-FI" sz="9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Toteutuneen tilikauden henkilöstökuluja ei tarvitse eritellä. Henkilöstökulut ovat yhtenä</a:t>
          </a: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summana taulukossa</a:t>
          </a:r>
          <a:b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2. T2 TULOSSUUN-NITELMA.</a:t>
          </a:r>
          <a:endParaRPr lang="fi-FI" sz="9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 fPrintsWithSheet="0"/>
  </xdr:twoCellAnchor>
  <xdr:twoCellAnchor>
    <xdr:from>
      <xdr:col>1</xdr:col>
      <xdr:colOff>1270</xdr:colOff>
      <xdr:row>125</xdr:row>
      <xdr:rowOff>30933</xdr:rowOff>
    </xdr:from>
    <xdr:to>
      <xdr:col>5</xdr:col>
      <xdr:colOff>517071</xdr:colOff>
      <xdr:row>126</xdr:row>
      <xdr:rowOff>138157</xdr:rowOff>
    </xdr:to>
    <xdr:sp macro="" textlink="">
      <xdr:nvSpPr>
        <xdr:cNvPr id="4" name="Pyöristetty suorakulmi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08841" y="22058176"/>
          <a:ext cx="4478201" cy="265067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D124 = SOLU 2. T2 TULOSSUUNNITELMA G18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167507</xdr:colOff>
      <xdr:row>112</xdr:row>
      <xdr:rowOff>47630</xdr:rowOff>
    </xdr:from>
    <xdr:to>
      <xdr:col>0</xdr:col>
      <xdr:colOff>582665</xdr:colOff>
      <xdr:row>115</xdr:row>
      <xdr:rowOff>4931</xdr:rowOff>
    </xdr:to>
    <xdr:pic>
      <xdr:nvPicPr>
        <xdr:cNvPr id="48" name="Kuva 47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3830F7-E08E-462B-AB4F-9F2E73EC1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67507" y="17125955"/>
          <a:ext cx="415158" cy="414501"/>
        </a:xfrm>
        <a:prstGeom prst="rect">
          <a:avLst/>
        </a:prstGeom>
      </xdr:spPr>
    </xdr:pic>
    <xdr:clientData/>
  </xdr:twoCellAnchor>
  <xdr:twoCellAnchor>
    <xdr:from>
      <xdr:col>0</xdr:col>
      <xdr:colOff>135553</xdr:colOff>
      <xdr:row>52</xdr:row>
      <xdr:rowOff>74468</xdr:rowOff>
    </xdr:from>
    <xdr:to>
      <xdr:col>0</xdr:col>
      <xdr:colOff>550711</xdr:colOff>
      <xdr:row>55</xdr:row>
      <xdr:rowOff>473</xdr:rowOff>
    </xdr:to>
    <xdr:pic>
      <xdr:nvPicPr>
        <xdr:cNvPr id="60" name="Kuva 59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126744-7D8D-4866-A58D-D6AF8D093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35553" y="9229729"/>
          <a:ext cx="415158" cy="444015"/>
        </a:xfrm>
        <a:prstGeom prst="rect">
          <a:avLst/>
        </a:prstGeom>
      </xdr:spPr>
    </xdr:pic>
    <xdr:clientData/>
  </xdr:twoCellAnchor>
  <xdr:twoCellAnchor>
    <xdr:from>
      <xdr:col>0</xdr:col>
      <xdr:colOff>177691</xdr:colOff>
      <xdr:row>50</xdr:row>
      <xdr:rowOff>50260</xdr:rowOff>
    </xdr:from>
    <xdr:to>
      <xdr:col>0</xdr:col>
      <xdr:colOff>537691</xdr:colOff>
      <xdr:row>52</xdr:row>
      <xdr:rowOff>60416</xdr:rowOff>
    </xdr:to>
    <xdr:pic>
      <xdr:nvPicPr>
        <xdr:cNvPr id="62" name="Kuva 6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6C49982-BE68-4003-B1C5-395E73F8D3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91" y="8860181"/>
          <a:ext cx="360000" cy="355496"/>
        </a:xfrm>
        <a:prstGeom prst="rect">
          <a:avLst/>
        </a:prstGeom>
      </xdr:spPr>
    </xdr:pic>
    <xdr:clientData/>
  </xdr:twoCellAnchor>
  <xdr:twoCellAnchor>
    <xdr:from>
      <xdr:col>0</xdr:col>
      <xdr:colOff>173659</xdr:colOff>
      <xdr:row>48</xdr:row>
      <xdr:rowOff>4045</xdr:rowOff>
    </xdr:from>
    <xdr:to>
      <xdr:col>0</xdr:col>
      <xdr:colOff>533659</xdr:colOff>
      <xdr:row>50</xdr:row>
      <xdr:rowOff>15701</xdr:rowOff>
    </xdr:to>
    <xdr:pic>
      <xdr:nvPicPr>
        <xdr:cNvPr id="63" name="Kuva 6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6547DC0-3736-4071-8345-819B3613F3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59" y="8468626"/>
          <a:ext cx="360000" cy="356996"/>
        </a:xfrm>
        <a:prstGeom prst="rect">
          <a:avLst/>
        </a:prstGeom>
      </xdr:spPr>
    </xdr:pic>
    <xdr:clientData/>
  </xdr:twoCellAnchor>
  <xdr:twoCellAnchor>
    <xdr:from>
      <xdr:col>0</xdr:col>
      <xdr:colOff>177495</xdr:colOff>
      <xdr:row>45</xdr:row>
      <xdr:rowOff>122592</xdr:rowOff>
    </xdr:from>
    <xdr:to>
      <xdr:col>0</xdr:col>
      <xdr:colOff>537495</xdr:colOff>
      <xdr:row>47</xdr:row>
      <xdr:rowOff>134250</xdr:rowOff>
    </xdr:to>
    <xdr:pic>
      <xdr:nvPicPr>
        <xdr:cNvPr id="64" name="Kuva 6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3F1EACF-90C3-4943-89C2-7D3055E892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95" y="8069164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171776</xdr:colOff>
      <xdr:row>43</xdr:row>
      <xdr:rowOff>78158</xdr:rowOff>
    </xdr:from>
    <xdr:to>
      <xdr:col>0</xdr:col>
      <xdr:colOff>531776</xdr:colOff>
      <xdr:row>45</xdr:row>
      <xdr:rowOff>89815</xdr:rowOff>
    </xdr:to>
    <xdr:pic>
      <xdr:nvPicPr>
        <xdr:cNvPr id="65" name="Kuva 6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6CEC3E7-FDAC-4A88-9075-92DF367F4C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76" y="767939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167939</xdr:colOff>
      <xdr:row>41</xdr:row>
      <xdr:rowOff>38116</xdr:rowOff>
    </xdr:from>
    <xdr:to>
      <xdr:col>0</xdr:col>
      <xdr:colOff>527939</xdr:colOff>
      <xdr:row>43</xdr:row>
      <xdr:rowOff>49773</xdr:rowOff>
    </xdr:to>
    <xdr:pic>
      <xdr:nvPicPr>
        <xdr:cNvPr id="66" name="Kuva 65">
          <a:extLst>
            <a:ext uri="{FF2B5EF4-FFF2-40B4-BE49-F238E27FC236}">
              <a16:creationId xmlns:a16="http://schemas.microsoft.com/office/drawing/2014/main" id="{64E990D2-62FE-40A3-9237-D5FC83444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39" y="7294008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171581</xdr:colOff>
      <xdr:row>38</xdr:row>
      <xdr:rowOff>165418</xdr:rowOff>
    </xdr:from>
    <xdr:to>
      <xdr:col>0</xdr:col>
      <xdr:colOff>531581</xdr:colOff>
      <xdr:row>41</xdr:row>
      <xdr:rowOff>4405</xdr:rowOff>
    </xdr:to>
    <xdr:pic>
      <xdr:nvPicPr>
        <xdr:cNvPr id="67" name="Kuva 6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73AFC70-A66D-4DD1-90C0-65A7DC842B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581" y="690330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173160</xdr:colOff>
      <xdr:row>36</xdr:row>
      <xdr:rowOff>118319</xdr:rowOff>
    </xdr:from>
    <xdr:to>
      <xdr:col>0</xdr:col>
      <xdr:colOff>533160</xdr:colOff>
      <xdr:row>38</xdr:row>
      <xdr:rowOff>129976</xdr:rowOff>
    </xdr:to>
    <xdr:pic>
      <xdr:nvPicPr>
        <xdr:cNvPr id="68" name="Kuva 6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18ECAD20-0D0F-4E6E-A38D-9A3CB64542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60" y="6510861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174946</xdr:colOff>
      <xdr:row>34</xdr:row>
      <xdr:rowOff>76140</xdr:rowOff>
    </xdr:from>
    <xdr:to>
      <xdr:col>0</xdr:col>
      <xdr:colOff>534946</xdr:colOff>
      <xdr:row>36</xdr:row>
      <xdr:rowOff>87797</xdr:rowOff>
    </xdr:to>
    <xdr:pic>
      <xdr:nvPicPr>
        <xdr:cNvPr id="69" name="Kuva 6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9A75043-33A4-4CD7-A5AD-B3E101E27F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946" y="6123342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180600</xdr:colOff>
      <xdr:row>32</xdr:row>
      <xdr:rowOff>32281</xdr:rowOff>
    </xdr:from>
    <xdr:to>
      <xdr:col>0</xdr:col>
      <xdr:colOff>540600</xdr:colOff>
      <xdr:row>34</xdr:row>
      <xdr:rowOff>43939</xdr:rowOff>
    </xdr:to>
    <xdr:pic>
      <xdr:nvPicPr>
        <xdr:cNvPr id="70" name="Kuva 6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BE8E66D-3B87-4AEF-BA64-F267068C84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600" y="5734143"/>
          <a:ext cx="360000" cy="356998"/>
        </a:xfrm>
        <a:prstGeom prst="rect">
          <a:avLst/>
        </a:prstGeom>
      </xdr:spPr>
    </xdr:pic>
    <xdr:clientData/>
  </xdr:twoCellAnchor>
  <xdr:twoCellAnchor>
    <xdr:from>
      <xdr:col>0</xdr:col>
      <xdr:colOff>169350</xdr:colOff>
      <xdr:row>109</xdr:row>
      <xdr:rowOff>24147</xdr:rowOff>
    </xdr:from>
    <xdr:to>
      <xdr:col>0</xdr:col>
      <xdr:colOff>582872</xdr:colOff>
      <xdr:row>111</xdr:row>
      <xdr:rowOff>118338</xdr:rowOff>
    </xdr:to>
    <xdr:pic>
      <xdr:nvPicPr>
        <xdr:cNvPr id="71" name="Kuva 70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763A6A0C-58EE-4A3F-9041-913398FFA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50" y="8139447"/>
          <a:ext cx="413522" cy="39899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106</xdr:row>
      <xdr:rowOff>77850</xdr:rowOff>
    </xdr:from>
    <xdr:to>
      <xdr:col>0</xdr:col>
      <xdr:colOff>574209</xdr:colOff>
      <xdr:row>109</xdr:row>
      <xdr:rowOff>19081</xdr:rowOff>
    </xdr:to>
    <xdr:pic>
      <xdr:nvPicPr>
        <xdr:cNvPr id="72" name="Kuva 7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D854FF75-A676-4FB2-BE2B-D8BD018F8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7726425"/>
          <a:ext cx="412284" cy="407956"/>
        </a:xfrm>
        <a:prstGeom prst="rect">
          <a:avLst/>
        </a:prstGeom>
      </xdr:spPr>
    </xdr:pic>
    <xdr:clientData/>
  </xdr:twoCellAnchor>
  <xdr:twoCellAnchor>
    <xdr:from>
      <xdr:col>0</xdr:col>
      <xdr:colOff>163712</xdr:colOff>
      <xdr:row>103</xdr:row>
      <xdr:rowOff>142930</xdr:rowOff>
    </xdr:from>
    <xdr:to>
      <xdr:col>0</xdr:col>
      <xdr:colOff>568949</xdr:colOff>
      <xdr:row>106</xdr:row>
      <xdr:rowOff>80302</xdr:rowOff>
    </xdr:to>
    <xdr:pic>
      <xdr:nvPicPr>
        <xdr:cNvPr id="73" name="Kuva 72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F60D83D5-4445-4B2D-B493-B591626E4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12" y="7334305"/>
          <a:ext cx="405237" cy="394572"/>
        </a:xfrm>
        <a:prstGeom prst="rect">
          <a:avLst/>
        </a:prstGeom>
      </xdr:spPr>
    </xdr:pic>
    <xdr:clientData/>
  </xdr:twoCellAnchor>
  <xdr:twoCellAnchor>
    <xdr:from>
      <xdr:col>0</xdr:col>
      <xdr:colOff>167172</xdr:colOff>
      <xdr:row>101</xdr:row>
      <xdr:rowOff>49395</xdr:rowOff>
    </xdr:from>
    <xdr:to>
      <xdr:col>0</xdr:col>
      <xdr:colOff>579033</xdr:colOff>
      <xdr:row>103</xdr:row>
      <xdr:rowOff>143586</xdr:rowOff>
    </xdr:to>
    <xdr:pic>
      <xdr:nvPicPr>
        <xdr:cNvPr id="74" name="Kuva 7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3B0D67C-C6B3-439C-8E93-25742ADFD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72" y="6935970"/>
          <a:ext cx="411861" cy="398991"/>
        </a:xfrm>
        <a:prstGeom prst="rect">
          <a:avLst/>
        </a:prstGeom>
      </xdr:spPr>
    </xdr:pic>
    <xdr:clientData/>
  </xdr:twoCellAnchor>
  <xdr:twoCellAnchor>
    <xdr:from>
      <xdr:col>0</xdr:col>
      <xdr:colOff>174404</xdr:colOff>
      <xdr:row>98</xdr:row>
      <xdr:rowOff>103308</xdr:rowOff>
    </xdr:from>
    <xdr:to>
      <xdr:col>0</xdr:col>
      <xdr:colOff>579641</xdr:colOff>
      <xdr:row>101</xdr:row>
      <xdr:rowOff>47760</xdr:rowOff>
    </xdr:to>
    <xdr:pic>
      <xdr:nvPicPr>
        <xdr:cNvPr id="75" name="Kuva 7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B9B7F61-CC47-4563-9664-796F28B4A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04" y="6504108"/>
          <a:ext cx="405237" cy="430227"/>
        </a:xfrm>
        <a:prstGeom prst="rect">
          <a:avLst/>
        </a:prstGeom>
      </xdr:spPr>
    </xdr:pic>
    <xdr:clientData/>
  </xdr:twoCellAnchor>
  <xdr:twoCellAnchor>
    <xdr:from>
      <xdr:col>0</xdr:col>
      <xdr:colOff>172632</xdr:colOff>
      <xdr:row>96</xdr:row>
      <xdr:rowOff>3018</xdr:rowOff>
    </xdr:from>
    <xdr:to>
      <xdr:col>0</xdr:col>
      <xdr:colOff>581846</xdr:colOff>
      <xdr:row>98</xdr:row>
      <xdr:rowOff>96663</xdr:rowOff>
    </xdr:to>
    <xdr:pic>
      <xdr:nvPicPr>
        <xdr:cNvPr id="76" name="Kuva 75">
          <a:extLst>
            <a:ext uri="{FF2B5EF4-FFF2-40B4-BE49-F238E27FC236}">
              <a16:creationId xmlns:a16="http://schemas.microsoft.com/office/drawing/2014/main" id="{1AA15EC3-4D39-429C-B959-361AD20F5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632" y="6099018"/>
          <a:ext cx="409214" cy="398445"/>
        </a:xfrm>
        <a:prstGeom prst="rect">
          <a:avLst/>
        </a:prstGeom>
      </xdr:spPr>
    </xdr:pic>
    <xdr:clientData/>
  </xdr:twoCellAnchor>
  <xdr:twoCellAnchor>
    <xdr:from>
      <xdr:col>0</xdr:col>
      <xdr:colOff>168766</xdr:colOff>
      <xdr:row>93</xdr:row>
      <xdr:rowOff>69136</xdr:rowOff>
    </xdr:from>
    <xdr:to>
      <xdr:col>0</xdr:col>
      <xdr:colOff>585250</xdr:colOff>
      <xdr:row>96</xdr:row>
      <xdr:rowOff>7642</xdr:rowOff>
    </xdr:to>
    <xdr:pic>
      <xdr:nvPicPr>
        <xdr:cNvPr id="77" name="Kuva 76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9C2B0764-9AC3-4497-BA41-A7D1CBE0F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766" y="5698411"/>
          <a:ext cx="416484" cy="405231"/>
        </a:xfrm>
        <a:prstGeom prst="rect">
          <a:avLst/>
        </a:prstGeom>
      </xdr:spPr>
    </xdr:pic>
    <xdr:clientData/>
  </xdr:twoCellAnchor>
  <xdr:twoCellAnchor>
    <xdr:from>
      <xdr:col>0</xdr:col>
      <xdr:colOff>170344</xdr:colOff>
      <xdr:row>90</xdr:row>
      <xdr:rowOff>111187</xdr:rowOff>
    </xdr:from>
    <xdr:to>
      <xdr:col>0</xdr:col>
      <xdr:colOff>578818</xdr:colOff>
      <xdr:row>93</xdr:row>
      <xdr:rowOff>51711</xdr:rowOff>
    </xdr:to>
    <xdr:pic>
      <xdr:nvPicPr>
        <xdr:cNvPr id="78" name="Kuva 77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79679A0D-2C4C-461D-942E-4F854C2F4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44" y="5283262"/>
          <a:ext cx="408474" cy="397724"/>
        </a:xfrm>
        <a:prstGeom prst="rect">
          <a:avLst/>
        </a:prstGeom>
      </xdr:spPr>
    </xdr:pic>
    <xdr:clientData/>
  </xdr:twoCellAnchor>
  <xdr:twoCellAnchor>
    <xdr:from>
      <xdr:col>0</xdr:col>
      <xdr:colOff>177574</xdr:colOff>
      <xdr:row>88</xdr:row>
      <xdr:rowOff>3693</xdr:rowOff>
    </xdr:from>
    <xdr:to>
      <xdr:col>0</xdr:col>
      <xdr:colOff>589858</xdr:colOff>
      <xdr:row>90</xdr:row>
      <xdr:rowOff>97325</xdr:rowOff>
    </xdr:to>
    <xdr:pic>
      <xdr:nvPicPr>
        <xdr:cNvPr id="79" name="Kuva 7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5612D0-5321-4AE8-9270-53A29D517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574" y="48709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178772</xdr:colOff>
      <xdr:row>85</xdr:row>
      <xdr:rowOff>66675</xdr:rowOff>
    </xdr:from>
    <xdr:to>
      <xdr:col>0</xdr:col>
      <xdr:colOff>585475</xdr:colOff>
      <xdr:row>88</xdr:row>
      <xdr:rowOff>9046</xdr:rowOff>
    </xdr:to>
    <xdr:pic>
      <xdr:nvPicPr>
        <xdr:cNvPr id="80" name="Kuva 79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6F34F0-3284-4A91-937C-F89A1780A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772" y="4457700"/>
          <a:ext cx="406703" cy="418621"/>
        </a:xfrm>
        <a:prstGeom prst="rect">
          <a:avLst/>
        </a:prstGeom>
      </xdr:spPr>
    </xdr:pic>
    <xdr:clientData/>
  </xdr:twoCellAnchor>
  <xdr:twoCellAnchor editAs="oneCell">
    <xdr:from>
      <xdr:col>11</xdr:col>
      <xdr:colOff>204788</xdr:colOff>
      <xdr:row>1</xdr:row>
      <xdr:rowOff>90487</xdr:rowOff>
    </xdr:from>
    <xdr:to>
      <xdr:col>12</xdr:col>
      <xdr:colOff>364349</xdr:colOff>
      <xdr:row>3</xdr:row>
      <xdr:rowOff>59689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6DA64880-862F-4EEA-BC07-F692F927C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9638" y="252412"/>
          <a:ext cx="887271" cy="3381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630367</xdr:colOff>
      <xdr:row>85</xdr:row>
      <xdr:rowOff>59221</xdr:rowOff>
    </xdr:from>
    <xdr:to>
      <xdr:col>5</xdr:col>
      <xdr:colOff>750569</xdr:colOff>
      <xdr:row>87</xdr:row>
      <xdr:rowOff>28574</xdr:rowOff>
    </xdr:to>
    <xdr:sp macro="" textlink="">
      <xdr:nvSpPr>
        <xdr:cNvPr id="33" name="Pyöristetty suorakulmio 32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/>
      </xdr:nvSpPr>
      <xdr:spPr>
        <a:xfrm>
          <a:off x="630367" y="13117996"/>
          <a:ext cx="4997002" cy="312253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D10=SOLU G11 '2. T2 TULOSSUUNNITELMA TAULUKOSSA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176257</xdr:colOff>
      <xdr:row>56</xdr:row>
      <xdr:rowOff>29357</xdr:rowOff>
    </xdr:from>
    <xdr:to>
      <xdr:col>0</xdr:col>
      <xdr:colOff>536257</xdr:colOff>
      <xdr:row>58</xdr:row>
      <xdr:rowOff>120557</xdr:rowOff>
    </xdr:to>
    <xdr:pic>
      <xdr:nvPicPr>
        <xdr:cNvPr id="47" name="Kuva 46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56D6ED-4667-4CF5-B1F3-DB5D5240AE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76257" y="7758214"/>
          <a:ext cx="360000" cy="396000"/>
        </a:xfrm>
        <a:prstGeom prst="rect">
          <a:avLst/>
        </a:prstGeom>
      </xdr:spPr>
    </xdr:pic>
    <xdr:clientData/>
  </xdr:twoCellAnchor>
  <xdr:twoCellAnchor>
    <xdr:from>
      <xdr:col>0</xdr:col>
      <xdr:colOff>166006</xdr:colOff>
      <xdr:row>53</xdr:row>
      <xdr:rowOff>99234</xdr:rowOff>
    </xdr:from>
    <xdr:to>
      <xdr:col>0</xdr:col>
      <xdr:colOff>526006</xdr:colOff>
      <xdr:row>56</xdr:row>
      <xdr:rowOff>2034</xdr:rowOff>
    </xdr:to>
    <xdr:pic>
      <xdr:nvPicPr>
        <xdr:cNvPr id="17" name="Kuva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8B20AF1-B756-4A99-A140-60E47BF1A06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006" y="7370891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169349</xdr:colOff>
      <xdr:row>51</xdr:row>
      <xdr:rowOff>9579</xdr:rowOff>
    </xdr:from>
    <xdr:to>
      <xdr:col>0</xdr:col>
      <xdr:colOff>529349</xdr:colOff>
      <xdr:row>53</xdr:row>
      <xdr:rowOff>62679</xdr:rowOff>
    </xdr:to>
    <xdr:pic>
      <xdr:nvPicPr>
        <xdr:cNvPr id="18" name="Kuva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F203AD6-8779-4DAB-A4F5-CC119F8196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49" y="6976436"/>
          <a:ext cx="360000" cy="357900"/>
        </a:xfrm>
        <a:prstGeom prst="rect">
          <a:avLst/>
        </a:prstGeom>
      </xdr:spPr>
    </xdr:pic>
    <xdr:clientData/>
  </xdr:twoCellAnchor>
  <xdr:twoCellAnchor>
    <xdr:from>
      <xdr:col>0</xdr:col>
      <xdr:colOff>164256</xdr:colOff>
      <xdr:row>48</xdr:row>
      <xdr:rowOff>64947</xdr:rowOff>
    </xdr:from>
    <xdr:to>
      <xdr:col>0</xdr:col>
      <xdr:colOff>524256</xdr:colOff>
      <xdr:row>50</xdr:row>
      <xdr:rowOff>120147</xdr:rowOff>
    </xdr:to>
    <xdr:pic>
      <xdr:nvPicPr>
        <xdr:cNvPr id="19" name="Kuva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12917B-B9B9-4E4C-B994-EAA1D0E175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256" y="6574604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148161</xdr:colOff>
      <xdr:row>45</xdr:row>
      <xdr:rowOff>123954</xdr:rowOff>
    </xdr:from>
    <xdr:to>
      <xdr:col>0</xdr:col>
      <xdr:colOff>544161</xdr:colOff>
      <xdr:row>48</xdr:row>
      <xdr:rowOff>26754</xdr:rowOff>
    </xdr:to>
    <xdr:pic>
      <xdr:nvPicPr>
        <xdr:cNvPr id="20" name="Kuva 19">
          <a:extLst>
            <a:ext uri="{FF2B5EF4-FFF2-40B4-BE49-F238E27FC236}">
              <a16:creationId xmlns:a16="http://schemas.microsoft.com/office/drawing/2014/main" id="{5C1DCA4E-009E-4DA9-A630-CE966DBD0A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161" y="6176411"/>
          <a:ext cx="396000" cy="360000"/>
        </a:xfrm>
        <a:prstGeom prst="rect">
          <a:avLst/>
        </a:prstGeom>
      </xdr:spPr>
    </xdr:pic>
    <xdr:clientData/>
  </xdr:twoCellAnchor>
  <xdr:twoCellAnchor>
    <xdr:from>
      <xdr:col>0</xdr:col>
      <xdr:colOff>169010</xdr:colOff>
      <xdr:row>43</xdr:row>
      <xdr:rowOff>28356</xdr:rowOff>
    </xdr:from>
    <xdr:to>
      <xdr:col>0</xdr:col>
      <xdr:colOff>529010</xdr:colOff>
      <xdr:row>45</xdr:row>
      <xdr:rowOff>86395</xdr:rowOff>
    </xdr:to>
    <xdr:pic>
      <xdr:nvPicPr>
        <xdr:cNvPr id="21" name="Kuva 2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18AB3B1-F4E8-4986-AF80-72B6DE7B49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10" y="5776013"/>
          <a:ext cx="360000" cy="362839"/>
        </a:xfrm>
        <a:prstGeom prst="rect">
          <a:avLst/>
        </a:prstGeom>
      </xdr:spPr>
    </xdr:pic>
    <xdr:clientData/>
  </xdr:twoCellAnchor>
  <xdr:twoCellAnchor>
    <xdr:from>
      <xdr:col>0</xdr:col>
      <xdr:colOff>169806</xdr:colOff>
      <xdr:row>40</xdr:row>
      <xdr:rowOff>84151</xdr:rowOff>
    </xdr:from>
    <xdr:to>
      <xdr:col>0</xdr:col>
      <xdr:colOff>529806</xdr:colOff>
      <xdr:row>42</xdr:row>
      <xdr:rowOff>141245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0A3A462-7EC4-4DEE-B341-4BB7ED80A8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806" y="5374608"/>
          <a:ext cx="360000" cy="361894"/>
        </a:xfrm>
        <a:prstGeom prst="rect">
          <a:avLst/>
        </a:prstGeom>
      </xdr:spPr>
    </xdr:pic>
    <xdr:clientData/>
  </xdr:twoCellAnchor>
  <xdr:twoCellAnchor>
    <xdr:from>
      <xdr:col>0</xdr:col>
      <xdr:colOff>171384</xdr:colOff>
      <xdr:row>37</xdr:row>
      <xdr:rowOff>136796</xdr:rowOff>
    </xdr:from>
    <xdr:to>
      <xdr:col>0</xdr:col>
      <xdr:colOff>531384</xdr:colOff>
      <xdr:row>40</xdr:row>
      <xdr:rowOff>37496</xdr:rowOff>
    </xdr:to>
    <xdr:pic>
      <xdr:nvPicPr>
        <xdr:cNvPr id="23" name="Kuva 2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49AA96EC-89D9-455D-8688-24C3A7B9D6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384" y="4970053"/>
          <a:ext cx="360000" cy="357900"/>
        </a:xfrm>
        <a:prstGeom prst="rect">
          <a:avLst/>
        </a:prstGeom>
      </xdr:spPr>
    </xdr:pic>
    <xdr:clientData/>
  </xdr:twoCellAnchor>
  <xdr:twoCellAnchor>
    <xdr:from>
      <xdr:col>0</xdr:col>
      <xdr:colOff>173880</xdr:colOff>
      <xdr:row>35</xdr:row>
      <xdr:rowOff>38682</xdr:rowOff>
    </xdr:from>
    <xdr:to>
      <xdr:col>0</xdr:col>
      <xdr:colOff>533880</xdr:colOff>
      <xdr:row>37</xdr:row>
      <xdr:rowOff>96722</xdr:rowOff>
    </xdr:to>
    <xdr:pic>
      <xdr:nvPicPr>
        <xdr:cNvPr id="24" name="Kuva 2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E14B7EF-76A0-472B-9FC5-7D387F5596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880" y="4567139"/>
          <a:ext cx="360000" cy="362840"/>
        </a:xfrm>
        <a:prstGeom prst="rect">
          <a:avLst/>
        </a:prstGeom>
      </xdr:spPr>
    </xdr:pic>
    <xdr:clientData/>
  </xdr:twoCellAnchor>
  <xdr:twoCellAnchor>
    <xdr:from>
      <xdr:col>0</xdr:col>
      <xdr:colOff>164970</xdr:colOff>
      <xdr:row>32</xdr:row>
      <xdr:rowOff>97971</xdr:rowOff>
    </xdr:from>
    <xdr:to>
      <xdr:col>0</xdr:col>
      <xdr:colOff>536212</xdr:colOff>
      <xdr:row>34</xdr:row>
      <xdr:rowOff>150168</xdr:rowOff>
    </xdr:to>
    <xdr:pic>
      <xdr:nvPicPr>
        <xdr:cNvPr id="25" name="Kuva 2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7D55026C-EA09-4F3A-8254-8F69E7F25C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970" y="4169228"/>
          <a:ext cx="371242" cy="356997"/>
        </a:xfrm>
        <a:prstGeom prst="rect">
          <a:avLst/>
        </a:prstGeom>
      </xdr:spPr>
    </xdr:pic>
    <xdr:clientData/>
  </xdr:twoCellAnchor>
  <xdr:twoCellAnchor editAs="oneCell">
    <xdr:from>
      <xdr:col>6</xdr:col>
      <xdr:colOff>770282</xdr:colOff>
      <xdr:row>1</xdr:row>
      <xdr:rowOff>54403</xdr:rowOff>
    </xdr:from>
    <xdr:to>
      <xdr:col>7</xdr:col>
      <xdr:colOff>820251</xdr:colOff>
      <xdr:row>3</xdr:row>
      <xdr:rowOff>54112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F459E67-8351-4314-B104-96A3C0927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4967" y="215914"/>
          <a:ext cx="993913" cy="3787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155640</xdr:colOff>
      <xdr:row>20</xdr:row>
      <xdr:rowOff>76200</xdr:rowOff>
    </xdr:from>
    <xdr:to>
      <xdr:col>0</xdr:col>
      <xdr:colOff>515640</xdr:colOff>
      <xdr:row>22</xdr:row>
      <xdr:rowOff>98368</xdr:rowOff>
    </xdr:to>
    <xdr:pic>
      <xdr:nvPicPr>
        <xdr:cNvPr id="101" name="Kuva 10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5C7E7D-7134-486F-83CF-CD27B9A719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640" y="3315639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116411</xdr:colOff>
      <xdr:row>42</xdr:row>
      <xdr:rowOff>153015</xdr:rowOff>
    </xdr:from>
    <xdr:to>
      <xdr:col>0</xdr:col>
      <xdr:colOff>531569</xdr:colOff>
      <xdr:row>45</xdr:row>
      <xdr:rowOff>95301</xdr:rowOff>
    </xdr:to>
    <xdr:pic>
      <xdr:nvPicPr>
        <xdr:cNvPr id="91" name="Kuva 90" descr="Tulosti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3FAFA4F-0F94-48C2-8F06-33262F9F1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16411" y="6883389"/>
          <a:ext cx="415158" cy="430266"/>
        </a:xfrm>
        <a:prstGeom prst="rect">
          <a:avLst/>
        </a:prstGeom>
      </xdr:spPr>
    </xdr:pic>
    <xdr:clientData/>
  </xdr:twoCellAnchor>
  <xdr:twoCellAnchor>
    <xdr:from>
      <xdr:col>0</xdr:col>
      <xdr:colOff>159430</xdr:colOff>
      <xdr:row>35</xdr:row>
      <xdr:rowOff>95941</xdr:rowOff>
    </xdr:from>
    <xdr:to>
      <xdr:col>0</xdr:col>
      <xdr:colOff>519430</xdr:colOff>
      <xdr:row>37</xdr:row>
      <xdr:rowOff>140630</xdr:rowOff>
    </xdr:to>
    <xdr:pic>
      <xdr:nvPicPr>
        <xdr:cNvPr id="95" name="Kuva 9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4ABFE14-8321-4E51-815A-925DA03888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430" y="5722729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159450</xdr:colOff>
      <xdr:row>30</xdr:row>
      <xdr:rowOff>82838</xdr:rowOff>
    </xdr:from>
    <xdr:to>
      <xdr:col>0</xdr:col>
      <xdr:colOff>519450</xdr:colOff>
      <xdr:row>32</xdr:row>
      <xdr:rowOff>127527</xdr:rowOff>
    </xdr:to>
    <xdr:pic>
      <xdr:nvPicPr>
        <xdr:cNvPr id="97" name="Kuva 9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CFC43C9E-8D3F-4DC4-BC7D-E5606F2451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450" y="4921350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162713</xdr:colOff>
      <xdr:row>27</xdr:row>
      <xdr:rowOff>153499</xdr:rowOff>
    </xdr:from>
    <xdr:to>
      <xdr:col>0</xdr:col>
      <xdr:colOff>522713</xdr:colOff>
      <xdr:row>30</xdr:row>
      <xdr:rowOff>40534</xdr:rowOff>
    </xdr:to>
    <xdr:pic>
      <xdr:nvPicPr>
        <xdr:cNvPr id="98" name="Kuva 9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9F1BF6C-A806-442A-88D3-EB340EDDDD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713" y="4519046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156784</xdr:colOff>
      <xdr:row>25</xdr:row>
      <xdr:rowOff>61544</xdr:rowOff>
    </xdr:from>
    <xdr:to>
      <xdr:col>0</xdr:col>
      <xdr:colOff>516784</xdr:colOff>
      <xdr:row>27</xdr:row>
      <xdr:rowOff>106234</xdr:rowOff>
    </xdr:to>
    <xdr:pic>
      <xdr:nvPicPr>
        <xdr:cNvPr id="99" name="Kuva 98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F71669D-44FA-47FA-8B2D-738D14E13C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784" y="4111781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164014</xdr:colOff>
      <xdr:row>22</xdr:row>
      <xdr:rowOff>137325</xdr:rowOff>
    </xdr:from>
    <xdr:to>
      <xdr:col>0</xdr:col>
      <xdr:colOff>524014</xdr:colOff>
      <xdr:row>25</xdr:row>
      <xdr:rowOff>24359</xdr:rowOff>
    </xdr:to>
    <xdr:pic>
      <xdr:nvPicPr>
        <xdr:cNvPr id="100" name="Kuva 9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BA8DD8A-1617-4717-9E73-F851070614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014" y="3714596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160281</xdr:colOff>
      <xdr:row>33</xdr:row>
      <xdr:rowOff>10651</xdr:rowOff>
    </xdr:from>
    <xdr:to>
      <xdr:col>0</xdr:col>
      <xdr:colOff>520281</xdr:colOff>
      <xdr:row>35</xdr:row>
      <xdr:rowOff>55341</xdr:rowOff>
    </xdr:to>
    <xdr:pic>
      <xdr:nvPicPr>
        <xdr:cNvPr id="102" name="Kuva 10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A02CA0AF-F1BD-4356-AAB3-1FC349C755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81" y="532212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9</xdr:col>
      <xdr:colOff>538163</xdr:colOff>
      <xdr:row>1</xdr:row>
      <xdr:rowOff>73106</xdr:rowOff>
    </xdr:from>
    <xdr:to>
      <xdr:col>10</xdr:col>
      <xdr:colOff>704215</xdr:colOff>
      <xdr:row>4</xdr:row>
      <xdr:rowOff>93661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8AB390A5-B2EF-4A99-A0D7-6CBF2ECB7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6613" y="235031"/>
          <a:ext cx="995362" cy="379330"/>
        </a:xfrm>
        <a:prstGeom prst="rect">
          <a:avLst/>
        </a:prstGeom>
      </xdr:spPr>
    </xdr:pic>
    <xdr:clientData/>
  </xdr:twoCellAnchor>
  <xdr:twoCellAnchor editAs="oneCell">
    <xdr:from>
      <xdr:col>19</xdr:col>
      <xdr:colOff>557212</xdr:colOff>
      <xdr:row>1</xdr:row>
      <xdr:rowOff>128587</xdr:rowOff>
    </xdr:from>
    <xdr:to>
      <xdr:col>20</xdr:col>
      <xdr:colOff>743584</xdr:colOff>
      <xdr:row>5</xdr:row>
      <xdr:rowOff>41192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3F84929A-AAB3-475B-8271-3BDF09E84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7" y="290512"/>
          <a:ext cx="995362" cy="379330"/>
        </a:xfrm>
        <a:prstGeom prst="rect">
          <a:avLst/>
        </a:prstGeom>
      </xdr:spPr>
    </xdr:pic>
    <xdr:clientData/>
  </xdr:twoCellAnchor>
  <xdr:twoCellAnchor editAs="oneCell">
    <xdr:from>
      <xdr:col>0</xdr:col>
      <xdr:colOff>153902</xdr:colOff>
      <xdr:row>38</xdr:row>
      <xdr:rowOff>11260</xdr:rowOff>
    </xdr:from>
    <xdr:to>
      <xdr:col>0</xdr:col>
      <xdr:colOff>513902</xdr:colOff>
      <xdr:row>40</xdr:row>
      <xdr:rowOff>55950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0D9B919A-D441-DEB1-62ED-62F95349C9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902" y="611101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146404</xdr:colOff>
      <xdr:row>40</xdr:row>
      <xdr:rowOff>82581</xdr:rowOff>
    </xdr:from>
    <xdr:to>
      <xdr:col>0</xdr:col>
      <xdr:colOff>516133</xdr:colOff>
      <xdr:row>42</xdr:row>
      <xdr:rowOff>134891</xdr:rowOff>
    </xdr:to>
    <xdr:pic>
      <xdr:nvPicPr>
        <xdr:cNvPr id="9" name="Kuva 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ED7C53E2-A07C-4DC5-B003-1E9F6BAC5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404" y="6497645"/>
          <a:ext cx="369729" cy="36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ysClr val="window" lastClr="FFFFFF"/>
        </a:solidFill>
      </a:spPr>
      <a:bodyPr vertOverflow="clip" horzOverflow="clip" rtlCol="0" anchor="ctr"/>
      <a:lstStyle>
        <a:defPPr algn="ctr">
          <a:defRPr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8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ul2">
    <tabColor rgb="FFFFC000"/>
  </sheetPr>
  <dimension ref="B1:Q61"/>
  <sheetViews>
    <sheetView showGridLines="0" tabSelected="1" zoomScaleNormal="100" workbookViewId="0">
      <selection activeCell="O13" sqref="O13"/>
    </sheetView>
  </sheetViews>
  <sheetFormatPr defaultRowHeight="12.45"/>
  <cols>
    <col min="1" max="1" width="3.69140625" customWidth="1"/>
    <col min="2" max="2" width="9.07421875" style="38" customWidth="1"/>
    <col min="3" max="3" width="2.53515625" style="38" customWidth="1"/>
    <col min="4" max="4" width="36.53515625" customWidth="1"/>
    <col min="5" max="5" width="2.84375" customWidth="1"/>
    <col min="6" max="6" width="41.84375" customWidth="1"/>
    <col min="7" max="7" width="4.3046875" customWidth="1"/>
    <col min="8" max="9" width="7.3046875" customWidth="1"/>
    <col min="12" max="12" width="10" customWidth="1"/>
  </cols>
  <sheetData>
    <row r="1" spans="2:17" ht="12.75" customHeight="1">
      <c r="I1" s="83"/>
    </row>
    <row r="2" spans="2:17" ht="12.75" customHeight="1">
      <c r="H2" s="1738"/>
      <c r="I2" s="1738"/>
    </row>
    <row r="3" spans="2:17" ht="14.15">
      <c r="D3" s="1747" t="s">
        <v>443</v>
      </c>
      <c r="E3" s="1748"/>
      <c r="F3" s="1748"/>
      <c r="H3" s="1738"/>
      <c r="I3" s="1738"/>
    </row>
    <row r="4" spans="2:17">
      <c r="B4" s="40"/>
      <c r="C4" s="40"/>
      <c r="D4" s="1"/>
    </row>
    <row r="5" spans="2:17" ht="33" customHeight="1">
      <c r="F5" s="517"/>
      <c r="H5" s="980"/>
      <c r="I5" s="1749" t="s">
        <v>759</v>
      </c>
      <c r="J5" s="1749"/>
      <c r="K5" s="1749"/>
      <c r="L5" s="1749"/>
    </row>
    <row r="6" spans="2:17" ht="10.199999999999999" customHeight="1">
      <c r="H6" s="1179"/>
      <c r="I6" s="445"/>
      <c r="J6" s="1179"/>
      <c r="K6" s="1179"/>
      <c r="L6" s="1179"/>
    </row>
    <row r="7" spans="2:17" ht="33" customHeight="1">
      <c r="B7" s="40" t="s">
        <v>0</v>
      </c>
      <c r="F7" s="517"/>
      <c r="H7" s="1742" t="s">
        <v>764</v>
      </c>
      <c r="I7" s="1742"/>
      <c r="J7" s="1742"/>
      <c r="K7" s="1742"/>
      <c r="L7" s="1742"/>
    </row>
    <row r="8" spans="2:17" ht="10.199999999999999" customHeight="1"/>
    <row r="9" spans="2:17" ht="33" customHeight="1">
      <c r="F9" s="517"/>
      <c r="N9" s="249"/>
    </row>
    <row r="10" spans="2:17" ht="10.199999999999999" customHeight="1"/>
    <row r="11" spans="2:17" ht="33" customHeight="1">
      <c r="F11" s="517"/>
      <c r="I11" s="1735"/>
      <c r="J11" s="1736"/>
      <c r="L11" s="249"/>
    </row>
    <row r="12" spans="2:17" ht="10.199999999999999" customHeight="1"/>
    <row r="13" spans="2:17" ht="33" customHeight="1">
      <c r="F13" s="517"/>
    </row>
    <row r="14" spans="2:17" ht="10.199999999999999" customHeight="1">
      <c r="I14" s="1744"/>
      <c r="J14" s="1744"/>
      <c r="K14" s="1744"/>
      <c r="L14" s="1744"/>
      <c r="Q14" t="s">
        <v>0</v>
      </c>
    </row>
    <row r="15" spans="2:17" ht="33" customHeight="1">
      <c r="F15" s="517"/>
      <c r="I15" s="1744"/>
      <c r="J15" s="1744"/>
      <c r="K15" s="1744"/>
      <c r="L15" s="1744"/>
      <c r="N15" s="1" t="s">
        <v>0</v>
      </c>
    </row>
    <row r="16" spans="2:17" ht="10.199999999999999" customHeight="1">
      <c r="H16" s="1"/>
      <c r="I16" s="1744"/>
      <c r="J16" s="1744"/>
      <c r="K16" s="1744"/>
      <c r="L16" s="1744"/>
    </row>
    <row r="17" spans="2:13" ht="33" customHeight="1">
      <c r="F17" s="517"/>
      <c r="I17" s="1744"/>
      <c r="J17" s="1744"/>
      <c r="K17" s="1744"/>
      <c r="L17" s="1744"/>
      <c r="M17" s="249"/>
    </row>
    <row r="18" spans="2:13" ht="10.199999999999999" customHeight="1">
      <c r="F18" s="442"/>
      <c r="I18" s="1744"/>
      <c r="J18" s="1744"/>
      <c r="K18" s="1744"/>
      <c r="L18" s="1744"/>
      <c r="M18" s="249"/>
    </row>
    <row r="19" spans="2:13" ht="33" customHeight="1">
      <c r="F19" s="517"/>
      <c r="I19" s="1744"/>
      <c r="J19" s="1744"/>
      <c r="K19" s="1744"/>
      <c r="L19" s="1744"/>
    </row>
    <row r="20" spans="2:13" ht="10.199999999999999" customHeight="1"/>
    <row r="21" spans="2:13" ht="33" customHeight="1">
      <c r="F21" s="517"/>
      <c r="I21" s="1737"/>
      <c r="J21" s="1737"/>
    </row>
    <row r="22" spans="2:13" ht="10.199999999999999" customHeight="1"/>
    <row r="23" spans="2:13" ht="18" customHeight="1">
      <c r="F23" s="517"/>
      <c r="H23" s="493"/>
      <c r="I23" s="190"/>
      <c r="J23" s="1741"/>
      <c r="K23" s="1741"/>
    </row>
    <row r="24" spans="2:13" ht="12" customHeight="1">
      <c r="B24" s="40"/>
      <c r="C24" s="40"/>
      <c r="G24" s="1746" t="s">
        <v>519</v>
      </c>
      <c r="H24" s="1746"/>
      <c r="I24" s="1746"/>
      <c r="J24" s="1746"/>
      <c r="K24" s="1746"/>
      <c r="L24" s="1746"/>
    </row>
    <row r="25" spans="2:13" ht="12" customHeight="1">
      <c r="F25" s="517"/>
      <c r="H25" s="493"/>
      <c r="I25" s="1745">
        <v>45355</v>
      </c>
      <c r="J25" s="1746"/>
      <c r="K25" s="1746"/>
      <c r="L25" s="1746"/>
    </row>
    <row r="26" spans="2:13" ht="12" customHeight="1">
      <c r="D26" s="74"/>
      <c r="E26" s="50"/>
      <c r="F26" s="85"/>
      <c r="G26" s="50"/>
      <c r="H26" s="50"/>
      <c r="I26" s="50"/>
      <c r="J26" s="1743"/>
      <c r="K26" s="1743"/>
      <c r="L26" s="1743"/>
    </row>
    <row r="27" spans="2:13">
      <c r="D27" s="74"/>
      <c r="F27" s="1739"/>
    </row>
    <row r="28" spans="2:13">
      <c r="F28" s="1739"/>
    </row>
    <row r="29" spans="2:13">
      <c r="D29" s="1738"/>
      <c r="E29" s="1740"/>
    </row>
    <row r="40" spans="4:6">
      <c r="D40" s="15"/>
      <c r="F40" s="15"/>
    </row>
    <row r="51" spans="4:4">
      <c r="D51" s="15"/>
    </row>
    <row r="61" spans="4:4">
      <c r="D61" s="488"/>
    </row>
  </sheetData>
  <sheetProtection algorithmName="SHA-512" hashValue="yLfOKGlF4NZ/lOxAhQTTkHX1mC9OVSUQ6Zku0E/Fh8Maoc6VXodFRB9+orQ8z5NOGOO7QvDinrns6Wct8VUHag==" saltValue="zppBnR9Zmmn3Era2pLWrDw==" spinCount="100000" sheet="1" objects="1" scenarios="1" selectLockedCells="1" selectUnlockedCells="1"/>
  <mergeCells count="13">
    <mergeCell ref="I11:J11"/>
    <mergeCell ref="I21:J21"/>
    <mergeCell ref="H2:I3"/>
    <mergeCell ref="F27:F28"/>
    <mergeCell ref="D29:E29"/>
    <mergeCell ref="J23:K23"/>
    <mergeCell ref="H7:L7"/>
    <mergeCell ref="J26:L26"/>
    <mergeCell ref="I14:L19"/>
    <mergeCell ref="I25:L25"/>
    <mergeCell ref="D3:F3"/>
    <mergeCell ref="G24:L24"/>
    <mergeCell ref="I5:L5"/>
  </mergeCells>
  <pageMargins left="0.25" right="0.25" top="0.75" bottom="0.75" header="0.3" footer="0.3"/>
  <pageSetup paperSize="9" scale="90" orientation="landscape" verticalDpi="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ul7"/>
  <dimension ref="A1:Z68"/>
  <sheetViews>
    <sheetView workbookViewId="0">
      <selection activeCell="S7" sqref="S7"/>
    </sheetView>
  </sheetViews>
  <sheetFormatPr defaultRowHeight="12.45"/>
  <cols>
    <col min="1" max="1" width="10.07421875" customWidth="1"/>
    <col min="2" max="2" width="23.69140625" customWidth="1"/>
    <col min="3" max="12" width="9.3046875" customWidth="1"/>
    <col min="13" max="13" width="9.69140625" customWidth="1"/>
    <col min="14" max="14" width="9.3046875" customWidth="1"/>
    <col min="16" max="16" width="32.23046875" customWidth="1"/>
    <col min="25" max="25" width="9.69140625" bestFit="1" customWidth="1"/>
  </cols>
  <sheetData>
    <row r="1" spans="1:26" ht="12.9" thickBo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</row>
    <row r="2" spans="1:26" s="2" customFormat="1">
      <c r="A2" s="478"/>
      <c r="B2" s="49" t="s">
        <v>398</v>
      </c>
      <c r="C2" s="479">
        <f>'9. T5 KASSABUDJETTI  '!G9</f>
        <v>45658</v>
      </c>
      <c r="D2" s="479">
        <f>'9. T5 KASSABUDJETTI  '!H9</f>
        <v>45689</v>
      </c>
      <c r="E2" s="479">
        <f>'9. T5 KASSABUDJETTI  '!I9</f>
        <v>45720</v>
      </c>
      <c r="F2" s="479">
        <f>'9. T5 KASSABUDJETTI  '!J9</f>
        <v>45751</v>
      </c>
      <c r="G2" s="479">
        <f>'9. T5 KASSABUDJETTI  '!K9</f>
        <v>45782</v>
      </c>
      <c r="H2" s="479">
        <f>'9. T5 KASSABUDJETTI  '!L9</f>
        <v>45813</v>
      </c>
      <c r="I2" s="479">
        <f>'9. T5 KASSABUDJETTI  '!M9</f>
        <v>45844</v>
      </c>
      <c r="J2" s="479">
        <f>'9. T5 KASSABUDJETTI  '!N9</f>
        <v>45875</v>
      </c>
      <c r="K2" s="479">
        <f>'9. T5 KASSABUDJETTI  '!O9</f>
        <v>45906</v>
      </c>
      <c r="L2" s="479">
        <f>'9. T5 KASSABUDJETTI  '!P9</f>
        <v>45937</v>
      </c>
      <c r="M2" s="479">
        <f>'9. T5 KASSABUDJETTI  '!Q9</f>
        <v>45968</v>
      </c>
      <c r="N2" s="480">
        <f>'9. T5 KASSABUDJETTI  '!R9</f>
        <v>45999</v>
      </c>
      <c r="O2" s="470"/>
      <c r="P2" s="478" t="s">
        <v>761</v>
      </c>
      <c r="Q2" s="479">
        <f>C2</f>
        <v>45658</v>
      </c>
      <c r="R2" s="479">
        <f t="shared" ref="R2:S2" si="0">D2</f>
        <v>45689</v>
      </c>
      <c r="S2" s="480">
        <f t="shared" si="0"/>
        <v>45720</v>
      </c>
      <c r="T2" s="470"/>
      <c r="U2" s="470"/>
      <c r="V2" s="470"/>
      <c r="W2" s="470"/>
      <c r="X2" s="470"/>
      <c r="Y2" s="470"/>
      <c r="Z2" s="470"/>
    </row>
    <row r="3" spans="1:26" s="2" customFormat="1">
      <c r="A3" s="481"/>
      <c r="B3" s="28" t="s">
        <v>397</v>
      </c>
      <c r="C3" s="472">
        <f>IF('9. T5 KASSABUDJETTI  '!H5=1,'8. T4 RAHOITUSSUUN. '!G52,'8. T4 RAHOITUSSUUN. '!H52)</f>
        <v>0</v>
      </c>
      <c r="D3" s="472">
        <f>C3</f>
        <v>0</v>
      </c>
      <c r="E3" s="472">
        <f t="shared" ref="E3:N3" si="1">D3</f>
        <v>0</v>
      </c>
      <c r="F3" s="472">
        <f t="shared" si="1"/>
        <v>0</v>
      </c>
      <c r="G3" s="472">
        <f t="shared" si="1"/>
        <v>0</v>
      </c>
      <c r="H3" s="472">
        <f t="shared" si="1"/>
        <v>0</v>
      </c>
      <c r="I3" s="472">
        <f t="shared" si="1"/>
        <v>0</v>
      </c>
      <c r="J3" s="472">
        <f t="shared" si="1"/>
        <v>0</v>
      </c>
      <c r="K3" s="472">
        <f t="shared" si="1"/>
        <v>0</v>
      </c>
      <c r="L3" s="472">
        <f t="shared" si="1"/>
        <v>0</v>
      </c>
      <c r="M3" s="472">
        <f t="shared" si="1"/>
        <v>0</v>
      </c>
      <c r="N3" s="482">
        <f t="shared" si="1"/>
        <v>0</v>
      </c>
      <c r="P3" s="1716" t="s">
        <v>397</v>
      </c>
      <c r="Q3" s="472">
        <f>IF('9. T5 KASSABUDJETTI  '!H5=1,'8. T4 RAHOITUSSUUN. '!G57,'8. T4 RAHOITUSSUUN. '!H57)</f>
        <v>0</v>
      </c>
      <c r="R3" s="472">
        <f>Q3</f>
        <v>0</v>
      </c>
      <c r="S3" s="482">
        <f t="shared" ref="S3" si="2">R3</f>
        <v>0</v>
      </c>
    </row>
    <row r="4" spans="1:26" s="2" customFormat="1">
      <c r="A4" s="481"/>
      <c r="B4" s="28" t="s">
        <v>399</v>
      </c>
      <c r="C4" s="473">
        <f>IF(C3=0,0,IF('9. T5 KASSABUDJETTI  '!H5=1,'3. T3 TASE '!G42/C3,'3. T3 TASE '!H42/C3))</f>
        <v>0</v>
      </c>
      <c r="D4" s="473"/>
      <c r="E4" s="473"/>
      <c r="F4" s="473"/>
      <c r="G4" s="473"/>
      <c r="H4" s="473"/>
      <c r="I4" s="28"/>
      <c r="J4" s="28"/>
      <c r="K4" s="28"/>
      <c r="L4" s="28"/>
      <c r="M4" s="28"/>
      <c r="N4" s="483"/>
      <c r="P4" s="1716" t="s">
        <v>762</v>
      </c>
      <c r="Q4" s="473">
        <f>IF(Q3=0,0,IF('9. T5 KASSABUDJETTI  '!H5=1,'3. T3 TASE '!G80/Q3,'3. T3 TASE '!H80/Q3))</f>
        <v>0</v>
      </c>
      <c r="R4" s="473"/>
      <c r="S4" s="1717"/>
    </row>
    <row r="5" spans="1:26">
      <c r="A5" s="377"/>
      <c r="B5" s="4" t="s">
        <v>384</v>
      </c>
      <c r="C5" s="30">
        <f>IF(C3&lt;31,C4*C3,0)</f>
        <v>0</v>
      </c>
      <c r="D5" s="30"/>
      <c r="E5" s="30"/>
      <c r="F5" s="30"/>
      <c r="G5" s="30"/>
      <c r="H5" s="30"/>
      <c r="I5" s="4"/>
      <c r="J5" s="4"/>
      <c r="K5" s="4"/>
      <c r="L5" s="4"/>
      <c r="M5" s="4"/>
      <c r="N5" s="484"/>
      <c r="P5" s="377" t="s">
        <v>384</v>
      </c>
      <c r="Q5" s="30">
        <f>IF(Q3&lt;31,Q4*Q3,0)</f>
        <v>0</v>
      </c>
      <c r="R5" s="30"/>
      <c r="S5" s="1718"/>
    </row>
    <row r="6" spans="1:26">
      <c r="A6" s="377"/>
      <c r="B6" s="4" t="s">
        <v>385</v>
      </c>
      <c r="C6" s="30">
        <f>IF(C$3&lt;31,0,IF(C$3&lt;61,30*C$4,0))</f>
        <v>0</v>
      </c>
      <c r="D6" s="30">
        <f>IF(D$3&lt;31,0,IF(D$3&lt;61,$C$4*(30-(60-$C$3)),0))</f>
        <v>0</v>
      </c>
      <c r="E6" s="30"/>
      <c r="F6" s="30"/>
      <c r="G6" s="30"/>
      <c r="H6" s="30"/>
      <c r="I6" s="4"/>
      <c r="J6" s="4"/>
      <c r="K6" s="4"/>
      <c r="L6" s="4"/>
      <c r="M6" s="4"/>
      <c r="N6" s="484"/>
      <c r="P6" s="377" t="s">
        <v>385</v>
      </c>
      <c r="Q6" s="30">
        <f>IF(Q$3&lt;31,0,IF(Q$3&lt;61,30*Q$4,0))</f>
        <v>0</v>
      </c>
      <c r="R6" s="30">
        <f>IF(R$3&lt;31,0,IF(R$3&lt;61,$Q$4*(30-(60-$Q$3)),0))</f>
        <v>0</v>
      </c>
      <c r="S6" s="1718"/>
    </row>
    <row r="7" spans="1:26">
      <c r="A7" s="377"/>
      <c r="B7" s="4" t="s">
        <v>386</v>
      </c>
      <c r="C7" s="30">
        <f>IF(C$3&lt;61,0,IF(C$3&lt;91,30*C$4,0))</f>
        <v>0</v>
      </c>
      <c r="D7" s="30">
        <f t="shared" ref="D7:D16" si="3">C7</f>
        <v>0</v>
      </c>
      <c r="E7" s="30">
        <f>IF(E$3&lt;61,0,IF(E$3&lt;91,$C$4*(30-(90-$C$3)),0))</f>
        <v>0</v>
      </c>
      <c r="F7" s="30"/>
      <c r="G7" s="30"/>
      <c r="H7" s="30"/>
      <c r="I7" s="4"/>
      <c r="J7" s="4"/>
      <c r="K7" s="4"/>
      <c r="L7" s="4"/>
      <c r="M7" s="4"/>
      <c r="N7" s="484"/>
      <c r="P7" s="377" t="s">
        <v>386</v>
      </c>
      <c r="Q7" s="30">
        <f>IF(Q$3&lt;61,0,IF(Q$3&lt;91,30*Q$4,0))</f>
        <v>0</v>
      </c>
      <c r="R7" s="30">
        <f t="shared" ref="R7" si="4">Q7</f>
        <v>0</v>
      </c>
      <c r="S7" s="1718">
        <f>IF(S$3&lt;61,0,IF(S$3&lt;91,$Q$4*(30-(90-$Q$3)),0))</f>
        <v>0</v>
      </c>
    </row>
    <row r="8" spans="1:26" ht="12.9" thickBot="1">
      <c r="A8" s="377"/>
      <c r="B8" s="4" t="s">
        <v>387</v>
      </c>
      <c r="C8" s="30">
        <f>IF(C$3&lt;91,0,IF(C$3&lt;121,30*C$4,0))</f>
        <v>0</v>
      </c>
      <c r="D8" s="30">
        <f t="shared" si="3"/>
        <v>0</v>
      </c>
      <c r="E8" s="30">
        <f t="shared" ref="E8:F16" si="5">D8</f>
        <v>0</v>
      </c>
      <c r="F8" s="30">
        <f>IF(F$3&lt;91,0,IF(F$3&lt;121,$C$4*(30-(120-$C$3)),0))</f>
        <v>0</v>
      </c>
      <c r="G8" s="30"/>
      <c r="H8" s="30"/>
      <c r="I8" s="4"/>
      <c r="J8" s="4"/>
      <c r="K8" s="4"/>
      <c r="L8" s="4"/>
      <c r="M8" s="4"/>
      <c r="N8" s="484"/>
      <c r="P8" s="1719"/>
      <c r="Q8" s="271">
        <f>SUM(Q5:Q7)</f>
        <v>0</v>
      </c>
      <c r="R8" s="271">
        <f t="shared" ref="R8:S8" si="6">SUM(R5:R7)</f>
        <v>0</v>
      </c>
      <c r="S8" s="1720">
        <f t="shared" si="6"/>
        <v>0</v>
      </c>
    </row>
    <row r="9" spans="1:26">
      <c r="A9" s="377"/>
      <c r="B9" s="4" t="s">
        <v>388</v>
      </c>
      <c r="C9" s="30">
        <f>IF(C$3&lt;121,0,IF(C$3&lt;151,30*C$4,0))</f>
        <v>0</v>
      </c>
      <c r="D9" s="30">
        <f t="shared" si="3"/>
        <v>0</v>
      </c>
      <c r="E9" s="30">
        <f t="shared" si="5"/>
        <v>0</v>
      </c>
      <c r="F9" s="30">
        <f t="shared" si="5"/>
        <v>0</v>
      </c>
      <c r="G9" s="30">
        <f>IF(G$3&lt;121,0,IF(G$3&lt;151,$C$4*(30-(150-$C$3)),0))</f>
        <v>0</v>
      </c>
      <c r="H9" s="30"/>
      <c r="I9" s="4"/>
      <c r="J9" s="4"/>
      <c r="K9" s="4"/>
      <c r="L9" s="4"/>
      <c r="M9" s="4"/>
      <c r="N9" s="484"/>
    </row>
    <row r="10" spans="1:26">
      <c r="A10" s="377"/>
      <c r="B10" s="4" t="s">
        <v>389</v>
      </c>
      <c r="C10" s="30">
        <f>IF(C$3&lt;151,0,IF(C$3&lt;181,30*C$4,0))</f>
        <v>0</v>
      </c>
      <c r="D10" s="30">
        <f t="shared" si="3"/>
        <v>0</v>
      </c>
      <c r="E10" s="30">
        <f t="shared" si="5"/>
        <v>0</v>
      </c>
      <c r="F10" s="30">
        <f t="shared" si="5"/>
        <v>0</v>
      </c>
      <c r="G10" s="30">
        <f t="shared" ref="G10:G16" si="7">F10</f>
        <v>0</v>
      </c>
      <c r="H10" s="30">
        <f>IF(H$3&lt;151,0,IF(H$3&lt;181,$C$4*(30-(180-$C$3)),0))</f>
        <v>0</v>
      </c>
      <c r="I10" s="4"/>
      <c r="J10" s="4"/>
      <c r="K10" s="4"/>
      <c r="L10" s="4"/>
      <c r="M10" s="4"/>
      <c r="N10" s="484"/>
    </row>
    <row r="11" spans="1:26">
      <c r="A11" s="377"/>
      <c r="B11" s="4" t="s">
        <v>401</v>
      </c>
      <c r="C11" s="30">
        <f>IF(C$3&lt;181,0,IF(C$3&lt;211,30*C$4,0))</f>
        <v>0</v>
      </c>
      <c r="D11" s="30">
        <f t="shared" si="3"/>
        <v>0</v>
      </c>
      <c r="E11" s="30">
        <f t="shared" si="5"/>
        <v>0</v>
      </c>
      <c r="F11" s="30">
        <f t="shared" si="5"/>
        <v>0</v>
      </c>
      <c r="G11" s="30">
        <f t="shared" si="7"/>
        <v>0</v>
      </c>
      <c r="H11" s="30">
        <f t="shared" ref="H11:H16" si="8">G11</f>
        <v>0</v>
      </c>
      <c r="I11" s="30">
        <f>IF(I$3&lt;181,0,IF(I$3&lt;211,$C$4*(30-(210-$C$3)),0))</f>
        <v>0</v>
      </c>
      <c r="J11" s="4"/>
      <c r="K11" s="4"/>
      <c r="L11" s="4"/>
      <c r="M11" s="4"/>
      <c r="N11" s="484"/>
    </row>
    <row r="12" spans="1:26">
      <c r="A12" s="377"/>
      <c r="B12" s="4" t="s">
        <v>402</v>
      </c>
      <c r="C12" s="30">
        <f>IF(C$3&lt;211,0,IF(C$3&lt;241,30*C$4,0))</f>
        <v>0</v>
      </c>
      <c r="D12" s="30">
        <f t="shared" si="3"/>
        <v>0</v>
      </c>
      <c r="E12" s="30">
        <f t="shared" si="5"/>
        <v>0</v>
      </c>
      <c r="F12" s="30">
        <f t="shared" si="5"/>
        <v>0</v>
      </c>
      <c r="G12" s="30">
        <f t="shared" si="7"/>
        <v>0</v>
      </c>
      <c r="H12" s="30">
        <f t="shared" si="8"/>
        <v>0</v>
      </c>
      <c r="I12" s="30">
        <f>H12</f>
        <v>0</v>
      </c>
      <c r="J12" s="30">
        <f>IF(J$3&lt;211,0,IF(J$3&lt;241,$C$4*(30-(240-$C$3)),0))</f>
        <v>0</v>
      </c>
      <c r="K12" s="4"/>
      <c r="L12" s="4"/>
      <c r="M12" s="4"/>
      <c r="N12" s="484"/>
    </row>
    <row r="13" spans="1:26">
      <c r="A13" s="377"/>
      <c r="B13" s="4" t="s">
        <v>403</v>
      </c>
      <c r="C13" s="30">
        <f>IF(C$3&lt;241,0,IF(C$3&lt;271,30*C$4,0))</f>
        <v>0</v>
      </c>
      <c r="D13" s="30">
        <f t="shared" si="3"/>
        <v>0</v>
      </c>
      <c r="E13" s="30">
        <f t="shared" si="5"/>
        <v>0</v>
      </c>
      <c r="F13" s="30">
        <f t="shared" si="5"/>
        <v>0</v>
      </c>
      <c r="G13" s="30">
        <f t="shared" si="7"/>
        <v>0</v>
      </c>
      <c r="H13" s="30">
        <f t="shared" si="8"/>
        <v>0</v>
      </c>
      <c r="I13" s="30">
        <f>H13</f>
        <v>0</v>
      </c>
      <c r="J13" s="30">
        <f>I13</f>
        <v>0</v>
      </c>
      <c r="K13" s="30">
        <f>IF(K$3&lt;241,0,IF(K$3&lt;271,$C$4*(30-(270-$C$3)),0))</f>
        <v>0</v>
      </c>
      <c r="L13" s="4"/>
      <c r="M13" s="4"/>
      <c r="N13" s="484"/>
    </row>
    <row r="14" spans="1:26">
      <c r="A14" s="377"/>
      <c r="B14" s="4" t="s">
        <v>404</v>
      </c>
      <c r="C14" s="30">
        <f>IF(C$3&lt;271,0,IF(C$3&lt;301,30*C$4,0))</f>
        <v>0</v>
      </c>
      <c r="D14" s="30">
        <f t="shared" si="3"/>
        <v>0</v>
      </c>
      <c r="E14" s="30">
        <f t="shared" si="5"/>
        <v>0</v>
      </c>
      <c r="F14" s="30">
        <f t="shared" si="5"/>
        <v>0</v>
      </c>
      <c r="G14" s="30">
        <f t="shared" si="7"/>
        <v>0</v>
      </c>
      <c r="H14" s="30">
        <f t="shared" si="8"/>
        <v>0</v>
      </c>
      <c r="I14" s="30">
        <f>H14</f>
        <v>0</v>
      </c>
      <c r="J14" s="30">
        <f>I14</f>
        <v>0</v>
      </c>
      <c r="K14" s="30">
        <f>J14</f>
        <v>0</v>
      </c>
      <c r="L14" s="30">
        <f>IF(L$3&lt;271,0,IF(L$3&lt;301,$C$4*(30-(300-$C$3)),0))</f>
        <v>0</v>
      </c>
      <c r="M14" s="4"/>
      <c r="N14" s="484"/>
    </row>
    <row r="15" spans="1:26">
      <c r="A15" s="377"/>
      <c r="B15" s="4" t="s">
        <v>405</v>
      </c>
      <c r="C15" s="30">
        <f>IF(C$3&lt;301,0,IF(C$3&lt;331,30*C$4,0))</f>
        <v>0</v>
      </c>
      <c r="D15" s="30">
        <f t="shared" si="3"/>
        <v>0</v>
      </c>
      <c r="E15" s="30">
        <f t="shared" si="5"/>
        <v>0</v>
      </c>
      <c r="F15" s="30">
        <f t="shared" si="5"/>
        <v>0</v>
      </c>
      <c r="G15" s="30">
        <f t="shared" si="7"/>
        <v>0</v>
      </c>
      <c r="H15" s="30">
        <f t="shared" si="8"/>
        <v>0</v>
      </c>
      <c r="I15" s="30">
        <f>H15</f>
        <v>0</v>
      </c>
      <c r="J15" s="30">
        <f>I15</f>
        <v>0</v>
      </c>
      <c r="K15" s="30">
        <f>J15</f>
        <v>0</v>
      </c>
      <c r="L15" s="30">
        <f>K15</f>
        <v>0</v>
      </c>
      <c r="M15" s="30">
        <f>IF(M$3&lt;301,0,IF(M$3&lt;331,$C$4*(30-(330-$C$3)),0))</f>
        <v>0</v>
      </c>
      <c r="N15" s="484"/>
    </row>
    <row r="16" spans="1:26">
      <c r="A16" s="377"/>
      <c r="B16" s="4" t="s">
        <v>406</v>
      </c>
      <c r="C16" s="30">
        <f>IF(C$3&lt;331,0,IF(C$3&lt;361,30*C$4,0))</f>
        <v>0</v>
      </c>
      <c r="D16" s="30">
        <f t="shared" si="3"/>
        <v>0</v>
      </c>
      <c r="E16" s="30">
        <f t="shared" si="5"/>
        <v>0</v>
      </c>
      <c r="F16" s="30">
        <f t="shared" si="5"/>
        <v>0</v>
      </c>
      <c r="G16" s="30">
        <f t="shared" si="7"/>
        <v>0</v>
      </c>
      <c r="H16" s="30">
        <f t="shared" si="8"/>
        <v>0</v>
      </c>
      <c r="I16" s="30">
        <f>H16</f>
        <v>0</v>
      </c>
      <c r="J16" s="30">
        <f>I16</f>
        <v>0</v>
      </c>
      <c r="K16" s="30">
        <f>J16</f>
        <v>0</v>
      </c>
      <c r="L16" s="30">
        <f>K16</f>
        <v>0</v>
      </c>
      <c r="M16" s="30">
        <f>IF(M$3&lt;151,0,IF(M$3&lt;181,30*M$4,0))</f>
        <v>0</v>
      </c>
      <c r="N16" s="30">
        <f>IF(N$3&lt;331,0,IF(N$3&lt;361,$C$4*(30-(360-$C$3)),0))</f>
        <v>0</v>
      </c>
    </row>
    <row r="17" spans="1:26">
      <c r="A17" s="377"/>
      <c r="B17" s="4"/>
      <c r="C17" s="30"/>
      <c r="D17" s="30"/>
      <c r="E17" s="30"/>
      <c r="F17" s="30"/>
      <c r="G17" s="30"/>
      <c r="H17" s="30"/>
      <c r="I17" s="4"/>
      <c r="J17" s="4"/>
      <c r="K17" s="4"/>
      <c r="L17" s="4"/>
      <c r="M17" s="4"/>
      <c r="N17" s="484"/>
    </row>
    <row r="18" spans="1:26" ht="12.9" thickBot="1">
      <c r="A18" s="485"/>
      <c r="B18" s="486" t="s">
        <v>190</v>
      </c>
      <c r="C18" s="487">
        <f>SUM(C5:C17)</f>
        <v>0</v>
      </c>
      <c r="D18" s="487">
        <f t="shared" ref="D18:N18" si="9">SUM(D5:D17)</f>
        <v>0</v>
      </c>
      <c r="E18" s="487">
        <f t="shared" si="9"/>
        <v>0</v>
      </c>
      <c r="F18" s="487">
        <f t="shared" si="9"/>
        <v>0</v>
      </c>
      <c r="G18" s="487">
        <f t="shared" si="9"/>
        <v>0</v>
      </c>
      <c r="H18" s="487">
        <f t="shared" si="9"/>
        <v>0</v>
      </c>
      <c r="I18" s="487">
        <f t="shared" si="9"/>
        <v>0</v>
      </c>
      <c r="J18" s="487">
        <f t="shared" si="9"/>
        <v>0</v>
      </c>
      <c r="K18" s="487">
        <f t="shared" si="9"/>
        <v>0</v>
      </c>
      <c r="L18" s="487">
        <f t="shared" si="9"/>
        <v>0</v>
      </c>
      <c r="M18" s="487">
        <f t="shared" si="9"/>
        <v>0</v>
      </c>
      <c r="N18" s="487">
        <f t="shared" si="9"/>
        <v>0</v>
      </c>
    </row>
    <row r="19" spans="1:26" s="2" customFormat="1">
      <c r="A19" s="28"/>
      <c r="B19" s="28" t="s">
        <v>400</v>
      </c>
      <c r="C19" s="471">
        <f>C2</f>
        <v>45658</v>
      </c>
      <c r="D19" s="471">
        <f t="shared" ref="D19:N19" si="10">D2</f>
        <v>45689</v>
      </c>
      <c r="E19" s="471">
        <f t="shared" si="10"/>
        <v>45720</v>
      </c>
      <c r="F19" s="471">
        <f t="shared" si="10"/>
        <v>45751</v>
      </c>
      <c r="G19" s="471">
        <f t="shared" si="10"/>
        <v>45782</v>
      </c>
      <c r="H19" s="471">
        <f t="shared" si="10"/>
        <v>45813</v>
      </c>
      <c r="I19" s="471">
        <f t="shared" si="10"/>
        <v>45844</v>
      </c>
      <c r="J19" s="471">
        <f t="shared" si="10"/>
        <v>45875</v>
      </c>
      <c r="K19" s="471">
        <f t="shared" si="10"/>
        <v>45906</v>
      </c>
      <c r="L19" s="471">
        <f t="shared" si="10"/>
        <v>45937</v>
      </c>
      <c r="M19" s="471">
        <f t="shared" si="10"/>
        <v>45968</v>
      </c>
      <c r="N19" s="471">
        <f t="shared" si="10"/>
        <v>45999</v>
      </c>
      <c r="O19" s="470"/>
      <c r="P19" s="470"/>
      <c r="Q19" s="470"/>
      <c r="R19" s="470"/>
      <c r="S19" s="470"/>
      <c r="T19" s="470"/>
      <c r="U19" s="470"/>
      <c r="V19" s="470"/>
      <c r="W19" s="470"/>
      <c r="X19" s="470"/>
      <c r="Y19" s="470"/>
      <c r="Z19" s="470"/>
    </row>
    <row r="20" spans="1:26" s="2" customFormat="1">
      <c r="A20" s="477" t="s">
        <v>394</v>
      </c>
      <c r="B20" s="28" t="s">
        <v>395</v>
      </c>
      <c r="C20" s="472">
        <f>'9. T5 KASSABUDJETTI  '!E16</f>
        <v>0</v>
      </c>
      <c r="D20" s="472">
        <f t="shared" ref="D20:N20" si="11">C20</f>
        <v>0</v>
      </c>
      <c r="E20" s="472">
        <f t="shared" si="11"/>
        <v>0</v>
      </c>
      <c r="F20" s="472">
        <f t="shared" si="11"/>
        <v>0</v>
      </c>
      <c r="G20" s="472">
        <f t="shared" si="11"/>
        <v>0</v>
      </c>
      <c r="H20" s="472">
        <f t="shared" si="11"/>
        <v>0</v>
      </c>
      <c r="I20" s="472">
        <f t="shared" si="11"/>
        <v>0</v>
      </c>
      <c r="J20" s="472">
        <f t="shared" si="11"/>
        <v>0</v>
      </c>
      <c r="K20" s="472">
        <f t="shared" si="11"/>
        <v>0</v>
      </c>
      <c r="L20" s="472">
        <f t="shared" si="11"/>
        <v>0</v>
      </c>
      <c r="M20" s="472">
        <f t="shared" si="11"/>
        <v>0</v>
      </c>
      <c r="N20" s="472">
        <f t="shared" si="11"/>
        <v>0</v>
      </c>
    </row>
    <row r="21" spans="1:26" s="2" customFormat="1">
      <c r="A21" s="28" t="s">
        <v>0</v>
      </c>
      <c r="B21" s="28" t="s">
        <v>368</v>
      </c>
      <c r="C21" s="473">
        <f>'9. T5 KASSABUDJETTI  '!G14</f>
        <v>0</v>
      </c>
      <c r="D21" s="473">
        <f>'9. T5 KASSABUDJETTI  '!H14</f>
        <v>0</v>
      </c>
      <c r="E21" s="473">
        <f>'9. T5 KASSABUDJETTI  '!I14</f>
        <v>0</v>
      </c>
      <c r="F21" s="473">
        <f>'9. T5 KASSABUDJETTI  '!J14</f>
        <v>0</v>
      </c>
      <c r="G21" s="473">
        <f>'9. T5 KASSABUDJETTI  '!K14</f>
        <v>0</v>
      </c>
      <c r="H21" s="473">
        <f>'9. T5 KASSABUDJETTI  '!L14</f>
        <v>0</v>
      </c>
      <c r="I21" s="473">
        <f>'9. T5 KASSABUDJETTI  '!M14</f>
        <v>0</v>
      </c>
      <c r="J21" s="473">
        <f>'9. T5 KASSABUDJETTI  '!N14</f>
        <v>0</v>
      </c>
      <c r="K21" s="473">
        <f>'9. T5 KASSABUDJETTI  '!O14</f>
        <v>0</v>
      </c>
      <c r="L21" s="473">
        <f>'9. T5 KASSABUDJETTI  '!P14</f>
        <v>0</v>
      </c>
      <c r="M21" s="473">
        <f>'9. T5 KASSABUDJETTI  '!Q14</f>
        <v>0</v>
      </c>
      <c r="N21" s="473">
        <f>'9. T5 KASSABUDJETTI  '!R14</f>
        <v>0</v>
      </c>
      <c r="Q21" s="2">
        <v>0</v>
      </c>
    </row>
    <row r="22" spans="1:26" s="476" customFormat="1">
      <c r="A22" s="474" t="s">
        <v>375</v>
      </c>
      <c r="B22" s="474" t="s">
        <v>369</v>
      </c>
      <c r="C22" s="475">
        <f>IF(C$20&lt;31,C21*(30-C20)/30,0)</f>
        <v>0</v>
      </c>
      <c r="D22" s="475">
        <f t="shared" ref="D22:N22" si="12">IF(D$20&lt;31,D21*(30-D20)/30,0)</f>
        <v>0</v>
      </c>
      <c r="E22" s="475">
        <f t="shared" si="12"/>
        <v>0</v>
      </c>
      <c r="F22" s="475">
        <f t="shared" si="12"/>
        <v>0</v>
      </c>
      <c r="G22" s="475">
        <f t="shared" si="12"/>
        <v>0</v>
      </c>
      <c r="H22" s="475">
        <f t="shared" si="12"/>
        <v>0</v>
      </c>
      <c r="I22" s="475">
        <f t="shared" si="12"/>
        <v>0</v>
      </c>
      <c r="J22" s="475">
        <f t="shared" si="12"/>
        <v>0</v>
      </c>
      <c r="K22" s="475">
        <f t="shared" si="12"/>
        <v>0</v>
      </c>
      <c r="L22" s="475">
        <f t="shared" si="12"/>
        <v>0</v>
      </c>
      <c r="M22" s="475">
        <f t="shared" si="12"/>
        <v>0</v>
      </c>
      <c r="N22" s="475">
        <f t="shared" si="12"/>
        <v>0</v>
      </c>
    </row>
    <row r="23" spans="1:26">
      <c r="A23" s="4" t="s">
        <v>379</v>
      </c>
      <c r="B23" s="4" t="s">
        <v>370</v>
      </c>
      <c r="C23" s="30">
        <f t="shared" ref="C23:N23" si="13">IF(C20&gt;30,0,C21-C22)</f>
        <v>0</v>
      </c>
      <c r="D23" s="30">
        <f t="shared" si="13"/>
        <v>0</v>
      </c>
      <c r="E23" s="30">
        <f t="shared" si="13"/>
        <v>0</v>
      </c>
      <c r="F23" s="30">
        <f t="shared" si="13"/>
        <v>0</v>
      </c>
      <c r="G23" s="30">
        <f t="shared" si="13"/>
        <v>0</v>
      </c>
      <c r="H23" s="30">
        <f t="shared" si="13"/>
        <v>0</v>
      </c>
      <c r="I23" s="30">
        <f t="shared" si="13"/>
        <v>0</v>
      </c>
      <c r="J23" s="30">
        <f t="shared" si="13"/>
        <v>0</v>
      </c>
      <c r="K23" s="30">
        <f t="shared" si="13"/>
        <v>0</v>
      </c>
      <c r="L23" s="30">
        <f t="shared" si="13"/>
        <v>0</v>
      </c>
      <c r="M23" s="30">
        <f t="shared" si="13"/>
        <v>0</v>
      </c>
      <c r="N23" s="30">
        <f t="shared" si="13"/>
        <v>0</v>
      </c>
    </row>
    <row r="24" spans="1:26">
      <c r="A24" s="474" t="s">
        <v>379</v>
      </c>
      <c r="B24" s="474" t="s">
        <v>370</v>
      </c>
      <c r="C24" s="475">
        <f t="shared" ref="C24:N24" si="14">IF(C$20&lt;31,0,IF(C$20&gt;60,0,C$21*(60-C$20))/30)</f>
        <v>0</v>
      </c>
      <c r="D24" s="475">
        <f t="shared" si="14"/>
        <v>0</v>
      </c>
      <c r="E24" s="475">
        <f t="shared" si="14"/>
        <v>0</v>
      </c>
      <c r="F24" s="475">
        <f t="shared" si="14"/>
        <v>0</v>
      </c>
      <c r="G24" s="475">
        <f t="shared" si="14"/>
        <v>0</v>
      </c>
      <c r="H24" s="475">
        <f t="shared" si="14"/>
        <v>0</v>
      </c>
      <c r="I24" s="475">
        <f t="shared" si="14"/>
        <v>0</v>
      </c>
      <c r="J24" s="475">
        <f t="shared" si="14"/>
        <v>0</v>
      </c>
      <c r="K24" s="475">
        <f t="shared" si="14"/>
        <v>0</v>
      </c>
      <c r="L24" s="475">
        <f t="shared" si="14"/>
        <v>0</v>
      </c>
      <c r="M24" s="475">
        <f t="shared" si="14"/>
        <v>0</v>
      </c>
      <c r="N24" s="475">
        <f t="shared" si="14"/>
        <v>0</v>
      </c>
      <c r="Q24" s="4" t="s">
        <v>0</v>
      </c>
    </row>
    <row r="25" spans="1:26">
      <c r="A25" s="4" t="s">
        <v>380</v>
      </c>
      <c r="B25" s="4" t="s">
        <v>371</v>
      </c>
      <c r="C25" s="30">
        <f>IF(C$20&lt;31,0,IF(C$20&gt;60,0,C21-C24))</f>
        <v>0</v>
      </c>
      <c r="D25" s="30">
        <f t="shared" ref="D25:M25" si="15">IF(D$20&lt;31,0,IF(D$20&gt;60,0,D21-D24))</f>
        <v>0</v>
      </c>
      <c r="E25" s="30">
        <f t="shared" si="15"/>
        <v>0</v>
      </c>
      <c r="F25" s="30">
        <f t="shared" si="15"/>
        <v>0</v>
      </c>
      <c r="G25" s="30">
        <f t="shared" si="15"/>
        <v>0</v>
      </c>
      <c r="H25" s="30">
        <f t="shared" si="15"/>
        <v>0</v>
      </c>
      <c r="I25" s="30">
        <f t="shared" si="15"/>
        <v>0</v>
      </c>
      <c r="J25" s="30">
        <f t="shared" si="15"/>
        <v>0</v>
      </c>
      <c r="K25" s="30">
        <f t="shared" si="15"/>
        <v>0</v>
      </c>
      <c r="L25" s="30">
        <f t="shared" si="15"/>
        <v>0</v>
      </c>
      <c r="M25" s="30">
        <f t="shared" si="15"/>
        <v>0</v>
      </c>
      <c r="N25" s="30">
        <f>IF(N$20&lt;31,0,IF(N$20&gt;60,0,N21-N24))</f>
        <v>0</v>
      </c>
      <c r="Q25" s="4"/>
    </row>
    <row r="26" spans="1:26">
      <c r="A26" s="474" t="s">
        <v>380</v>
      </c>
      <c r="B26" s="474" t="s">
        <v>371</v>
      </c>
      <c r="C26" s="475">
        <f t="shared" ref="C26:N26" si="16">IF(C$20&lt;61,0,IF(C$20&gt;90,0,C$21*(90-C$20))/30)</f>
        <v>0</v>
      </c>
      <c r="D26" s="475">
        <f t="shared" si="16"/>
        <v>0</v>
      </c>
      <c r="E26" s="475">
        <f t="shared" si="16"/>
        <v>0</v>
      </c>
      <c r="F26" s="475">
        <f t="shared" si="16"/>
        <v>0</v>
      </c>
      <c r="G26" s="475">
        <f t="shared" si="16"/>
        <v>0</v>
      </c>
      <c r="H26" s="475">
        <f t="shared" si="16"/>
        <v>0</v>
      </c>
      <c r="I26" s="475">
        <f t="shared" si="16"/>
        <v>0</v>
      </c>
      <c r="J26" s="475">
        <f t="shared" si="16"/>
        <v>0</v>
      </c>
      <c r="K26" s="475">
        <f t="shared" si="16"/>
        <v>0</v>
      </c>
      <c r="L26" s="475">
        <f t="shared" si="16"/>
        <v>0</v>
      </c>
      <c r="M26" s="475">
        <f t="shared" si="16"/>
        <v>0</v>
      </c>
      <c r="N26" s="475">
        <f t="shared" si="16"/>
        <v>0</v>
      </c>
      <c r="Q26" s="4"/>
    </row>
    <row r="27" spans="1:26">
      <c r="A27" s="4" t="s">
        <v>381</v>
      </c>
      <c r="B27" s="4" t="s">
        <v>372</v>
      </c>
      <c r="C27" s="30">
        <f>IF(C$20&lt;61,0,IF(C$20&gt;90,0,C21-C26))</f>
        <v>0</v>
      </c>
      <c r="D27" s="30">
        <f t="shared" ref="D27:N27" si="17">IF(D$20&lt;61,0,IF(D$20&gt;90,0,D21-D26))</f>
        <v>0</v>
      </c>
      <c r="E27" s="30">
        <f t="shared" si="17"/>
        <v>0</v>
      </c>
      <c r="F27" s="30">
        <f t="shared" si="17"/>
        <v>0</v>
      </c>
      <c r="G27" s="30">
        <f t="shared" si="17"/>
        <v>0</v>
      </c>
      <c r="H27" s="30">
        <f t="shared" si="17"/>
        <v>0</v>
      </c>
      <c r="I27" s="30">
        <f t="shared" si="17"/>
        <v>0</v>
      </c>
      <c r="J27" s="30">
        <f t="shared" si="17"/>
        <v>0</v>
      </c>
      <c r="K27" s="30">
        <f t="shared" si="17"/>
        <v>0</v>
      </c>
      <c r="L27" s="30">
        <f t="shared" si="17"/>
        <v>0</v>
      </c>
      <c r="M27" s="30">
        <f t="shared" si="17"/>
        <v>0</v>
      </c>
      <c r="N27" s="30">
        <f t="shared" si="17"/>
        <v>0</v>
      </c>
      <c r="Q27" s="4"/>
    </row>
    <row r="28" spans="1:26">
      <c r="A28" s="474" t="s">
        <v>381</v>
      </c>
      <c r="B28" s="474" t="s">
        <v>372</v>
      </c>
      <c r="C28" s="475">
        <f t="shared" ref="C28:N28" si="18">IF(C$20&lt;91,0,IF(C$20&gt;120,0,C$21*(120-C$20))/30)</f>
        <v>0</v>
      </c>
      <c r="D28" s="475">
        <f t="shared" si="18"/>
        <v>0</v>
      </c>
      <c r="E28" s="475">
        <f t="shared" si="18"/>
        <v>0</v>
      </c>
      <c r="F28" s="475">
        <f t="shared" si="18"/>
        <v>0</v>
      </c>
      <c r="G28" s="475">
        <f t="shared" si="18"/>
        <v>0</v>
      </c>
      <c r="H28" s="475">
        <f t="shared" si="18"/>
        <v>0</v>
      </c>
      <c r="I28" s="475">
        <f t="shared" si="18"/>
        <v>0</v>
      </c>
      <c r="J28" s="475">
        <f t="shared" si="18"/>
        <v>0</v>
      </c>
      <c r="K28" s="475">
        <f t="shared" si="18"/>
        <v>0</v>
      </c>
      <c r="L28" s="475">
        <f t="shared" si="18"/>
        <v>0</v>
      </c>
      <c r="M28" s="475">
        <f t="shared" si="18"/>
        <v>0</v>
      </c>
      <c r="N28" s="475">
        <f t="shared" si="18"/>
        <v>0</v>
      </c>
      <c r="Q28" s="4"/>
    </row>
    <row r="29" spans="1:26">
      <c r="A29" s="4" t="s">
        <v>382</v>
      </c>
      <c r="B29" s="4" t="s">
        <v>373</v>
      </c>
      <c r="C29" s="30">
        <f>IF(C$20&lt;91,0,IF(C$20&gt;120,0,C21-C28))</f>
        <v>0</v>
      </c>
      <c r="D29" s="30">
        <f t="shared" ref="D29:N29" si="19">IF(D$20&lt;91,0,IF(D$20&gt;120,0,D21-D28))</f>
        <v>0</v>
      </c>
      <c r="E29" s="30">
        <f t="shared" si="19"/>
        <v>0</v>
      </c>
      <c r="F29" s="30">
        <f t="shared" si="19"/>
        <v>0</v>
      </c>
      <c r="G29" s="30">
        <f t="shared" si="19"/>
        <v>0</v>
      </c>
      <c r="H29" s="30">
        <f t="shared" si="19"/>
        <v>0</v>
      </c>
      <c r="I29" s="30">
        <f t="shared" si="19"/>
        <v>0</v>
      </c>
      <c r="J29" s="30">
        <f t="shared" si="19"/>
        <v>0</v>
      </c>
      <c r="K29" s="30">
        <f t="shared" si="19"/>
        <v>0</v>
      </c>
      <c r="L29" s="30">
        <f t="shared" si="19"/>
        <v>0</v>
      </c>
      <c r="M29" s="30">
        <f t="shared" si="19"/>
        <v>0</v>
      </c>
      <c r="N29" s="30">
        <f t="shared" si="19"/>
        <v>0</v>
      </c>
      <c r="Q29" s="4"/>
    </row>
    <row r="30" spans="1:26">
      <c r="A30" s="474" t="s">
        <v>382</v>
      </c>
      <c r="B30" s="474" t="s">
        <v>373</v>
      </c>
      <c r="C30" s="475">
        <f t="shared" ref="C30:N30" si="20">IF(C$20&lt;121,0,IF(C$20&gt;150,0,C$21*(150-C$20))/30)</f>
        <v>0</v>
      </c>
      <c r="D30" s="475">
        <f t="shared" si="20"/>
        <v>0</v>
      </c>
      <c r="E30" s="475">
        <f t="shared" si="20"/>
        <v>0</v>
      </c>
      <c r="F30" s="475">
        <f t="shared" si="20"/>
        <v>0</v>
      </c>
      <c r="G30" s="475">
        <f t="shared" si="20"/>
        <v>0</v>
      </c>
      <c r="H30" s="475">
        <f t="shared" si="20"/>
        <v>0</v>
      </c>
      <c r="I30" s="475">
        <f t="shared" si="20"/>
        <v>0</v>
      </c>
      <c r="J30" s="475">
        <f t="shared" si="20"/>
        <v>0</v>
      </c>
      <c r="K30" s="475">
        <f t="shared" si="20"/>
        <v>0</v>
      </c>
      <c r="L30" s="475">
        <f t="shared" si="20"/>
        <v>0</v>
      </c>
      <c r="M30" s="475">
        <f t="shared" si="20"/>
        <v>0</v>
      </c>
      <c r="N30" s="475">
        <f t="shared" si="20"/>
        <v>0</v>
      </c>
      <c r="Q30" s="4"/>
    </row>
    <row r="31" spans="1:26">
      <c r="A31" s="4" t="s">
        <v>383</v>
      </c>
      <c r="B31" s="4" t="s">
        <v>374</v>
      </c>
      <c r="C31" s="30">
        <f>IF(C$20&lt;121,0,IF(C$20&gt;150,0,C21-C30))</f>
        <v>0</v>
      </c>
      <c r="D31" s="30">
        <f t="shared" ref="D31:N31" si="21">IF(D$20&lt;121,0,IF(D$20&gt;150,0,D21-D30))</f>
        <v>0</v>
      </c>
      <c r="E31" s="30">
        <f t="shared" si="21"/>
        <v>0</v>
      </c>
      <c r="F31" s="30">
        <f t="shared" si="21"/>
        <v>0</v>
      </c>
      <c r="G31" s="30">
        <f t="shared" si="21"/>
        <v>0</v>
      </c>
      <c r="H31" s="30">
        <f t="shared" si="21"/>
        <v>0</v>
      </c>
      <c r="I31" s="30">
        <f t="shared" si="21"/>
        <v>0</v>
      </c>
      <c r="J31" s="30">
        <f t="shared" si="21"/>
        <v>0</v>
      </c>
      <c r="K31" s="30">
        <f t="shared" si="21"/>
        <v>0</v>
      </c>
      <c r="L31" s="30">
        <f t="shared" si="21"/>
        <v>0</v>
      </c>
      <c r="M31" s="30">
        <f t="shared" si="21"/>
        <v>0</v>
      </c>
      <c r="N31" s="30">
        <f t="shared" si="21"/>
        <v>0</v>
      </c>
      <c r="Q31" s="4"/>
    </row>
    <row r="32" spans="1:26">
      <c r="A32" s="474" t="s">
        <v>383</v>
      </c>
      <c r="B32" s="474" t="s">
        <v>374</v>
      </c>
      <c r="C32" s="475">
        <f t="shared" ref="C32:N32" si="22">IF(C$20&lt;151,0,IF(C$20&gt;180,0,C$21*(180-C$20))/30)</f>
        <v>0</v>
      </c>
      <c r="D32" s="475">
        <f t="shared" si="22"/>
        <v>0</v>
      </c>
      <c r="E32" s="475">
        <f t="shared" si="22"/>
        <v>0</v>
      </c>
      <c r="F32" s="475">
        <f t="shared" si="22"/>
        <v>0</v>
      </c>
      <c r="G32" s="475">
        <f t="shared" si="22"/>
        <v>0</v>
      </c>
      <c r="H32" s="475">
        <f t="shared" si="22"/>
        <v>0</v>
      </c>
      <c r="I32" s="475">
        <f t="shared" si="22"/>
        <v>0</v>
      </c>
      <c r="J32" s="475">
        <f t="shared" si="22"/>
        <v>0</v>
      </c>
      <c r="K32" s="475">
        <f t="shared" si="22"/>
        <v>0</v>
      </c>
      <c r="L32" s="475">
        <f t="shared" si="22"/>
        <v>0</v>
      </c>
      <c r="M32" s="475">
        <f t="shared" si="22"/>
        <v>0</v>
      </c>
      <c r="N32" s="475">
        <f t="shared" si="22"/>
        <v>0</v>
      </c>
      <c r="Q32" s="4"/>
    </row>
    <row r="33" spans="1:17">
      <c r="A33" s="4"/>
      <c r="B33" s="4" t="s">
        <v>376</v>
      </c>
      <c r="C33" s="30">
        <f>IF(C$20&lt;151,0,IF(C$20&gt;180,0,C21-C32))</f>
        <v>0</v>
      </c>
      <c r="D33" s="30">
        <f t="shared" ref="D33:N33" si="23">IF(D$20&lt;151,0,IF(D$20&gt;180,0,D21-D32))</f>
        <v>0</v>
      </c>
      <c r="E33" s="30">
        <f t="shared" si="23"/>
        <v>0</v>
      </c>
      <c r="F33" s="30">
        <f t="shared" si="23"/>
        <v>0</v>
      </c>
      <c r="G33" s="30">
        <f t="shared" si="23"/>
        <v>0</v>
      </c>
      <c r="H33" s="30">
        <f t="shared" si="23"/>
        <v>0</v>
      </c>
      <c r="I33" s="30">
        <f t="shared" si="23"/>
        <v>0</v>
      </c>
      <c r="J33" s="30">
        <f t="shared" si="23"/>
        <v>0</v>
      </c>
      <c r="K33" s="30">
        <f t="shared" si="23"/>
        <v>0</v>
      </c>
      <c r="L33" s="30">
        <f t="shared" si="23"/>
        <v>0</v>
      </c>
      <c r="M33" s="30">
        <f t="shared" si="23"/>
        <v>0</v>
      </c>
      <c r="N33" s="30">
        <f t="shared" si="23"/>
        <v>0</v>
      </c>
      <c r="Q33" s="4"/>
    </row>
    <row r="34" spans="1:17" s="2" customFormat="1">
      <c r="A34" s="28"/>
      <c r="B34" s="28" t="s">
        <v>377</v>
      </c>
      <c r="C34" s="471">
        <f t="shared" ref="C34:N34" si="24">C2</f>
        <v>45658</v>
      </c>
      <c r="D34" s="471">
        <f t="shared" si="24"/>
        <v>45689</v>
      </c>
      <c r="E34" s="471">
        <f t="shared" si="24"/>
        <v>45720</v>
      </c>
      <c r="F34" s="471">
        <f t="shared" si="24"/>
        <v>45751</v>
      </c>
      <c r="G34" s="471">
        <f t="shared" si="24"/>
        <v>45782</v>
      </c>
      <c r="H34" s="471">
        <f t="shared" si="24"/>
        <v>45813</v>
      </c>
      <c r="I34" s="471">
        <f t="shared" si="24"/>
        <v>45844</v>
      </c>
      <c r="J34" s="471">
        <f t="shared" si="24"/>
        <v>45875</v>
      </c>
      <c r="K34" s="471">
        <f t="shared" si="24"/>
        <v>45906</v>
      </c>
      <c r="L34" s="471">
        <f t="shared" si="24"/>
        <v>45937</v>
      </c>
      <c r="M34" s="471">
        <f t="shared" si="24"/>
        <v>45968</v>
      </c>
      <c r="N34" s="471">
        <f t="shared" si="24"/>
        <v>45999</v>
      </c>
      <c r="Q34" s="4"/>
    </row>
    <row r="35" spans="1:17">
      <c r="A35" s="4"/>
      <c r="B35" s="4" t="s">
        <v>396</v>
      </c>
      <c r="C35" s="30">
        <f t="shared" ref="C35:H35" si="25">C22</f>
        <v>0</v>
      </c>
      <c r="D35" s="30">
        <f t="shared" si="25"/>
        <v>0</v>
      </c>
      <c r="E35" s="30">
        <f t="shared" si="25"/>
        <v>0</v>
      </c>
      <c r="F35" s="30">
        <f t="shared" si="25"/>
        <v>0</v>
      </c>
      <c r="G35" s="30">
        <f t="shared" si="25"/>
        <v>0</v>
      </c>
      <c r="H35" s="30">
        <f t="shared" si="25"/>
        <v>0</v>
      </c>
      <c r="I35" s="30">
        <f t="shared" ref="I35:N35" si="26">I22</f>
        <v>0</v>
      </c>
      <c r="J35" s="30">
        <f t="shared" si="26"/>
        <v>0</v>
      </c>
      <c r="K35" s="30">
        <f t="shared" si="26"/>
        <v>0</v>
      </c>
      <c r="L35" s="30">
        <f t="shared" si="26"/>
        <v>0</v>
      </c>
      <c r="M35" s="30">
        <f t="shared" si="26"/>
        <v>0</v>
      </c>
      <c r="N35" s="30">
        <f t="shared" si="26"/>
        <v>0</v>
      </c>
    </row>
    <row r="36" spans="1:17">
      <c r="A36" s="4"/>
      <c r="B36" s="4" t="s">
        <v>370</v>
      </c>
      <c r="C36" s="30"/>
      <c r="D36" s="30">
        <f>C23+C24</f>
        <v>0</v>
      </c>
      <c r="E36" s="30">
        <f>D23+D24</f>
        <v>0</v>
      </c>
      <c r="F36" s="30">
        <f t="shared" ref="F36:M36" si="27">E23+E24</f>
        <v>0</v>
      </c>
      <c r="G36" s="30">
        <f t="shared" si="27"/>
        <v>0</v>
      </c>
      <c r="H36" s="30">
        <f t="shared" si="27"/>
        <v>0</v>
      </c>
      <c r="I36" s="30">
        <f t="shared" si="27"/>
        <v>0</v>
      </c>
      <c r="J36" s="30">
        <f t="shared" si="27"/>
        <v>0</v>
      </c>
      <c r="K36" s="30">
        <f t="shared" si="27"/>
        <v>0</v>
      </c>
      <c r="L36" s="30">
        <f t="shared" si="27"/>
        <v>0</v>
      </c>
      <c r="M36" s="30">
        <f t="shared" si="27"/>
        <v>0</v>
      </c>
      <c r="N36" s="30">
        <f>M23+M24</f>
        <v>0</v>
      </c>
    </row>
    <row r="37" spans="1:17">
      <c r="A37" s="4"/>
      <c r="B37" s="4" t="s">
        <v>371</v>
      </c>
      <c r="C37" s="30"/>
      <c r="D37" s="30"/>
      <c r="E37" s="30">
        <f>C25+C26</f>
        <v>0</v>
      </c>
      <c r="F37" s="30">
        <f t="shared" ref="F37:M37" si="28">D25+D26</f>
        <v>0</v>
      </c>
      <c r="G37" s="30">
        <f t="shared" si="28"/>
        <v>0</v>
      </c>
      <c r="H37" s="30">
        <f t="shared" si="28"/>
        <v>0</v>
      </c>
      <c r="I37" s="30">
        <f t="shared" si="28"/>
        <v>0</v>
      </c>
      <c r="J37" s="30">
        <f t="shared" si="28"/>
        <v>0</v>
      </c>
      <c r="K37" s="30">
        <f t="shared" si="28"/>
        <v>0</v>
      </c>
      <c r="L37" s="30">
        <f t="shared" si="28"/>
        <v>0</v>
      </c>
      <c r="M37" s="30">
        <f t="shared" si="28"/>
        <v>0</v>
      </c>
      <c r="N37" s="30">
        <f>L25+L26</f>
        <v>0</v>
      </c>
    </row>
    <row r="38" spans="1:17">
      <c r="A38" s="4"/>
      <c r="B38" s="4" t="s">
        <v>372</v>
      </c>
      <c r="C38" s="30"/>
      <c r="D38" s="30"/>
      <c r="E38" s="30"/>
      <c r="F38" s="30">
        <f>C27+C28</f>
        <v>0</v>
      </c>
      <c r="G38" s="30">
        <f t="shared" ref="G38:N38" si="29">D27+D28</f>
        <v>0</v>
      </c>
      <c r="H38" s="30">
        <f t="shared" si="29"/>
        <v>0</v>
      </c>
      <c r="I38" s="30">
        <f t="shared" si="29"/>
        <v>0</v>
      </c>
      <c r="J38" s="30">
        <f t="shared" si="29"/>
        <v>0</v>
      </c>
      <c r="K38" s="30">
        <f t="shared" si="29"/>
        <v>0</v>
      </c>
      <c r="L38" s="30">
        <f t="shared" si="29"/>
        <v>0</v>
      </c>
      <c r="M38" s="30">
        <f t="shared" si="29"/>
        <v>0</v>
      </c>
      <c r="N38" s="30">
        <f t="shared" si="29"/>
        <v>0</v>
      </c>
    </row>
    <row r="39" spans="1:17">
      <c r="A39" s="4"/>
      <c r="B39" s="4" t="s">
        <v>373</v>
      </c>
      <c r="C39" s="30"/>
      <c r="D39" s="30"/>
      <c r="E39" s="30"/>
      <c r="F39" s="30"/>
      <c r="G39" s="30">
        <f>C29+C30</f>
        <v>0</v>
      </c>
      <c r="H39" s="30">
        <f t="shared" ref="H39:N39" si="30">D29+D30</f>
        <v>0</v>
      </c>
      <c r="I39" s="30">
        <f t="shared" si="30"/>
        <v>0</v>
      </c>
      <c r="J39" s="30">
        <f t="shared" si="30"/>
        <v>0</v>
      </c>
      <c r="K39" s="30">
        <f t="shared" si="30"/>
        <v>0</v>
      </c>
      <c r="L39" s="30">
        <f t="shared" si="30"/>
        <v>0</v>
      </c>
      <c r="M39" s="30">
        <f t="shared" si="30"/>
        <v>0</v>
      </c>
      <c r="N39" s="30">
        <f t="shared" si="30"/>
        <v>0</v>
      </c>
    </row>
    <row r="40" spans="1:17">
      <c r="A40" s="4"/>
      <c r="B40" s="4" t="s">
        <v>374</v>
      </c>
      <c r="C40" s="30"/>
      <c r="D40" s="30"/>
      <c r="E40" s="30"/>
      <c r="F40" s="30"/>
      <c r="G40" s="30"/>
      <c r="H40" s="30">
        <f>C31+C32</f>
        <v>0</v>
      </c>
      <c r="I40" s="30">
        <f t="shared" ref="I40:N40" si="31">D31+D32</f>
        <v>0</v>
      </c>
      <c r="J40" s="30">
        <f t="shared" si="31"/>
        <v>0</v>
      </c>
      <c r="K40" s="30">
        <f t="shared" si="31"/>
        <v>0</v>
      </c>
      <c r="L40" s="30">
        <f t="shared" si="31"/>
        <v>0</v>
      </c>
      <c r="M40" s="30">
        <f t="shared" si="31"/>
        <v>0</v>
      </c>
      <c r="N40" s="30">
        <f t="shared" si="31"/>
        <v>0</v>
      </c>
    </row>
    <row r="41" spans="1:17">
      <c r="A41" s="4"/>
      <c r="B41" s="4" t="s">
        <v>376</v>
      </c>
      <c r="C41" s="30"/>
      <c r="D41" s="30"/>
      <c r="E41" s="30"/>
      <c r="F41" s="30"/>
      <c r="G41" s="30"/>
      <c r="H41" s="30"/>
      <c r="I41" s="30">
        <f t="shared" ref="I41:N41" si="32">C33</f>
        <v>0</v>
      </c>
      <c r="J41" s="30">
        <f t="shared" si="32"/>
        <v>0</v>
      </c>
      <c r="K41" s="30">
        <f t="shared" si="32"/>
        <v>0</v>
      </c>
      <c r="L41" s="30">
        <f t="shared" si="32"/>
        <v>0</v>
      </c>
      <c r="M41" s="30">
        <f t="shared" si="32"/>
        <v>0</v>
      </c>
      <c r="N41" s="30">
        <f t="shared" si="32"/>
        <v>0</v>
      </c>
    </row>
    <row r="42" spans="1:17" s="2" customFormat="1">
      <c r="A42" s="28"/>
      <c r="B42" s="28" t="s">
        <v>378</v>
      </c>
      <c r="C42" s="473">
        <f>SUM(C35:C41)</f>
        <v>0</v>
      </c>
      <c r="D42" s="473">
        <f t="shared" ref="D42:N42" si="33">SUM(D35:D41)</f>
        <v>0</v>
      </c>
      <c r="E42" s="473">
        <f t="shared" si="33"/>
        <v>0</v>
      </c>
      <c r="F42" s="473">
        <f t="shared" si="33"/>
        <v>0</v>
      </c>
      <c r="G42" s="473">
        <f t="shared" si="33"/>
        <v>0</v>
      </c>
      <c r="H42" s="473">
        <f t="shared" si="33"/>
        <v>0</v>
      </c>
      <c r="I42" s="473">
        <f t="shared" si="33"/>
        <v>0</v>
      </c>
      <c r="J42" s="473">
        <f t="shared" si="33"/>
        <v>0</v>
      </c>
      <c r="K42" s="473">
        <f t="shared" si="33"/>
        <v>0</v>
      </c>
      <c r="L42" s="473">
        <f t="shared" si="33"/>
        <v>0</v>
      </c>
      <c r="M42" s="473">
        <f t="shared" si="33"/>
        <v>0</v>
      </c>
      <c r="N42" s="473">
        <f t="shared" si="33"/>
        <v>0</v>
      </c>
    </row>
    <row r="43" spans="1:17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</row>
    <row r="44" spans="1:17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</row>
    <row r="45" spans="1:17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</row>
    <row r="46" spans="1:17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</row>
    <row r="47" spans="1:1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</row>
    <row r="48" spans="1:17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</row>
    <row r="49" spans="1:14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</row>
    <row r="50" spans="1:14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</row>
    <row r="51" spans="1:14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</row>
    <row r="52" spans="1:14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</row>
    <row r="53" spans="1:14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</row>
    <row r="54" spans="1:14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</row>
    <row r="55" spans="1:14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1:14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</row>
    <row r="57" spans="1:14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</row>
    <row r="58" spans="1:14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</row>
    <row r="59" spans="1:14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</row>
    <row r="60" spans="1:14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</row>
    <row r="61" spans="1:14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</row>
    <row r="62" spans="1:14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</row>
    <row r="63" spans="1:14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</row>
    <row r="64" spans="1:14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</row>
    <row r="65" spans="1:14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</row>
    <row r="66" spans="1:14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</row>
    <row r="67" spans="1:14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</row>
    <row r="68" spans="1:14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</row>
  </sheetData>
  <sheetProtection algorithmName="SHA-512" hashValue="6loeM2erbdVopAAr5oJHogE3+at52pFeX5USeXQhYvPp3fv5+YIdHmrYnjY3QxTzxGOl7Vd1L7r+nVE8lfrdiQ==" saltValue="115JEDAnAyHmhMVRq7ieEg==" spinCount="100000" sheet="1" objects="1" scenarios="1" selectLockedCells="1" selectUnlockedCells="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ul6">
    <tabColor rgb="FF0152A1"/>
  </sheetPr>
  <dimension ref="A1:HF194"/>
  <sheetViews>
    <sheetView showGridLines="0" showZeros="0" defaultGridColor="0" colorId="55" zoomScaleNormal="100" workbookViewId="0">
      <selection activeCell="E12" sqref="E12"/>
    </sheetView>
  </sheetViews>
  <sheetFormatPr defaultRowHeight="12.45"/>
  <cols>
    <col min="2" max="2" width="3.84375" customWidth="1"/>
    <col min="3" max="3" width="4.3046875" customWidth="1"/>
    <col min="4" max="4" width="30.3046875" customWidth="1"/>
    <col min="5" max="5" width="8.4609375" customWidth="1"/>
    <col min="6" max="6" width="5.3046875" style="38" customWidth="1"/>
    <col min="7" max="19" width="9.84375" customWidth="1"/>
    <col min="20" max="20" width="10.69140625" customWidth="1"/>
    <col min="21" max="21" width="10.3046875" style="245" customWidth="1"/>
    <col min="22" max="22" width="9.69140625" style="245" hidden="1" customWidth="1"/>
    <col min="23" max="49" width="9.3046875" hidden="1" customWidth="1"/>
    <col min="50" max="50" width="9.69140625" hidden="1" customWidth="1"/>
  </cols>
  <sheetData>
    <row r="1" spans="1:25" ht="16.399999999999999" customHeight="1"/>
    <row r="2" spans="1:25" ht="15" customHeight="1"/>
    <row r="3" spans="1:25" ht="19.649999999999999" customHeight="1">
      <c r="A3" s="1527" t="s">
        <v>740</v>
      </c>
    </row>
    <row r="4" spans="1:25">
      <c r="I4" s="1778"/>
      <c r="J4" s="1778"/>
    </row>
    <row r="5" spans="1:25" ht="15.75" customHeight="1">
      <c r="B5" s="89" t="s">
        <v>178</v>
      </c>
      <c r="C5" s="98"/>
      <c r="D5" s="99"/>
      <c r="E5" s="2104" t="s">
        <v>328</v>
      </c>
      <c r="F5" s="2104"/>
      <c r="G5" s="2104"/>
      <c r="H5" s="1458">
        <v>1</v>
      </c>
      <c r="I5" s="384"/>
      <c r="J5" s="2114"/>
      <c r="K5" s="2114"/>
      <c r="L5" s="784"/>
      <c r="M5" s="784"/>
      <c r="O5" s="2086" t="s">
        <v>615</v>
      </c>
      <c r="P5" s="2086"/>
      <c r="Q5" s="2086"/>
      <c r="R5" s="98"/>
      <c r="S5" s="98"/>
    </row>
    <row r="6" spans="1:25" ht="10.5" customHeight="1">
      <c r="B6" s="161" t="s">
        <v>685</v>
      </c>
      <c r="C6" s="98"/>
      <c r="D6" s="99"/>
      <c r="E6" s="99"/>
      <c r="F6" s="127"/>
      <c r="G6" s="127"/>
      <c r="H6" s="159"/>
      <c r="I6" s="100"/>
      <c r="J6" s="785" t="s">
        <v>520</v>
      </c>
      <c r="K6" s="786"/>
      <c r="L6" s="786"/>
      <c r="M6" s="786"/>
      <c r="O6" s="160"/>
      <c r="P6" s="160"/>
      <c r="Q6" s="160"/>
      <c r="R6" s="98"/>
      <c r="S6" s="98"/>
    </row>
    <row r="7" spans="1:25" ht="14.15">
      <c r="B7" s="1954">
        <f>'1. T1 INVESTOINTISUUN.'!B7:D7</f>
        <v>0</v>
      </c>
      <c r="C7" s="1954"/>
      <c r="D7" s="1954"/>
      <c r="E7" s="1954"/>
      <c r="G7" s="101"/>
      <c r="H7" s="101"/>
      <c r="I7" s="101"/>
      <c r="J7" s="2109">
        <f>'1. T1 INVESTOINTISUUN.'!B9</f>
        <v>0</v>
      </c>
      <c r="K7" s="2109"/>
      <c r="L7" s="2109"/>
      <c r="M7" s="2109"/>
      <c r="O7" s="2087" t="s">
        <v>167</v>
      </c>
      <c r="P7" s="2087"/>
      <c r="Q7" s="2087"/>
      <c r="R7" s="101"/>
      <c r="S7" s="102"/>
      <c r="U7" s="1738"/>
      <c r="V7" s="1738"/>
      <c r="W7" s="2088"/>
      <c r="X7" s="2088"/>
    </row>
    <row r="8" spans="1:25" ht="10.199999999999999" customHeight="1">
      <c r="B8" s="101"/>
      <c r="C8" s="101"/>
      <c r="G8" s="101"/>
      <c r="H8" s="101"/>
      <c r="I8" s="101"/>
      <c r="J8" s="101"/>
      <c r="K8" s="101"/>
      <c r="L8" s="101"/>
      <c r="M8" s="101"/>
      <c r="N8" s="1255"/>
      <c r="O8" s="1255"/>
      <c r="P8" s="1255"/>
      <c r="Q8" s="101"/>
      <c r="R8" s="101"/>
      <c r="S8" s="102"/>
    </row>
    <row r="9" spans="1:25" ht="16.2" customHeight="1">
      <c r="B9" s="2098" t="s">
        <v>672</v>
      </c>
      <c r="C9" s="2099"/>
      <c r="D9" s="2099"/>
      <c r="E9" s="2100"/>
      <c r="F9" s="1252" t="s">
        <v>166</v>
      </c>
      <c r="G9" s="1268">
        <v>45658</v>
      </c>
      <c r="H9" s="1253">
        <f>G9+31</f>
        <v>45689</v>
      </c>
      <c r="I9" s="1253">
        <f t="shared" ref="I9:R9" si="0">H9+31</f>
        <v>45720</v>
      </c>
      <c r="J9" s="1253">
        <f t="shared" si="0"/>
        <v>45751</v>
      </c>
      <c r="K9" s="1253">
        <f t="shared" si="0"/>
        <v>45782</v>
      </c>
      <c r="L9" s="1253">
        <f t="shared" si="0"/>
        <v>45813</v>
      </c>
      <c r="M9" s="1253">
        <f t="shared" si="0"/>
        <v>45844</v>
      </c>
      <c r="N9" s="1253">
        <f t="shared" si="0"/>
        <v>45875</v>
      </c>
      <c r="O9" s="1253">
        <f t="shared" si="0"/>
        <v>45906</v>
      </c>
      <c r="P9" s="1253">
        <f t="shared" si="0"/>
        <v>45937</v>
      </c>
      <c r="Q9" s="1253">
        <f t="shared" si="0"/>
        <v>45968</v>
      </c>
      <c r="R9" s="1253">
        <f t="shared" si="0"/>
        <v>45999</v>
      </c>
      <c r="S9" s="1258" t="s">
        <v>148</v>
      </c>
    </row>
    <row r="10" spans="1:25" ht="12.65" customHeight="1">
      <c r="B10" s="2110">
        <v>1</v>
      </c>
      <c r="C10" s="2105" t="s">
        <v>726</v>
      </c>
      <c r="D10" s="2106"/>
      <c r="E10" s="2106"/>
      <c r="F10" s="2107"/>
      <c r="G10" s="1256">
        <f>IF(H5=1,'3. T3 TASE '!G49,'3. T3 TASE '!H49)</f>
        <v>0</v>
      </c>
      <c r="H10" s="1257">
        <f>G56</f>
        <v>0</v>
      </c>
      <c r="I10" s="1257">
        <f t="shared" ref="I10:R10" si="1">H56</f>
        <v>0</v>
      </c>
      <c r="J10" s="1257">
        <f t="shared" si="1"/>
        <v>0</v>
      </c>
      <c r="K10" s="1257">
        <f t="shared" si="1"/>
        <v>0</v>
      </c>
      <c r="L10" s="1257">
        <f t="shared" si="1"/>
        <v>0</v>
      </c>
      <c r="M10" s="1257">
        <f t="shared" si="1"/>
        <v>0</v>
      </c>
      <c r="N10" s="1257">
        <f t="shared" si="1"/>
        <v>0</v>
      </c>
      <c r="O10" s="1257">
        <f t="shared" si="1"/>
        <v>0</v>
      </c>
      <c r="P10" s="1257">
        <f t="shared" si="1"/>
        <v>0</v>
      </c>
      <c r="Q10" s="1257">
        <f t="shared" si="1"/>
        <v>0</v>
      </c>
      <c r="R10" s="1257">
        <f t="shared" si="1"/>
        <v>0</v>
      </c>
      <c r="S10" s="1257"/>
    </row>
    <row r="11" spans="1:25" ht="12.65" customHeight="1">
      <c r="B11" s="2035"/>
      <c r="C11" s="2111" t="s">
        <v>727</v>
      </c>
      <c r="D11" s="2112"/>
      <c r="E11" s="2112"/>
      <c r="F11" s="2113"/>
      <c r="G11" s="1475">
        <f>'AT T5 Kassa'!C18</f>
        <v>0</v>
      </c>
      <c r="H11" s="1475">
        <f>'AT T5 Kassa'!D18</f>
        <v>0</v>
      </c>
      <c r="I11" s="1475">
        <f>'AT T5 Kassa'!E18</f>
        <v>0</v>
      </c>
      <c r="J11" s="1475">
        <f>'AT T5 Kassa'!F18</f>
        <v>0</v>
      </c>
      <c r="K11" s="1475">
        <f>'AT T5 Kassa'!G18</f>
        <v>0</v>
      </c>
      <c r="L11" s="1475">
        <f>'AT T5 Kassa'!H18</f>
        <v>0</v>
      </c>
      <c r="M11" s="667"/>
      <c r="N11" s="667"/>
      <c r="O11" s="667"/>
      <c r="P11" s="667"/>
      <c r="Q11" s="667"/>
      <c r="R11" s="667"/>
      <c r="S11" s="668">
        <f>SUM(G11:R11)</f>
        <v>0</v>
      </c>
      <c r="U11" s="760"/>
      <c r="V11" s="760"/>
      <c r="W11" s="140"/>
      <c r="X11" s="140"/>
      <c r="Y11" s="140"/>
    </row>
    <row r="12" spans="1:25" ht="12.65" customHeight="1">
      <c r="A12" s="51"/>
      <c r="B12" s="787">
        <v>2</v>
      </c>
      <c r="C12" s="2055" t="s">
        <v>149</v>
      </c>
      <c r="D12" s="2108"/>
      <c r="E12" s="368">
        <v>0.5</v>
      </c>
      <c r="F12" s="369">
        <v>24</v>
      </c>
      <c r="G12" s="669">
        <f t="shared" ref="G12:R12" si="2">G13*$S12</f>
        <v>0</v>
      </c>
      <c r="H12" s="669">
        <f t="shared" si="2"/>
        <v>0</v>
      </c>
      <c r="I12" s="669">
        <f t="shared" si="2"/>
        <v>0</v>
      </c>
      <c r="J12" s="669">
        <f t="shared" si="2"/>
        <v>0</v>
      </c>
      <c r="K12" s="669">
        <f t="shared" si="2"/>
        <v>0</v>
      </c>
      <c r="L12" s="669">
        <f t="shared" si="2"/>
        <v>0</v>
      </c>
      <c r="M12" s="669">
        <f>M13*$S12</f>
        <v>0</v>
      </c>
      <c r="N12" s="669">
        <f t="shared" si="2"/>
        <v>0</v>
      </c>
      <c r="O12" s="669">
        <f t="shared" si="2"/>
        <v>0</v>
      </c>
      <c r="P12" s="669">
        <f t="shared" si="2"/>
        <v>0</v>
      </c>
      <c r="Q12" s="669">
        <f t="shared" si="2"/>
        <v>0</v>
      </c>
      <c r="R12" s="669">
        <f t="shared" si="2"/>
        <v>0</v>
      </c>
      <c r="S12" s="670">
        <f>IF(H5=2,E12*('6. E2 LIIKEVAIHTO '!$F$10+'6. E2 LIIKEVAIHTO '!$F$13),E12*('6. E2 LIIKEVAIHTO '!$E$10+'6. E2 LIIKEVAIHTO '!$E$13))</f>
        <v>0</v>
      </c>
      <c r="U12" s="142"/>
      <c r="V12" s="142"/>
      <c r="W12" s="140"/>
      <c r="X12" s="140"/>
      <c r="Y12" s="140"/>
    </row>
    <row r="13" spans="1:25" ht="12.65" customHeight="1">
      <c r="B13" s="788"/>
      <c r="C13" s="370"/>
      <c r="D13" s="2056" t="s">
        <v>150</v>
      </c>
      <c r="E13" s="2056"/>
      <c r="F13" s="2057"/>
      <c r="G13" s="671">
        <v>8.3000000000000004E-2</v>
      </c>
      <c r="H13" s="671">
        <f>G13</f>
        <v>8.3000000000000004E-2</v>
      </c>
      <c r="I13" s="671">
        <f t="shared" ref="I13:Q13" si="3">H13</f>
        <v>8.3000000000000004E-2</v>
      </c>
      <c r="J13" s="671">
        <f t="shared" si="3"/>
        <v>8.3000000000000004E-2</v>
      </c>
      <c r="K13" s="671">
        <f t="shared" si="3"/>
        <v>8.3000000000000004E-2</v>
      </c>
      <c r="L13" s="671">
        <f t="shared" si="3"/>
        <v>8.3000000000000004E-2</v>
      </c>
      <c r="M13" s="671">
        <f t="shared" si="3"/>
        <v>8.3000000000000004E-2</v>
      </c>
      <c r="N13" s="671">
        <f t="shared" si="3"/>
        <v>8.3000000000000004E-2</v>
      </c>
      <c r="O13" s="671">
        <f t="shared" si="3"/>
        <v>8.3000000000000004E-2</v>
      </c>
      <c r="P13" s="671">
        <f t="shared" si="3"/>
        <v>8.3000000000000004E-2</v>
      </c>
      <c r="Q13" s="671">
        <f t="shared" si="3"/>
        <v>8.3000000000000004E-2</v>
      </c>
      <c r="R13" s="671">
        <v>8.6999999999999994E-2</v>
      </c>
      <c r="S13" s="672">
        <f>SUM(G13:R13)</f>
        <v>0.99999999999999989</v>
      </c>
      <c r="T13" s="221" t="str">
        <f>IF(E12=0," ",IF(S13=100%," ","VIRHE!"))</f>
        <v xml:space="preserve"> </v>
      </c>
    </row>
    <row r="14" spans="1:25" ht="12.65" customHeight="1">
      <c r="A14" s="51"/>
      <c r="B14" s="788">
        <v>3</v>
      </c>
      <c r="C14" s="2055" t="s">
        <v>151</v>
      </c>
      <c r="D14" s="2056"/>
      <c r="E14" s="2057"/>
      <c r="F14" s="371">
        <v>24</v>
      </c>
      <c r="G14" s="669">
        <f>G15*$S14</f>
        <v>0</v>
      </c>
      <c r="H14" s="669">
        <f>H15*$S14</f>
        <v>0</v>
      </c>
      <c r="I14" s="669">
        <f t="shared" ref="I14:R14" si="4">I15*$S14</f>
        <v>0</v>
      </c>
      <c r="J14" s="669">
        <f t="shared" si="4"/>
        <v>0</v>
      </c>
      <c r="K14" s="669">
        <f t="shared" si="4"/>
        <v>0</v>
      </c>
      <c r="L14" s="669">
        <f t="shared" si="4"/>
        <v>0</v>
      </c>
      <c r="M14" s="669">
        <f t="shared" si="4"/>
        <v>0</v>
      </c>
      <c r="N14" s="669">
        <f t="shared" si="4"/>
        <v>0</v>
      </c>
      <c r="O14" s="669">
        <f t="shared" si="4"/>
        <v>0</v>
      </c>
      <c r="P14" s="669">
        <f t="shared" si="4"/>
        <v>0</v>
      </c>
      <c r="Q14" s="669">
        <f t="shared" si="4"/>
        <v>0</v>
      </c>
      <c r="R14" s="669">
        <f t="shared" si="4"/>
        <v>0</v>
      </c>
      <c r="S14" s="669">
        <f>IF(H5=2,('6. E2 LIIKEVAIHTO '!F10+'6. E2 LIIKEVAIHTO '!F13)-S12,'6. E2 LIIKEVAIHTO '!E10+'6. E2 LIIKEVAIHTO '!E13-S12)</f>
        <v>0</v>
      </c>
      <c r="U14" s="256"/>
      <c r="V14" s="256"/>
    </row>
    <row r="15" spans="1:25" ht="12.65" customHeight="1">
      <c r="A15" s="2"/>
      <c r="B15" s="788"/>
      <c r="C15" s="370"/>
      <c r="D15" s="2056" t="s">
        <v>152</v>
      </c>
      <c r="E15" s="2056"/>
      <c r="F15" s="2057"/>
      <c r="G15" s="673">
        <v>8.3000000000000004E-2</v>
      </c>
      <c r="H15" s="671">
        <f>G15</f>
        <v>8.3000000000000004E-2</v>
      </c>
      <c r="I15" s="671">
        <f t="shared" ref="I15:Q15" si="5">H15</f>
        <v>8.3000000000000004E-2</v>
      </c>
      <c r="J15" s="671">
        <f t="shared" si="5"/>
        <v>8.3000000000000004E-2</v>
      </c>
      <c r="K15" s="671">
        <f t="shared" si="5"/>
        <v>8.3000000000000004E-2</v>
      </c>
      <c r="L15" s="671">
        <f t="shared" si="5"/>
        <v>8.3000000000000004E-2</v>
      </c>
      <c r="M15" s="671">
        <f t="shared" si="5"/>
        <v>8.3000000000000004E-2</v>
      </c>
      <c r="N15" s="671">
        <f t="shared" si="5"/>
        <v>8.3000000000000004E-2</v>
      </c>
      <c r="O15" s="671">
        <f t="shared" si="5"/>
        <v>8.3000000000000004E-2</v>
      </c>
      <c r="P15" s="671">
        <f t="shared" si="5"/>
        <v>8.3000000000000004E-2</v>
      </c>
      <c r="Q15" s="671">
        <f t="shared" si="5"/>
        <v>8.3000000000000004E-2</v>
      </c>
      <c r="R15" s="671">
        <v>8.6999999999999994E-2</v>
      </c>
      <c r="S15" s="672">
        <f>SUM(G15:R15)</f>
        <v>0.99999999999999989</v>
      </c>
      <c r="T15" s="221" t="str">
        <f>IF(E12=100%," ",IF(S15=100%," ","VIRHE!"))</f>
        <v xml:space="preserve"> </v>
      </c>
    </row>
    <row r="16" spans="1:25" ht="12.65" customHeight="1" thickBot="1">
      <c r="A16" s="51"/>
      <c r="B16" s="788"/>
      <c r="C16" s="370"/>
      <c r="D16" s="372" t="s">
        <v>153</v>
      </c>
      <c r="E16" s="373">
        <f>'8. T4 RAHOITUSSUUN. '!H52</f>
        <v>0</v>
      </c>
      <c r="F16" s="374" t="s">
        <v>154</v>
      </c>
      <c r="G16" s="669">
        <f>'AT T5 Kassa'!C42</f>
        <v>0</v>
      </c>
      <c r="H16" s="669">
        <f>'AT T5 Kassa'!D42</f>
        <v>0</v>
      </c>
      <c r="I16" s="669">
        <f>'AT T5 Kassa'!E42</f>
        <v>0</v>
      </c>
      <c r="J16" s="669">
        <f>'AT T5 Kassa'!F42</f>
        <v>0</v>
      </c>
      <c r="K16" s="669">
        <f>'AT T5 Kassa'!G42</f>
        <v>0</v>
      </c>
      <c r="L16" s="669">
        <f>'AT T5 Kassa'!H42</f>
        <v>0</v>
      </c>
      <c r="M16" s="669">
        <f>'AT T5 Kassa'!I42</f>
        <v>0</v>
      </c>
      <c r="N16" s="669">
        <f>'AT T5 Kassa'!J42</f>
        <v>0</v>
      </c>
      <c r="O16" s="669">
        <f>'AT T5 Kassa'!K42</f>
        <v>0</v>
      </c>
      <c r="P16" s="669">
        <f>'AT T5 Kassa'!L42</f>
        <v>0</v>
      </c>
      <c r="Q16" s="669">
        <f>'AT T5 Kassa'!M42</f>
        <v>0</v>
      </c>
      <c r="R16" s="669">
        <f>'AT T5 Kassa'!N42</f>
        <v>0</v>
      </c>
      <c r="S16" s="670">
        <f>SUM(G16:R16)</f>
        <v>0</v>
      </c>
    </row>
    <row r="17" spans="1:49" ht="12.65" customHeight="1">
      <c r="A17" s="51"/>
      <c r="B17" s="788">
        <v>4</v>
      </c>
      <c r="C17" s="2066" t="s">
        <v>442</v>
      </c>
      <c r="D17" s="2067"/>
      <c r="E17" s="2068"/>
      <c r="F17" s="371">
        <v>24</v>
      </c>
      <c r="G17" s="1476">
        <v>0</v>
      </c>
      <c r="H17" s="1476"/>
      <c r="I17" s="1476">
        <v>0</v>
      </c>
      <c r="J17" s="1476">
        <v>0</v>
      </c>
      <c r="K17" s="1476"/>
      <c r="L17" s="1476"/>
      <c r="M17" s="1476"/>
      <c r="N17" s="1476"/>
      <c r="O17" s="1476"/>
      <c r="P17" s="1476">
        <v>0</v>
      </c>
      <c r="Q17" s="1476">
        <v>0</v>
      </c>
      <c r="R17" s="1476">
        <v>0</v>
      </c>
      <c r="S17" s="670">
        <f>SUM(G17:R17)</f>
        <v>0</v>
      </c>
      <c r="U17" s="2039" t="s">
        <v>668</v>
      </c>
      <c r="V17" s="1154"/>
    </row>
    <row r="18" spans="1:49" ht="12.65" customHeight="1" thickBot="1">
      <c r="B18" s="789">
        <v>5</v>
      </c>
      <c r="C18" s="2063" t="s">
        <v>512</v>
      </c>
      <c r="D18" s="2064"/>
      <c r="E18" s="2065"/>
      <c r="F18" s="375"/>
      <c r="G18" s="1477">
        <f>IF($H5=1,'2. &amp; 7. T2 TULOSSUUN. '!$I12/12+'3. T3 TASE '!H36,'2. &amp; 7. T2 TULOSSUUN. '!$K12/12+'3. T3 TASE '!I36)</f>
        <v>0</v>
      </c>
      <c r="H18" s="1477">
        <f>IF($H5=1,'2. &amp; 7. T2 TULOSSUUN. '!$I12/12,'2. &amp; 7. T2 TULOSSUUN. '!$K12/12)</f>
        <v>0</v>
      </c>
      <c r="I18" s="1477">
        <f>IF($H5=1,'2. &amp; 7. T2 TULOSSUUN. '!$I12/12,'2. &amp; 7. T2 TULOSSUUN. '!$K12/12)</f>
        <v>0</v>
      </c>
      <c r="J18" s="1477">
        <f>IF($H5=1,'2. &amp; 7. T2 TULOSSUUN. '!$I12/12,'2. &amp; 7. T2 TULOSSUUN. '!$K12/12)</f>
        <v>0</v>
      </c>
      <c r="K18" s="1477">
        <f>IF($H5=1,'2. &amp; 7. T2 TULOSSUUN. '!$I12/12,'2. &amp; 7. T2 TULOSSUUN. '!$K12/12)</f>
        <v>0</v>
      </c>
      <c r="L18" s="1477">
        <f>IF($H5=1,'2. &amp; 7. T2 TULOSSUUN. '!$I12/12,'2. &amp; 7. T2 TULOSSUUN. '!$K12/12)</f>
        <v>0</v>
      </c>
      <c r="M18" s="1477">
        <f>IF($H5=1,'2. &amp; 7. T2 TULOSSUUN. '!$I12/12+'1. T1 INVESTOINTISUUN.'!D61,'2. &amp; 7. T2 TULOSSUUN. '!$K12/12+'1. T1 INVESTOINTISUUN.'!E61)</f>
        <v>0</v>
      </c>
      <c r="N18" s="1477">
        <f>IF($H5=1,'2. &amp; 7. T2 TULOSSUUN. '!$I12/12,'2. &amp; 7. T2 TULOSSUUN. '!$K12/12)</f>
        <v>0</v>
      </c>
      <c r="O18" s="1477">
        <f>IF($H5=1,'2. &amp; 7. T2 TULOSSUUN. '!$I12/12,'2. &amp; 7. T2 TULOSSUUN. '!$K12/12)</f>
        <v>0</v>
      </c>
      <c r="P18" s="1477">
        <f>IF($H5=1,'2. &amp; 7. T2 TULOSSUUN. '!$I12/12,'2. &amp; 7. T2 TULOSSUUN. '!$K12/12)</f>
        <v>0</v>
      </c>
      <c r="Q18" s="1477">
        <f>IF($H5=1,'2. &amp; 7. T2 TULOSSUUN. '!$I12/12,'2. &amp; 7. T2 TULOSSUUN. '!$K12/12)</f>
        <v>0</v>
      </c>
      <c r="R18" s="1477">
        <f>IF($H5=1,'2. &amp; 7. T2 TULOSSUUN. '!$I12/12,'2. &amp; 7. T2 TULOSSUUN. '!$K12/12)</f>
        <v>0</v>
      </c>
      <c r="S18" s="670">
        <f>SUM(G18:R18)</f>
        <v>0</v>
      </c>
      <c r="U18" s="2040"/>
      <c r="V18" s="1154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</row>
    <row r="19" spans="1:49" ht="16.2" customHeight="1" thickTop="1" thickBot="1">
      <c r="A19" s="51"/>
      <c r="B19" s="774"/>
      <c r="C19" s="2058" t="s">
        <v>671</v>
      </c>
      <c r="D19" s="2059"/>
      <c r="E19" s="2059"/>
      <c r="F19" s="775"/>
      <c r="G19" s="776">
        <f>G12+G16+G18+G17</f>
        <v>0</v>
      </c>
      <c r="H19" s="776">
        <f t="shared" ref="H19:R19" si="6">H12+H16+H18+H17</f>
        <v>0</v>
      </c>
      <c r="I19" s="776">
        <f t="shared" si="6"/>
        <v>0</v>
      </c>
      <c r="J19" s="776">
        <f t="shared" si="6"/>
        <v>0</v>
      </c>
      <c r="K19" s="776">
        <f t="shared" si="6"/>
        <v>0</v>
      </c>
      <c r="L19" s="776">
        <f t="shared" si="6"/>
        <v>0</v>
      </c>
      <c r="M19" s="776">
        <f t="shared" si="6"/>
        <v>0</v>
      </c>
      <c r="N19" s="776">
        <f t="shared" si="6"/>
        <v>0</v>
      </c>
      <c r="O19" s="776">
        <f t="shared" si="6"/>
        <v>0</v>
      </c>
      <c r="P19" s="776">
        <f t="shared" si="6"/>
        <v>0</v>
      </c>
      <c r="Q19" s="776">
        <f t="shared" si="6"/>
        <v>0</v>
      </c>
      <c r="R19" s="776">
        <f t="shared" si="6"/>
        <v>0</v>
      </c>
      <c r="S19" s="777">
        <f>SUM(G19:R19)</f>
        <v>0</v>
      </c>
      <c r="U19" s="2040"/>
      <c r="V19" s="1154"/>
      <c r="W19" s="51"/>
      <c r="X19" s="2048" t="s">
        <v>192</v>
      </c>
      <c r="Y19" s="2048"/>
      <c r="Z19" s="2048"/>
      <c r="AA19" s="2048"/>
      <c r="AB19" s="2048"/>
      <c r="AC19" s="2048"/>
      <c r="AD19" s="2048"/>
      <c r="AE19" s="2048"/>
      <c r="AF19" s="2048"/>
      <c r="AG19" s="2048" t="s">
        <v>649</v>
      </c>
      <c r="AH19" s="2048"/>
      <c r="AI19" s="2048"/>
      <c r="AJ19" s="2048"/>
      <c r="AK19" s="2048"/>
      <c r="AL19" s="2048"/>
      <c r="AM19" s="2048"/>
      <c r="AN19" s="2048" t="s">
        <v>650</v>
      </c>
      <c r="AO19" s="2048"/>
      <c r="AP19" s="2048"/>
      <c r="AQ19" s="2048"/>
      <c r="AR19" s="2048"/>
      <c r="AS19" s="2048"/>
      <c r="AT19" s="2048"/>
      <c r="AU19" s="2022" t="s">
        <v>18</v>
      </c>
      <c r="AV19" s="2022"/>
      <c r="AW19" s="2022"/>
    </row>
    <row r="20" spans="1:49" ht="4.2" customHeight="1" thickTop="1">
      <c r="B20" s="790"/>
      <c r="C20" s="349"/>
      <c r="D20" s="349"/>
      <c r="E20" s="349"/>
      <c r="F20" s="350"/>
      <c r="G20" s="674"/>
      <c r="H20" s="674"/>
      <c r="I20" s="674"/>
      <c r="J20" s="674"/>
      <c r="K20" s="674"/>
      <c r="L20" s="674"/>
      <c r="M20" s="674"/>
      <c r="N20" s="674"/>
      <c r="O20" s="674"/>
      <c r="P20" s="674"/>
      <c r="Q20" s="674"/>
      <c r="R20" s="674"/>
      <c r="S20" s="675" t="s">
        <v>0</v>
      </c>
      <c r="U20" s="2040"/>
      <c r="V20" s="1154"/>
      <c r="W20" s="51"/>
      <c r="X20" s="539"/>
      <c r="Y20" s="539"/>
      <c r="Z20" s="539"/>
      <c r="AA20" s="539"/>
      <c r="AB20" s="539"/>
      <c r="AC20" s="539"/>
      <c r="AD20" s="1110"/>
      <c r="AE20" s="1110"/>
      <c r="AF20" s="1110"/>
      <c r="AG20" s="539"/>
      <c r="AH20" s="539"/>
      <c r="AI20" s="539"/>
      <c r="AJ20" s="539"/>
      <c r="AK20" s="1110"/>
      <c r="AL20" s="1110"/>
      <c r="AM20" s="1110"/>
      <c r="AN20" s="539"/>
      <c r="AO20" s="539"/>
      <c r="AP20" s="539"/>
      <c r="AQ20" s="539"/>
      <c r="AR20" s="1110"/>
      <c r="AS20" s="1110"/>
      <c r="AT20" s="1110"/>
    </row>
    <row r="21" spans="1:49" ht="16.2" customHeight="1">
      <c r="B21" s="2095" t="s">
        <v>673</v>
      </c>
      <c r="C21" s="2096"/>
      <c r="D21" s="2096"/>
      <c r="E21" s="2097"/>
      <c r="F21" s="1259" t="s">
        <v>165</v>
      </c>
      <c r="G21" s="1260">
        <f>G9</f>
        <v>45658</v>
      </c>
      <c r="H21" s="1260">
        <f t="shared" ref="H21:S21" si="7">+H9</f>
        <v>45689</v>
      </c>
      <c r="I21" s="1260">
        <f t="shared" si="7"/>
        <v>45720</v>
      </c>
      <c r="J21" s="1260">
        <f t="shared" si="7"/>
        <v>45751</v>
      </c>
      <c r="K21" s="1260">
        <f t="shared" si="7"/>
        <v>45782</v>
      </c>
      <c r="L21" s="1260">
        <f t="shared" si="7"/>
        <v>45813</v>
      </c>
      <c r="M21" s="1260">
        <f t="shared" si="7"/>
        <v>45844</v>
      </c>
      <c r="N21" s="1260">
        <f t="shared" si="7"/>
        <v>45875</v>
      </c>
      <c r="O21" s="1260">
        <f t="shared" si="7"/>
        <v>45906</v>
      </c>
      <c r="P21" s="1260">
        <f t="shared" si="7"/>
        <v>45937</v>
      </c>
      <c r="Q21" s="1260">
        <f t="shared" si="7"/>
        <v>45968</v>
      </c>
      <c r="R21" s="1260">
        <f t="shared" si="7"/>
        <v>45999</v>
      </c>
      <c r="S21" s="1261" t="str">
        <f t="shared" si="7"/>
        <v>YHT</v>
      </c>
      <c r="T21" s="1251" t="s">
        <v>635</v>
      </c>
      <c r="U21" s="2041"/>
      <c r="V21" s="1154"/>
      <c r="W21" s="51"/>
      <c r="X21" s="1115"/>
      <c r="Y21" s="1116"/>
      <c r="Z21" s="1117" t="s">
        <v>184</v>
      </c>
      <c r="AA21" s="1118" t="s">
        <v>651</v>
      </c>
      <c r="AB21" s="1118" t="s">
        <v>193</v>
      </c>
      <c r="AC21" s="2023" t="s">
        <v>164</v>
      </c>
      <c r="AD21" s="1119" t="s">
        <v>185</v>
      </c>
      <c r="AE21" s="1119" t="s">
        <v>728</v>
      </c>
      <c r="AF21" s="1120" t="s">
        <v>186</v>
      </c>
      <c r="AG21" s="1117" t="s">
        <v>184</v>
      </c>
      <c r="AH21" s="1118" t="s">
        <v>651</v>
      </c>
      <c r="AI21" s="1118" t="s">
        <v>193</v>
      </c>
      <c r="AJ21" s="2023" t="s">
        <v>164</v>
      </c>
      <c r="AK21" s="1119" t="s">
        <v>185</v>
      </c>
      <c r="AL21" s="1119" t="s">
        <v>728</v>
      </c>
      <c r="AM21" s="1120" t="s">
        <v>186</v>
      </c>
      <c r="AN21" s="1121" t="s">
        <v>184</v>
      </c>
      <c r="AO21" s="1118" t="s">
        <v>651</v>
      </c>
      <c r="AP21" s="1118" t="s">
        <v>193</v>
      </c>
      <c r="AQ21" s="2023" t="s">
        <v>164</v>
      </c>
      <c r="AR21" s="1119" t="s">
        <v>185</v>
      </c>
      <c r="AS21" s="1119" t="s">
        <v>728</v>
      </c>
      <c r="AT21" s="1122" t="s">
        <v>186</v>
      </c>
      <c r="AU21" s="1123" t="s">
        <v>185</v>
      </c>
      <c r="AV21" s="1119" t="s">
        <v>728</v>
      </c>
      <c r="AW21" s="1120" t="s">
        <v>186</v>
      </c>
    </row>
    <row r="22" spans="1:49" ht="12.65" customHeight="1">
      <c r="B22" s="2034">
        <v>6</v>
      </c>
      <c r="C22" s="2060" t="s">
        <v>751</v>
      </c>
      <c r="D22" s="2061"/>
      <c r="E22" s="2062"/>
      <c r="F22" s="1254">
        <v>24</v>
      </c>
      <c r="G22" s="1478">
        <f>IF(($S12+$S14)*$U22=0,0,(G12+G14)/($S12+$S14)*'9. T5 KASSABUDJETTI  '!$U22)</f>
        <v>0</v>
      </c>
      <c r="H22" s="1478">
        <f>IF(($S12+$S14)*$U22=0,0,(H12+H14)/($S12+$S14)*'9. T5 KASSABUDJETTI  '!$U22)</f>
        <v>0</v>
      </c>
      <c r="I22" s="1478">
        <f>IF(($S12+$S14)*$U22=0,0,(I12+I14)/($S12+$S14)*'9. T5 KASSABUDJETTI  '!$U22)</f>
        <v>0</v>
      </c>
      <c r="J22" s="1478">
        <f>IF(($S12+$S14)*$U22=0,0,(J12+J14)/($S12+$S14)*'9. T5 KASSABUDJETTI  '!$U22)</f>
        <v>0</v>
      </c>
      <c r="K22" s="1478">
        <f>IF(($S12+$S14)*$U22=0,0,(K12+K14)/($S12+$S14)*'9. T5 KASSABUDJETTI  '!$U22)</f>
        <v>0</v>
      </c>
      <c r="L22" s="1478">
        <f>IF(($S12+$S14)*$U22=0,0,(L12+L14)/($S12+$S14)*'9. T5 KASSABUDJETTI  '!$U22)</f>
        <v>0</v>
      </c>
      <c r="M22" s="1478">
        <f>IF(($S12+$S14)*$U22=0,0,(M12+M14)/($S12+$S14)*'9. T5 KASSABUDJETTI  '!$U22)</f>
        <v>0</v>
      </c>
      <c r="N22" s="1478">
        <f>IF(($S12+$S14)*$U22=0,0,(N12+N14)/($S12+$S14)*'9. T5 KASSABUDJETTI  '!$U22)</f>
        <v>0</v>
      </c>
      <c r="O22" s="1478">
        <f>IF(($S12+$S14)*$U22=0,0,(O12+O14)/($S12+$S14)*'9. T5 KASSABUDJETTI  '!$U22)</f>
        <v>0</v>
      </c>
      <c r="P22" s="1478">
        <f>IF(($S12+$S14)*$U22=0,0,(P12+P14)/($S12+$S14)*'9. T5 KASSABUDJETTI  '!$U22)</f>
        <v>0</v>
      </c>
      <c r="Q22" s="1478">
        <f>IF(($S12+$S14)*$U22=0,0,(Q12+Q14)/($S12+$S14)*'9. T5 KASSABUDJETTI  '!$U22)</f>
        <v>0</v>
      </c>
      <c r="R22" s="1478">
        <f>IF(($S12+$S14)*$U22=0,0,(R12+R14)/($S12+$S14)*'9. T5 KASSABUDJETTI  '!$U22)</f>
        <v>0</v>
      </c>
      <c r="S22" s="680">
        <f>SUM(G22:R22)</f>
        <v>0</v>
      </c>
      <c r="T22" s="1083">
        <f>U22-S22</f>
        <v>0</v>
      </c>
      <c r="U22" s="988">
        <f>IF(H$5=1,-'2. &amp; 7. T2 TULOSSUUN. '!I15-'2. &amp; 7. T2 TULOSSUUN. '!I15*'9. T5 KASSABUDJETTI  '!F22/100-'1. T1 INVESTOINTISUUN.'!D40,'6. E2 LIIKEVAIHTO '!F11+'6. E2 LIIKEVAIHTO '!F11*'9. T5 KASSABUDJETTI  '!F22/100)</f>
        <v>0</v>
      </c>
      <c r="V22" s="1089"/>
      <c r="W22" s="51"/>
      <c r="X22" s="1124"/>
      <c r="Y22" s="1125"/>
      <c r="Z22" s="1126" t="s">
        <v>187</v>
      </c>
      <c r="AA22" s="1127" t="s">
        <v>188</v>
      </c>
      <c r="AB22" s="1127" t="s">
        <v>194</v>
      </c>
      <c r="AC22" s="2024"/>
      <c r="AD22" s="1128" t="s">
        <v>189</v>
      </c>
      <c r="AE22" s="1128" t="s">
        <v>729</v>
      </c>
      <c r="AF22" s="1129" t="s">
        <v>187</v>
      </c>
      <c r="AG22" s="1126" t="s">
        <v>187</v>
      </c>
      <c r="AH22" s="1127" t="s">
        <v>188</v>
      </c>
      <c r="AI22" s="1127" t="s">
        <v>194</v>
      </c>
      <c r="AJ22" s="2024"/>
      <c r="AK22" s="1128" t="s">
        <v>189</v>
      </c>
      <c r="AL22" s="1128" t="s">
        <v>729</v>
      </c>
      <c r="AM22" s="1129" t="s">
        <v>187</v>
      </c>
      <c r="AN22" s="1130" t="s">
        <v>187</v>
      </c>
      <c r="AO22" s="1127" t="s">
        <v>188</v>
      </c>
      <c r="AP22" s="1127" t="s">
        <v>194</v>
      </c>
      <c r="AQ22" s="2024"/>
      <c r="AR22" s="1128" t="s">
        <v>189</v>
      </c>
      <c r="AS22" s="1128" t="s">
        <v>729</v>
      </c>
      <c r="AT22" s="399" t="s">
        <v>187</v>
      </c>
      <c r="AU22" s="1131" t="s">
        <v>189</v>
      </c>
      <c r="AV22" s="1128" t="s">
        <v>729</v>
      </c>
      <c r="AW22" s="1129" t="s">
        <v>187</v>
      </c>
    </row>
    <row r="23" spans="1:49" ht="12.65" customHeight="1">
      <c r="B23" s="2035"/>
      <c r="C23" s="1315" t="s">
        <v>760</v>
      </c>
      <c r="D23" s="1711"/>
      <c r="E23" s="369">
        <f>'8. T4 RAHOITUSSUUN. '!H57</f>
        <v>0</v>
      </c>
      <c r="F23" s="1715"/>
      <c r="G23" s="1714">
        <f>'AT T5 Kassa'!Q8</f>
        <v>0</v>
      </c>
      <c r="H23" s="1714">
        <f>'AT T5 Kassa'!R8</f>
        <v>0</v>
      </c>
      <c r="I23" s="1714">
        <f>'AT T5 Kassa'!S8</f>
        <v>0</v>
      </c>
      <c r="J23" s="668"/>
      <c r="K23" s="668"/>
      <c r="L23" s="668"/>
      <c r="M23" s="668"/>
      <c r="N23" s="668"/>
      <c r="O23" s="668"/>
      <c r="P23" s="668"/>
      <c r="Q23" s="668"/>
      <c r="R23" s="668"/>
      <c r="S23" s="680">
        <f>SUM(G23:R23)</f>
        <v>0</v>
      </c>
      <c r="T23" s="1723"/>
      <c r="U23" s="1514"/>
      <c r="V23" s="1089"/>
      <c r="W23" s="51"/>
      <c r="X23" s="1124"/>
      <c r="Y23" s="1125"/>
      <c r="Z23" s="1126"/>
      <c r="AA23" s="1127"/>
      <c r="AB23" s="1127"/>
      <c r="AC23" s="1712"/>
      <c r="AD23" s="1713"/>
      <c r="AE23" s="1713"/>
      <c r="AF23" s="1129"/>
      <c r="AG23" s="1126"/>
      <c r="AH23" s="1127"/>
      <c r="AI23" s="1127"/>
      <c r="AJ23" s="1710"/>
      <c r="AK23" s="1128"/>
      <c r="AL23" s="1128"/>
      <c r="AM23" s="1129"/>
      <c r="AN23" s="1130"/>
      <c r="AO23" s="1127"/>
      <c r="AP23" s="1127"/>
      <c r="AQ23" s="1710"/>
      <c r="AR23" s="1128"/>
      <c r="AS23" s="1128"/>
      <c r="AT23" s="399"/>
      <c r="AU23" s="1131"/>
      <c r="AV23" s="1128"/>
      <c r="AW23" s="1129"/>
    </row>
    <row r="24" spans="1:49" ht="12.65" customHeight="1">
      <c r="B24" s="791">
        <f>B22+1</f>
        <v>7</v>
      </c>
      <c r="C24" s="2092" t="s">
        <v>754</v>
      </c>
      <c r="D24" s="2093"/>
      <c r="E24" s="2094"/>
      <c r="F24" s="395">
        <v>0</v>
      </c>
      <c r="G24" s="676">
        <f>IF(H5=1,'1. T1 INVESTOINTISUUN.'!D40,'1. T1 INVESTOINTISUUN.'!E40)</f>
        <v>0</v>
      </c>
      <c r="H24" s="676">
        <v>0</v>
      </c>
      <c r="I24" s="676">
        <v>0</v>
      </c>
      <c r="J24" s="676">
        <v>0</v>
      </c>
      <c r="K24" s="676"/>
      <c r="L24" s="676"/>
      <c r="M24" s="676"/>
      <c r="N24" s="676">
        <v>0</v>
      </c>
      <c r="O24" s="676"/>
      <c r="P24" s="676"/>
      <c r="Q24" s="676"/>
      <c r="R24" s="676"/>
      <c r="S24" s="668">
        <f>SUM(G24:R24)</f>
        <v>0</v>
      </c>
      <c r="T24" s="1721" t="s">
        <v>0</v>
      </c>
      <c r="U24" s="1722"/>
      <c r="V24" s="1089"/>
      <c r="W24" s="51"/>
      <c r="X24" s="1132"/>
      <c r="Y24" s="1133"/>
      <c r="Z24" s="2051" t="s">
        <v>0</v>
      </c>
      <c r="AA24" s="2052"/>
      <c r="AB24" s="1134"/>
      <c r="AC24" s="1135"/>
      <c r="AD24" s="1136">
        <v>1.1599999999999999E-2</v>
      </c>
      <c r="AE24" s="1137">
        <v>0</v>
      </c>
      <c r="AF24" s="1138"/>
      <c r="AG24" s="2051" t="s">
        <v>0</v>
      </c>
      <c r="AH24" s="2052"/>
      <c r="AI24" s="1134">
        <v>0</v>
      </c>
      <c r="AJ24" s="1134"/>
      <c r="AK24" s="1139">
        <f>AD24</f>
        <v>1.1599999999999999E-2</v>
      </c>
      <c r="AL24" s="1140">
        <v>7.9399999999999998E-2</v>
      </c>
      <c r="AM24" s="1138"/>
      <c r="AN24" s="2053" t="s">
        <v>0</v>
      </c>
      <c r="AO24" s="2052"/>
      <c r="AP24" s="1134" t="s">
        <v>0</v>
      </c>
      <c r="AQ24" s="1134"/>
      <c r="AR24" s="1139">
        <f>AD24</f>
        <v>1.1599999999999999E-2</v>
      </c>
      <c r="AS24" s="1139">
        <f>AL24</f>
        <v>7.9399999999999998E-2</v>
      </c>
      <c r="AT24" s="1141"/>
      <c r="AU24" s="1142"/>
      <c r="AV24" s="1143">
        <f>AS24</f>
        <v>7.9399999999999998E-2</v>
      </c>
      <c r="AW24" s="1144"/>
    </row>
    <row r="25" spans="1:49" ht="12.65" customHeight="1">
      <c r="B25" s="791">
        <f t="shared" ref="B25:B43" si="8">B24+1</f>
        <v>8</v>
      </c>
      <c r="C25" s="519" t="s">
        <v>183</v>
      </c>
      <c r="D25" s="520"/>
      <c r="E25" s="521"/>
      <c r="F25" s="395">
        <v>24</v>
      </c>
      <c r="G25" s="676">
        <f>$U25/12</f>
        <v>0</v>
      </c>
      <c r="H25" s="676">
        <f t="shared" ref="H25:R25" si="9">$U25/12</f>
        <v>0</v>
      </c>
      <c r="I25" s="676">
        <f t="shared" si="9"/>
        <v>0</v>
      </c>
      <c r="J25" s="676">
        <f t="shared" si="9"/>
        <v>0</v>
      </c>
      <c r="K25" s="676">
        <f t="shared" si="9"/>
        <v>0</v>
      </c>
      <c r="L25" s="676">
        <f t="shared" si="9"/>
        <v>0</v>
      </c>
      <c r="M25" s="676">
        <f t="shared" si="9"/>
        <v>0</v>
      </c>
      <c r="N25" s="676">
        <f t="shared" si="9"/>
        <v>0</v>
      </c>
      <c r="O25" s="676">
        <f t="shared" si="9"/>
        <v>0</v>
      </c>
      <c r="P25" s="676">
        <f t="shared" si="9"/>
        <v>0</v>
      </c>
      <c r="Q25" s="676">
        <f t="shared" si="9"/>
        <v>0</v>
      </c>
      <c r="R25" s="676">
        <f t="shared" si="9"/>
        <v>0</v>
      </c>
      <c r="S25" s="668">
        <f>SUM(G25:R25)</f>
        <v>0</v>
      </c>
      <c r="T25" s="1083">
        <f t="shared" ref="T25:T41" si="10">U25-S25</f>
        <v>0</v>
      </c>
      <c r="U25" s="988">
        <f>-IF(H$5=1,'2. &amp; 7. T2 TULOSSUUN. '!I16+'2. &amp; 7. T2 TULOSSUUN. '!I16*'9. T5 KASSABUDJETTI  '!F25/100,'2. &amp; 7. T2 TULOSSUUN. '!K16+'2. &amp; 7. T2 TULOSSUUN. '!K16*'9. T5 KASSABUDJETTI  '!F25/100)</f>
        <v>0</v>
      </c>
      <c r="V25" s="1089"/>
      <c r="W25" s="51"/>
      <c r="X25" s="2049" t="s">
        <v>652</v>
      </c>
      <c r="Y25" s="2050"/>
      <c r="Z25" s="890">
        <f>'5. E1 KUSTANNUKSET '!F12</f>
        <v>0</v>
      </c>
      <c r="AA25" s="1145">
        <f>'5. E1 KUSTANNUKSET '!F14*'5. E1 KUSTANNUKSET '!F15</f>
        <v>0</v>
      </c>
      <c r="AB25" s="1145">
        <f>AA25+Z25</f>
        <v>0</v>
      </c>
      <c r="AC25" s="1146">
        <f>'5. E1 KUSTANNUKSET '!F16</f>
        <v>0.28999999999999998</v>
      </c>
      <c r="AD25" s="1147">
        <f>(AC25+AD$24)*AB25</f>
        <v>0</v>
      </c>
      <c r="AE25" s="1137">
        <v>0</v>
      </c>
      <c r="AF25" s="1148">
        <f>Z25-AB25*AC25</f>
        <v>0</v>
      </c>
      <c r="AG25" s="890">
        <f>'5. E1 KUSTANNUKSET '!F17</f>
        <v>0</v>
      </c>
      <c r="AH25" s="1145">
        <f>'5. E1 KUSTANNUKSET '!F22</f>
        <v>0</v>
      </c>
      <c r="AI25" s="1145">
        <f>AH25+AG25</f>
        <v>0</v>
      </c>
      <c r="AJ25" s="1146">
        <f>'5. E1 KUSTANNUKSET '!F23</f>
        <v>0.2</v>
      </c>
      <c r="AK25" s="1147">
        <f>(AJ25+AK$24)*AI25</f>
        <v>0</v>
      </c>
      <c r="AL25" s="1149">
        <f>AL24*AI25</f>
        <v>0</v>
      </c>
      <c r="AM25" s="1148">
        <f>AG25-AI25*AJ25-AL25</f>
        <v>0</v>
      </c>
      <c r="AN25" s="1098">
        <f>'5. E1 KUSTANNUKSET '!F24</f>
        <v>0</v>
      </c>
      <c r="AO25" s="1145">
        <f>'5. E1 KUSTANNUKSET '!F28</f>
        <v>0</v>
      </c>
      <c r="AP25" s="1145">
        <f>AO25+AN25</f>
        <v>0</v>
      </c>
      <c r="AQ25" s="1146">
        <f>'5. E1 KUSTANNUKSET '!F29</f>
        <v>0.27</v>
      </c>
      <c r="AR25" s="1147">
        <f>(AQ25+AR$24)*AP25</f>
        <v>0</v>
      </c>
      <c r="AS25" s="1149">
        <f>AS24*AP25</f>
        <v>0</v>
      </c>
      <c r="AT25" s="1148">
        <f>AN25-AP25*AQ25-AS25</f>
        <v>0</v>
      </c>
      <c r="AU25" s="621">
        <f t="shared" ref="AU25:AW26" si="11">AR25+AK25+AD25</f>
        <v>0</v>
      </c>
      <c r="AV25" s="1150">
        <f t="shared" si="11"/>
        <v>0</v>
      </c>
      <c r="AW25" s="1151">
        <f t="shared" si="11"/>
        <v>0</v>
      </c>
    </row>
    <row r="26" spans="1:49" ht="12.65" customHeight="1">
      <c r="B26" s="791">
        <f t="shared" si="8"/>
        <v>9</v>
      </c>
      <c r="C26" s="2028" t="s">
        <v>460</v>
      </c>
      <c r="D26" s="2076"/>
      <c r="E26" s="2077"/>
      <c r="F26" s="395">
        <v>24</v>
      </c>
      <c r="G26" s="676">
        <v>0</v>
      </c>
      <c r="H26" s="676">
        <v>0</v>
      </c>
      <c r="I26" s="676">
        <v>0</v>
      </c>
      <c r="J26" s="676">
        <v>0</v>
      </c>
      <c r="K26" s="676">
        <v>0</v>
      </c>
      <c r="L26" s="676">
        <v>0</v>
      </c>
      <c r="M26" s="676">
        <v>0</v>
      </c>
      <c r="N26" s="676">
        <v>0</v>
      </c>
      <c r="O26" s="676">
        <v>0</v>
      </c>
      <c r="P26" s="676">
        <v>0</v>
      </c>
      <c r="Q26" s="676">
        <v>0</v>
      </c>
      <c r="R26" s="676"/>
      <c r="S26" s="668">
        <f>SUM(G26:R26)</f>
        <v>0</v>
      </c>
      <c r="T26" s="1084" t="s">
        <v>0</v>
      </c>
      <c r="U26" s="1512"/>
      <c r="V26" s="1089"/>
      <c r="W26" s="51"/>
      <c r="X26" s="2049" t="s">
        <v>653</v>
      </c>
      <c r="Y26" s="2050"/>
      <c r="Z26" s="890">
        <f>'5. E1 KUSTANNUKSET '!H12</f>
        <v>0</v>
      </c>
      <c r="AA26" s="1145">
        <f>'5. E1 KUSTANNUKSET '!H14*'5. E1 KUSTANNUKSET '!H15</f>
        <v>0</v>
      </c>
      <c r="AB26" s="1145">
        <f>AA26+Z26</f>
        <v>0</v>
      </c>
      <c r="AC26" s="1146">
        <f>'5. E1 KUSTANNUKSET '!H16</f>
        <v>0.28999999999999998</v>
      </c>
      <c r="AD26" s="1152">
        <f>(AC26+AD$24)*AB26</f>
        <v>0</v>
      </c>
      <c r="AE26" s="1139">
        <v>0</v>
      </c>
      <c r="AF26" s="1148">
        <f>Z26-AB26*AC26</f>
        <v>0</v>
      </c>
      <c r="AG26" s="890">
        <f>'5. E1 KUSTANNUKSET '!H17</f>
        <v>0</v>
      </c>
      <c r="AH26" s="1145">
        <f>'5. E1 KUSTANNUKSET '!H22</f>
        <v>0</v>
      </c>
      <c r="AI26" s="1145">
        <f>AH26+AG26</f>
        <v>0</v>
      </c>
      <c r="AJ26" s="1146">
        <f>'5. E1 KUSTANNUKSET '!H23</f>
        <v>0.2</v>
      </c>
      <c r="AK26" s="1152">
        <f>(AJ26+AK$24)*AI26</f>
        <v>0</v>
      </c>
      <c r="AL26" s="1149">
        <f>AI26*AL24</f>
        <v>0</v>
      </c>
      <c r="AM26" s="1148">
        <f>AG26-AI26*AJ26-AL26</f>
        <v>0</v>
      </c>
      <c r="AN26" s="1098">
        <f>'5. E1 KUSTANNUKSET '!H24</f>
        <v>0</v>
      </c>
      <c r="AO26" s="1145">
        <f>'5. E1 KUSTANNUKSET '!H28</f>
        <v>0</v>
      </c>
      <c r="AP26" s="1145">
        <f>AO26+AN26</f>
        <v>0</v>
      </c>
      <c r="AQ26" s="1146">
        <f>'5. E1 KUSTANNUKSET '!H29</f>
        <v>0.27</v>
      </c>
      <c r="AR26" s="1152">
        <f>(AQ26+AR$24)*AP26</f>
        <v>0</v>
      </c>
      <c r="AS26" s="1149">
        <f>AP26*AS24</f>
        <v>0</v>
      </c>
      <c r="AT26" s="1148">
        <f>AN26-AP26*AQ26-AS26</f>
        <v>0</v>
      </c>
      <c r="AU26" s="621">
        <f t="shared" si="11"/>
        <v>0</v>
      </c>
      <c r="AV26" s="1150">
        <f t="shared" si="11"/>
        <v>0</v>
      </c>
      <c r="AW26" s="1151">
        <f t="shared" si="11"/>
        <v>0</v>
      </c>
    </row>
    <row r="27" spans="1:49" ht="12.65" customHeight="1">
      <c r="B27" s="791">
        <f t="shared" si="8"/>
        <v>10</v>
      </c>
      <c r="C27" s="2089" t="s">
        <v>511</v>
      </c>
      <c r="D27" s="2090"/>
      <c r="E27" s="2091"/>
      <c r="F27" s="395">
        <v>24</v>
      </c>
      <c r="G27" s="676">
        <f>$U27/12</f>
        <v>0</v>
      </c>
      <c r="H27" s="676">
        <f t="shared" ref="H27:R28" si="12">$U27/12</f>
        <v>0</v>
      </c>
      <c r="I27" s="676">
        <f t="shared" si="12"/>
        <v>0</v>
      </c>
      <c r="J27" s="676">
        <f t="shared" si="12"/>
        <v>0</v>
      </c>
      <c r="K27" s="676">
        <f t="shared" si="12"/>
        <v>0</v>
      </c>
      <c r="L27" s="676">
        <f t="shared" si="12"/>
        <v>0</v>
      </c>
      <c r="M27" s="676">
        <f t="shared" si="12"/>
        <v>0</v>
      </c>
      <c r="N27" s="676">
        <f t="shared" si="12"/>
        <v>0</v>
      </c>
      <c r="O27" s="676">
        <f t="shared" si="12"/>
        <v>0</v>
      </c>
      <c r="P27" s="676">
        <f t="shared" si="12"/>
        <v>0</v>
      </c>
      <c r="Q27" s="676">
        <f t="shared" si="12"/>
        <v>0</v>
      </c>
      <c r="R27" s="676">
        <f t="shared" si="12"/>
        <v>0</v>
      </c>
      <c r="S27" s="668">
        <f t="shared" ref="S27:S37" si="13">SUM(G27:R27)</f>
        <v>0</v>
      </c>
      <c r="T27" s="1083">
        <f t="shared" si="10"/>
        <v>0</v>
      </c>
      <c r="U27" s="988">
        <f>IF(H5=1,'5. E1 KUSTANNUKSET '!F53+'5. E1 KUSTANNUKSET '!F53*F27/100,'5. E1 KUSTANNUKSET '!H53+'5. E1 KUSTANNUKSET '!H53*'9. T5 KASSABUDJETTI  '!F27/100)</f>
        <v>0</v>
      </c>
      <c r="V27" s="1089"/>
      <c r="W27" s="51"/>
      <c r="X27" s="1112"/>
      <c r="Y27" s="168"/>
      <c r="Z27" s="183"/>
      <c r="AA27" s="183"/>
      <c r="AB27" s="183"/>
      <c r="AC27" s="183"/>
      <c r="AD27" s="183"/>
      <c r="AE27" s="183"/>
      <c r="AF27" s="167"/>
      <c r="AG27" s="167"/>
      <c r="AH27" s="167"/>
      <c r="AI27" s="167"/>
      <c r="AJ27" s="167"/>
      <c r="AK27" s="167"/>
      <c r="AL27" s="167"/>
      <c r="AM27" s="167"/>
      <c r="AN27" s="167"/>
    </row>
    <row r="28" spans="1:49" ht="12.65" customHeight="1">
      <c r="B28" s="791">
        <f t="shared" si="8"/>
        <v>11</v>
      </c>
      <c r="C28" s="2028" t="s">
        <v>736</v>
      </c>
      <c r="D28" s="2076"/>
      <c r="E28" s="2077"/>
      <c r="F28" s="395">
        <v>24</v>
      </c>
      <c r="G28" s="676">
        <f>$U28/12</f>
        <v>0</v>
      </c>
      <c r="H28" s="676">
        <f t="shared" si="12"/>
        <v>0</v>
      </c>
      <c r="I28" s="676">
        <f t="shared" si="12"/>
        <v>0</v>
      </c>
      <c r="J28" s="676">
        <f t="shared" si="12"/>
        <v>0</v>
      </c>
      <c r="K28" s="676">
        <f t="shared" si="12"/>
        <v>0</v>
      </c>
      <c r="L28" s="676">
        <f t="shared" si="12"/>
        <v>0</v>
      </c>
      <c r="M28" s="676">
        <f t="shared" si="12"/>
        <v>0</v>
      </c>
      <c r="N28" s="676">
        <f t="shared" si="12"/>
        <v>0</v>
      </c>
      <c r="O28" s="676">
        <f t="shared" si="12"/>
        <v>0</v>
      </c>
      <c r="P28" s="676">
        <f t="shared" si="12"/>
        <v>0</v>
      </c>
      <c r="Q28" s="676">
        <f t="shared" si="12"/>
        <v>0</v>
      </c>
      <c r="R28" s="676">
        <f t="shared" si="12"/>
        <v>0</v>
      </c>
      <c r="S28" s="668">
        <f>SUM(G28:R28)</f>
        <v>0</v>
      </c>
      <c r="T28" s="1083">
        <f t="shared" si="10"/>
        <v>0</v>
      </c>
      <c r="U28" s="988">
        <f>IF(H5=1,'5. E1 KUSTANNUKSET '!F64+'5. E1 KUSTANNUKSET '!F64*'9. T5 KASSABUDJETTI  '!F28/100,'5. E1 KUSTANNUKSET '!H64+'5. E1 KUSTANNUKSET '!H64*'9. T5 KASSABUDJETTI  '!F28/100)</f>
        <v>0</v>
      </c>
      <c r="V28" s="1089"/>
      <c r="W28" s="51"/>
      <c r="X28" s="1112"/>
      <c r="Y28" s="168"/>
      <c r="Z28" s="183"/>
      <c r="AA28" s="183"/>
      <c r="AB28" s="183"/>
      <c r="AC28" s="183"/>
      <c r="AD28" s="183"/>
      <c r="AE28" s="183"/>
      <c r="AF28" s="167"/>
      <c r="AG28" s="167"/>
      <c r="AH28" s="167"/>
      <c r="AI28" s="167"/>
      <c r="AJ28" s="167"/>
      <c r="AK28" s="167"/>
      <c r="AL28" s="167"/>
      <c r="AM28" s="167"/>
      <c r="AN28" s="167"/>
    </row>
    <row r="29" spans="1:49" ht="12.65" customHeight="1">
      <c r="B29" s="791">
        <f t="shared" si="8"/>
        <v>12</v>
      </c>
      <c r="C29" s="2028" t="s">
        <v>628</v>
      </c>
      <c r="D29" s="2076"/>
      <c r="E29" s="2077"/>
      <c r="F29" s="395">
        <v>24</v>
      </c>
      <c r="G29" s="676">
        <f>$U29/12</f>
        <v>0</v>
      </c>
      <c r="H29" s="676">
        <f t="shared" ref="H29:R29" si="14">$U29/12</f>
        <v>0</v>
      </c>
      <c r="I29" s="676">
        <f t="shared" si="14"/>
        <v>0</v>
      </c>
      <c r="J29" s="676">
        <f t="shared" si="14"/>
        <v>0</v>
      </c>
      <c r="K29" s="676">
        <f t="shared" si="14"/>
        <v>0</v>
      </c>
      <c r="L29" s="676">
        <f t="shared" si="14"/>
        <v>0</v>
      </c>
      <c r="M29" s="676">
        <f t="shared" si="14"/>
        <v>0</v>
      </c>
      <c r="N29" s="676">
        <f t="shared" si="14"/>
        <v>0</v>
      </c>
      <c r="O29" s="676">
        <f t="shared" si="14"/>
        <v>0</v>
      </c>
      <c r="P29" s="676">
        <f t="shared" si="14"/>
        <v>0</v>
      </c>
      <c r="Q29" s="676">
        <f t="shared" si="14"/>
        <v>0</v>
      </c>
      <c r="R29" s="676">
        <f t="shared" si="14"/>
        <v>0</v>
      </c>
      <c r="S29" s="668">
        <f t="shared" si="13"/>
        <v>0</v>
      </c>
      <c r="T29" s="1083">
        <f t="shared" si="10"/>
        <v>0</v>
      </c>
      <c r="U29" s="1513">
        <f>IF(H5=1,'AT2 Lainat,sotum., alv-osto'!B95+'AT2 Lainat,sotum., alv-osto'!B95*F29/100,'AT2 Lainat,sotum., alv-osto'!D95+'AT2 Lainat,sotum., alv-osto'!D95*'9. T5 KASSABUDJETTI  '!F29/100)</f>
        <v>0</v>
      </c>
      <c r="V29" s="1155"/>
      <c r="W29" s="51"/>
      <c r="X29" s="1112"/>
      <c r="Y29" s="168"/>
      <c r="Z29" s="183"/>
      <c r="AA29" s="183"/>
      <c r="AB29" s="183"/>
      <c r="AC29" s="183"/>
      <c r="AD29" s="183"/>
      <c r="AE29" s="183"/>
      <c r="AF29" s="167"/>
      <c r="AG29" s="167"/>
      <c r="AH29" s="167"/>
      <c r="AI29" s="167"/>
      <c r="AJ29" s="167"/>
      <c r="AK29" s="167"/>
      <c r="AL29" s="167"/>
      <c r="AM29" s="167"/>
      <c r="AN29" s="167"/>
    </row>
    <row r="30" spans="1:49" ht="12.65" customHeight="1">
      <c r="B30" s="791">
        <f t="shared" si="8"/>
        <v>13</v>
      </c>
      <c r="C30" s="2028" t="s">
        <v>155</v>
      </c>
      <c r="D30" s="2029"/>
      <c r="E30" s="2030"/>
      <c r="F30" s="1503"/>
      <c r="G30" s="677">
        <f>IF(H5=1,'3. T3 TASE '!G88/2,'3. T3 TASE '!H88/2)</f>
        <v>0</v>
      </c>
      <c r="H30" s="677">
        <f>G30</f>
        <v>0</v>
      </c>
      <c r="I30" s="677">
        <f>'AT1 Avustus, alv-laskenta '!K26</f>
        <v>0</v>
      </c>
      <c r="J30" s="677">
        <f>'AT1 Avustus, alv-laskenta '!L26</f>
        <v>0</v>
      </c>
      <c r="K30" s="677">
        <f>'AT1 Avustus, alv-laskenta '!M26</f>
        <v>0</v>
      </c>
      <c r="L30" s="677">
        <f>'AT1 Avustus, alv-laskenta '!N26</f>
        <v>0</v>
      </c>
      <c r="M30" s="677">
        <f>'AT1 Avustus, alv-laskenta '!O26</f>
        <v>0</v>
      </c>
      <c r="N30" s="677">
        <f>'AT1 Avustus, alv-laskenta '!P26</f>
        <v>0</v>
      </c>
      <c r="O30" s="677">
        <f>'AT1 Avustus, alv-laskenta '!Q26</f>
        <v>0</v>
      </c>
      <c r="P30" s="677">
        <f>'AT1 Avustus, alv-laskenta '!R26</f>
        <v>0</v>
      </c>
      <c r="Q30" s="677">
        <f>'AT1 Avustus, alv-laskenta '!S26</f>
        <v>0</v>
      </c>
      <c r="R30" s="677">
        <f>'AT1 Avustus, alv-laskenta '!T26</f>
        <v>0</v>
      </c>
      <c r="S30" s="668">
        <f t="shared" si="13"/>
        <v>0</v>
      </c>
      <c r="T30" s="1085" t="s">
        <v>0</v>
      </c>
      <c r="U30" s="1514"/>
      <c r="V30" s="1089"/>
      <c r="W30" s="51"/>
      <c r="X30" s="1112"/>
      <c r="Y30" s="168"/>
      <c r="Z30" s="183"/>
      <c r="AA30" s="183"/>
      <c r="AB30" s="183"/>
      <c r="AC30" s="183"/>
      <c r="AD30" s="183"/>
      <c r="AE30" s="183"/>
      <c r="AF30" s="167"/>
      <c r="AG30" s="167"/>
      <c r="AH30" s="167"/>
      <c r="AI30" s="167"/>
      <c r="AJ30" s="167"/>
      <c r="AK30" s="167"/>
      <c r="AL30" s="167"/>
      <c r="AM30" s="167"/>
      <c r="AN30" s="167"/>
    </row>
    <row r="31" spans="1:49" ht="12.65" customHeight="1">
      <c r="B31" s="791">
        <f t="shared" si="8"/>
        <v>14</v>
      </c>
      <c r="C31" s="519" t="s">
        <v>156</v>
      </c>
      <c r="D31" s="1317"/>
      <c r="E31" s="1317"/>
      <c r="F31" s="1503"/>
      <c r="G31" s="677">
        <f>IF(H5=1,AW25/12,AW26/12)</f>
        <v>0</v>
      </c>
      <c r="H31" s="677">
        <f>G31</f>
        <v>0</v>
      </c>
      <c r="I31" s="677">
        <f t="shared" ref="I31:R31" si="15">H31</f>
        <v>0</v>
      </c>
      <c r="J31" s="677">
        <f t="shared" si="15"/>
        <v>0</v>
      </c>
      <c r="K31" s="677">
        <f t="shared" si="15"/>
        <v>0</v>
      </c>
      <c r="L31" s="677">
        <f t="shared" si="15"/>
        <v>0</v>
      </c>
      <c r="M31" s="677">
        <f t="shared" si="15"/>
        <v>0</v>
      </c>
      <c r="N31" s="677">
        <f t="shared" si="15"/>
        <v>0</v>
      </c>
      <c r="O31" s="677">
        <f t="shared" si="15"/>
        <v>0</v>
      </c>
      <c r="P31" s="677">
        <f t="shared" si="15"/>
        <v>0</v>
      </c>
      <c r="Q31" s="677">
        <f t="shared" si="15"/>
        <v>0</v>
      </c>
      <c r="R31" s="677">
        <f t="shared" si="15"/>
        <v>0</v>
      </c>
      <c r="S31" s="668">
        <f t="shared" si="13"/>
        <v>0</v>
      </c>
      <c r="T31" s="1086" t="s">
        <v>0</v>
      </c>
      <c r="U31" s="1515"/>
      <c r="V31" s="1087"/>
      <c r="W31" s="51"/>
      <c r="X31" s="1112"/>
      <c r="Y31" s="168"/>
      <c r="Z31" s="183"/>
      <c r="AA31" s="183"/>
      <c r="AB31" s="183"/>
      <c r="AC31" s="183"/>
      <c r="AD31" s="183"/>
      <c r="AE31" s="183"/>
      <c r="AF31" s="167"/>
      <c r="AG31" s="167"/>
      <c r="AH31" s="167"/>
      <c r="AI31" s="167"/>
      <c r="AJ31" s="167"/>
      <c r="AK31" s="167"/>
      <c r="AL31" s="167"/>
      <c r="AM31" s="167"/>
      <c r="AN31" s="167"/>
    </row>
    <row r="32" spans="1:49" ht="12.65" customHeight="1">
      <c r="B32" s="791">
        <f t="shared" si="8"/>
        <v>15</v>
      </c>
      <c r="C32" s="1315" t="s">
        <v>658</v>
      </c>
      <c r="D32" s="441"/>
      <c r="E32" s="441"/>
      <c r="F32" s="1503"/>
      <c r="G32" s="677">
        <f>IF(H5=1,'3. T3 TASE '!H85+'3. T3 TASE '!H87,'3. T3 TASE '!I85+'3. T3 TASE '!I87)</f>
        <v>0</v>
      </c>
      <c r="H32" s="677">
        <f>IF(H5=1,AU25/12,AU26/12)</f>
        <v>0</v>
      </c>
      <c r="I32" s="677">
        <f>H32</f>
        <v>0</v>
      </c>
      <c r="J32" s="677">
        <f t="shared" ref="J32:R32" si="16">I32</f>
        <v>0</v>
      </c>
      <c r="K32" s="677">
        <f t="shared" si="16"/>
        <v>0</v>
      </c>
      <c r="L32" s="677">
        <f t="shared" si="16"/>
        <v>0</v>
      </c>
      <c r="M32" s="677">
        <f t="shared" si="16"/>
        <v>0</v>
      </c>
      <c r="N32" s="677">
        <f t="shared" si="16"/>
        <v>0</v>
      </c>
      <c r="O32" s="677">
        <f t="shared" si="16"/>
        <v>0</v>
      </c>
      <c r="P32" s="677">
        <f t="shared" si="16"/>
        <v>0</v>
      </c>
      <c r="Q32" s="677">
        <f t="shared" si="16"/>
        <v>0</v>
      </c>
      <c r="R32" s="677">
        <f t="shared" si="16"/>
        <v>0</v>
      </c>
      <c r="S32" s="668">
        <f t="shared" si="13"/>
        <v>0</v>
      </c>
      <c r="T32" s="1086" t="s">
        <v>0</v>
      </c>
      <c r="U32" s="1515"/>
      <c r="V32" s="1087"/>
      <c r="W32" s="51"/>
      <c r="X32" s="1112"/>
      <c r="Y32" s="168"/>
      <c r="Z32" s="183"/>
      <c r="AA32" s="183"/>
      <c r="AB32" s="183"/>
      <c r="AC32" s="183"/>
      <c r="AD32" s="183"/>
      <c r="AE32" s="183"/>
      <c r="AF32" s="167"/>
      <c r="AG32" s="167"/>
      <c r="AH32" s="167"/>
      <c r="AI32" s="167"/>
      <c r="AJ32" s="167"/>
      <c r="AK32" s="167"/>
      <c r="AL32" s="167"/>
      <c r="AM32" s="167"/>
      <c r="AN32" s="167"/>
    </row>
    <row r="33" spans="2:40" ht="12.65" customHeight="1">
      <c r="B33" s="791">
        <f t="shared" si="8"/>
        <v>16</v>
      </c>
      <c r="C33" s="519" t="s">
        <v>491</v>
      </c>
      <c r="D33" s="520"/>
      <c r="E33" s="521"/>
      <c r="F33" s="1368">
        <v>25.8</v>
      </c>
      <c r="G33" s="677">
        <f>IF(H5=1,($F33%*'5. E1 KUSTANNUKSET '!F35)/12,(F33%*'5. E1 KUSTANNUKSET '!H35)/12)</f>
        <v>0</v>
      </c>
      <c r="H33" s="677">
        <f>G33</f>
        <v>0</v>
      </c>
      <c r="I33" s="677">
        <f t="shared" ref="I33:R34" si="17">H33</f>
        <v>0</v>
      </c>
      <c r="J33" s="677">
        <f t="shared" si="17"/>
        <v>0</v>
      </c>
      <c r="K33" s="677">
        <f t="shared" si="17"/>
        <v>0</v>
      </c>
      <c r="L33" s="677">
        <f t="shared" si="17"/>
        <v>0</v>
      </c>
      <c r="M33" s="677">
        <f t="shared" si="17"/>
        <v>0</v>
      </c>
      <c r="N33" s="677">
        <f t="shared" si="17"/>
        <v>0</v>
      </c>
      <c r="O33" s="677">
        <f t="shared" si="17"/>
        <v>0</v>
      </c>
      <c r="P33" s="677">
        <f t="shared" si="17"/>
        <v>0</v>
      </c>
      <c r="Q33" s="677">
        <f t="shared" si="17"/>
        <v>0</v>
      </c>
      <c r="R33" s="677">
        <f t="shared" si="17"/>
        <v>0</v>
      </c>
      <c r="S33" s="668">
        <f t="shared" si="13"/>
        <v>0</v>
      </c>
      <c r="T33" s="1086" t="s">
        <v>0</v>
      </c>
      <c r="U33" s="1515"/>
      <c r="V33" s="1087"/>
      <c r="W33" s="51"/>
      <c r="X33" s="1112"/>
      <c r="Y33" s="168"/>
      <c r="Z33" s="183"/>
      <c r="AA33" s="183"/>
      <c r="AB33" s="183"/>
      <c r="AC33" s="183"/>
      <c r="AD33" s="183"/>
      <c r="AE33" s="183"/>
      <c r="AF33" s="167"/>
      <c r="AG33" s="167"/>
      <c r="AH33" s="167"/>
      <c r="AI33" s="167"/>
      <c r="AJ33" s="167"/>
      <c r="AK33" s="167"/>
      <c r="AL33" s="167"/>
      <c r="AM33" s="167"/>
      <c r="AN33" s="167"/>
    </row>
    <row r="34" spans="2:40" ht="12.65" customHeight="1">
      <c r="B34" s="791">
        <f t="shared" si="8"/>
        <v>17</v>
      </c>
      <c r="C34" s="2025" t="s">
        <v>313</v>
      </c>
      <c r="D34" s="2026"/>
      <c r="E34" s="2027"/>
      <c r="F34" s="1369">
        <v>26.5</v>
      </c>
      <c r="G34" s="677">
        <f>$F34/100*IF(H5=1,AI25/12+AP25/12,AI26/12+AP26/12)</f>
        <v>0</v>
      </c>
      <c r="H34" s="677">
        <f>G34</f>
        <v>0</v>
      </c>
      <c r="I34" s="677">
        <f t="shared" si="17"/>
        <v>0</v>
      </c>
      <c r="J34" s="677">
        <f t="shared" si="17"/>
        <v>0</v>
      </c>
      <c r="K34" s="677">
        <f t="shared" si="17"/>
        <v>0</v>
      </c>
      <c r="L34" s="677">
        <f t="shared" si="17"/>
        <v>0</v>
      </c>
      <c r="M34" s="677">
        <f t="shared" si="17"/>
        <v>0</v>
      </c>
      <c r="N34" s="677">
        <f t="shared" si="17"/>
        <v>0</v>
      </c>
      <c r="O34" s="677">
        <f t="shared" si="17"/>
        <v>0</v>
      </c>
      <c r="P34" s="677">
        <f t="shared" si="17"/>
        <v>0</v>
      </c>
      <c r="Q34" s="677">
        <f t="shared" si="17"/>
        <v>0</v>
      </c>
      <c r="R34" s="677">
        <f>Q34</f>
        <v>0</v>
      </c>
      <c r="S34" s="668">
        <f t="shared" si="13"/>
        <v>0</v>
      </c>
      <c r="T34" s="1088" t="s">
        <v>0</v>
      </c>
      <c r="U34" s="1516"/>
      <c r="V34" s="1087"/>
      <c r="W34" s="51"/>
      <c r="X34" s="1112"/>
      <c r="Y34" s="168"/>
      <c r="Z34" s="183"/>
      <c r="AA34" s="183"/>
      <c r="AB34" s="183"/>
      <c r="AC34" s="183"/>
      <c r="AD34" s="183"/>
      <c r="AE34" s="183"/>
      <c r="AF34" s="167"/>
      <c r="AG34" s="167"/>
      <c r="AH34" s="167"/>
      <c r="AI34" s="167"/>
      <c r="AJ34" s="167"/>
      <c r="AK34" s="167"/>
      <c r="AL34" s="167"/>
      <c r="AM34" s="167"/>
      <c r="AN34" s="167"/>
    </row>
    <row r="35" spans="2:40" ht="12.65" customHeight="1">
      <c r="B35" s="791">
        <f t="shared" si="8"/>
        <v>18</v>
      </c>
      <c r="C35" s="1517" t="s">
        <v>492</v>
      </c>
      <c r="D35" s="1316"/>
      <c r="E35" s="1316"/>
      <c r="F35" s="1503"/>
      <c r="G35" s="676">
        <f>$U35/12</f>
        <v>0</v>
      </c>
      <c r="H35" s="676">
        <f>$U35/12</f>
        <v>0</v>
      </c>
      <c r="I35" s="676">
        <f t="shared" ref="I35:R35" si="18">$U35/12</f>
        <v>0</v>
      </c>
      <c r="J35" s="676">
        <f t="shared" si="18"/>
        <v>0</v>
      </c>
      <c r="K35" s="676">
        <f t="shared" si="18"/>
        <v>0</v>
      </c>
      <c r="L35" s="676">
        <f t="shared" si="18"/>
        <v>0</v>
      </c>
      <c r="M35" s="676">
        <f t="shared" si="18"/>
        <v>0</v>
      </c>
      <c r="N35" s="676">
        <f t="shared" si="18"/>
        <v>0</v>
      </c>
      <c r="O35" s="676">
        <f t="shared" si="18"/>
        <v>0</v>
      </c>
      <c r="P35" s="676">
        <f t="shared" si="18"/>
        <v>0</v>
      </c>
      <c r="Q35" s="676">
        <f t="shared" si="18"/>
        <v>0</v>
      </c>
      <c r="R35" s="676">
        <f t="shared" si="18"/>
        <v>0</v>
      </c>
      <c r="S35" s="668">
        <f t="shared" si="13"/>
        <v>0</v>
      </c>
      <c r="T35" s="1083">
        <f t="shared" si="10"/>
        <v>0</v>
      </c>
      <c r="U35" s="988">
        <f>IF(H5=1,'5. E1 KUSTANNUKSET '!F43+'5. E1 KUSTANNUKSET '!F38+'5. E1 KUSTANNUKSET '!F42,'5. E1 KUSTANNUKSET '!H38+'5. E1 KUSTANNUKSET '!H43+'5. E1 KUSTANNUKSET '!H42)</f>
        <v>0</v>
      </c>
      <c r="V35" s="1089"/>
      <c r="W35" s="51"/>
      <c r="X35" s="1153">
        <v>0</v>
      </c>
      <c r="Y35" s="168"/>
      <c r="Z35" s="183"/>
      <c r="AA35" s="183"/>
      <c r="AB35" s="183"/>
      <c r="AC35" s="183"/>
      <c r="AD35" s="183"/>
      <c r="AE35" s="183"/>
      <c r="AF35" s="167"/>
      <c r="AG35" s="167"/>
      <c r="AH35" s="167"/>
      <c r="AI35" s="167"/>
      <c r="AJ35" s="167"/>
      <c r="AK35" s="167"/>
      <c r="AL35" s="167"/>
      <c r="AM35" s="167"/>
      <c r="AN35" s="167"/>
    </row>
    <row r="36" spans="2:40" ht="12.65" customHeight="1">
      <c r="B36" s="791">
        <f t="shared" si="8"/>
        <v>19</v>
      </c>
      <c r="C36" s="1318" t="s">
        <v>509</v>
      </c>
      <c r="D36" s="1363"/>
      <c r="E36" s="1363"/>
      <c r="F36" s="1503"/>
      <c r="G36" s="676">
        <f>$U36/12</f>
        <v>0</v>
      </c>
      <c r="H36" s="676">
        <f t="shared" ref="H36:R36" si="19">$U36/12</f>
        <v>0</v>
      </c>
      <c r="I36" s="676">
        <f t="shared" si="19"/>
        <v>0</v>
      </c>
      <c r="J36" s="676">
        <f t="shared" si="19"/>
        <v>0</v>
      </c>
      <c r="K36" s="676">
        <f t="shared" si="19"/>
        <v>0</v>
      </c>
      <c r="L36" s="676">
        <f t="shared" si="19"/>
        <v>0</v>
      </c>
      <c r="M36" s="676">
        <f t="shared" si="19"/>
        <v>0</v>
      </c>
      <c r="N36" s="676">
        <f t="shared" si="19"/>
        <v>0</v>
      </c>
      <c r="O36" s="676">
        <f t="shared" si="19"/>
        <v>0</v>
      </c>
      <c r="P36" s="676">
        <f t="shared" si="19"/>
        <v>0</v>
      </c>
      <c r="Q36" s="676">
        <f t="shared" si="19"/>
        <v>0</v>
      </c>
      <c r="R36" s="676">
        <f t="shared" si="19"/>
        <v>0</v>
      </c>
      <c r="S36" s="668">
        <f t="shared" si="13"/>
        <v>0</v>
      </c>
      <c r="T36" s="1083">
        <f t="shared" si="10"/>
        <v>0</v>
      </c>
      <c r="U36" s="988">
        <f>IF(H$5=1,'5. E1 KUSTANNUKSET '!F121,'5. E1 KUSTANNUKSET '!H121)</f>
        <v>0</v>
      </c>
      <c r="V36" s="1089"/>
      <c r="W36" s="51"/>
      <c r="X36" s="1112"/>
      <c r="Y36" s="168"/>
      <c r="Z36" s="183"/>
      <c r="AA36" s="183"/>
      <c r="AB36" s="183"/>
      <c r="AC36" s="183"/>
      <c r="AD36" s="183"/>
      <c r="AE36" s="183"/>
      <c r="AF36" s="167"/>
      <c r="AG36" s="167"/>
      <c r="AH36" s="167"/>
      <c r="AI36" s="167"/>
      <c r="AJ36" s="167"/>
      <c r="AK36" s="167"/>
      <c r="AL36" s="167"/>
      <c r="AM36" s="167"/>
      <c r="AN36" s="167"/>
    </row>
    <row r="37" spans="2:40" ht="12.65" customHeight="1">
      <c r="B37" s="791">
        <f t="shared" si="8"/>
        <v>20</v>
      </c>
      <c r="C37" s="519" t="s">
        <v>510</v>
      </c>
      <c r="D37" s="1317"/>
      <c r="E37" s="1317"/>
      <c r="F37" s="1503"/>
      <c r="G37" s="676">
        <f>$U37/12</f>
        <v>0</v>
      </c>
      <c r="H37" s="676">
        <f t="shared" ref="H37:R39" si="20">$U37/12</f>
        <v>0</v>
      </c>
      <c r="I37" s="676">
        <f t="shared" si="20"/>
        <v>0</v>
      </c>
      <c r="J37" s="676">
        <f t="shared" si="20"/>
        <v>0</v>
      </c>
      <c r="K37" s="676">
        <f t="shared" si="20"/>
        <v>0</v>
      </c>
      <c r="L37" s="676">
        <f t="shared" si="20"/>
        <v>0</v>
      </c>
      <c r="M37" s="676">
        <f t="shared" si="20"/>
        <v>0</v>
      </c>
      <c r="N37" s="676">
        <f t="shared" si="20"/>
        <v>0</v>
      </c>
      <c r="O37" s="676">
        <f t="shared" si="20"/>
        <v>0</v>
      </c>
      <c r="P37" s="676">
        <f t="shared" si="20"/>
        <v>0</v>
      </c>
      <c r="Q37" s="676">
        <f t="shared" si="20"/>
        <v>0</v>
      </c>
      <c r="R37" s="676">
        <f t="shared" si="20"/>
        <v>0</v>
      </c>
      <c r="S37" s="668">
        <f t="shared" si="13"/>
        <v>0</v>
      </c>
      <c r="T37" s="1083">
        <f t="shared" si="10"/>
        <v>0</v>
      </c>
      <c r="U37" s="988">
        <f>IF(H$5=1,'AT2 Lainat,sotum., alv-osto'!B97,'AT2 Lainat,sotum., alv-osto'!D97)</f>
        <v>0</v>
      </c>
      <c r="V37" s="1089"/>
      <c r="W37" s="51"/>
      <c r="X37" s="167"/>
      <c r="Y37" s="1113"/>
      <c r="Z37" s="183"/>
      <c r="AA37" s="183"/>
      <c r="AB37" s="183"/>
      <c r="AC37" s="183"/>
      <c r="AD37" s="183"/>
      <c r="AE37" s="183"/>
      <c r="AF37" s="167"/>
      <c r="AG37" s="167"/>
      <c r="AH37" s="167"/>
      <c r="AI37" s="167"/>
      <c r="AJ37" s="167"/>
      <c r="AK37" s="167"/>
      <c r="AL37" s="167"/>
      <c r="AM37" s="167"/>
      <c r="AN37" s="167"/>
    </row>
    <row r="38" spans="2:40" ht="12.65" customHeight="1">
      <c r="B38" s="791">
        <f t="shared" si="8"/>
        <v>21</v>
      </c>
      <c r="C38" s="2028" t="s">
        <v>160</v>
      </c>
      <c r="D38" s="2029"/>
      <c r="E38" s="2030"/>
      <c r="F38" s="1503"/>
      <c r="G38" s="676">
        <f>$U38/12</f>
        <v>0</v>
      </c>
      <c r="H38" s="676">
        <f t="shared" si="20"/>
        <v>0</v>
      </c>
      <c r="I38" s="676">
        <f t="shared" si="20"/>
        <v>0</v>
      </c>
      <c r="J38" s="676">
        <f t="shared" si="20"/>
        <v>0</v>
      </c>
      <c r="K38" s="676">
        <f t="shared" si="20"/>
        <v>0</v>
      </c>
      <c r="L38" s="676">
        <f t="shared" si="20"/>
        <v>0</v>
      </c>
      <c r="M38" s="676">
        <f t="shared" si="20"/>
        <v>0</v>
      </c>
      <c r="N38" s="676">
        <f t="shared" si="20"/>
        <v>0</v>
      </c>
      <c r="O38" s="676">
        <f t="shared" si="20"/>
        <v>0</v>
      </c>
      <c r="P38" s="676">
        <f t="shared" si="20"/>
        <v>0</v>
      </c>
      <c r="Q38" s="676">
        <f t="shared" si="20"/>
        <v>0</v>
      </c>
      <c r="R38" s="676">
        <f t="shared" si="20"/>
        <v>0</v>
      </c>
      <c r="S38" s="668">
        <f t="shared" ref="S38:S43" si="21">SUM(G38:R38)</f>
        <v>0</v>
      </c>
      <c r="T38" s="1083">
        <f t="shared" si="10"/>
        <v>0</v>
      </c>
      <c r="U38" s="988">
        <f>IF(H5=1,'4. T7 LAINAT '!H18+'4. T7 LAINAT '!H39,'4. T7 LAINAT '!K18+'4. T7 LAINAT '!K39)</f>
        <v>0</v>
      </c>
      <c r="V38" s="1089"/>
      <c r="W38" s="51"/>
      <c r="AF38" s="167"/>
      <c r="AG38" s="167"/>
      <c r="AH38" s="167"/>
      <c r="AI38" s="167"/>
      <c r="AJ38" s="167"/>
      <c r="AK38" s="167"/>
      <c r="AL38" s="167"/>
      <c r="AM38" s="167"/>
      <c r="AN38" s="167"/>
    </row>
    <row r="39" spans="2:40" ht="12.65" customHeight="1">
      <c r="B39" s="791">
        <f t="shared" si="8"/>
        <v>22</v>
      </c>
      <c r="C39" s="519" t="s">
        <v>157</v>
      </c>
      <c r="D39" s="1317"/>
      <c r="E39" s="1317"/>
      <c r="F39" s="1503"/>
      <c r="G39" s="676">
        <f>$U39/12</f>
        <v>0</v>
      </c>
      <c r="H39" s="676">
        <f t="shared" si="20"/>
        <v>0</v>
      </c>
      <c r="I39" s="676">
        <f t="shared" si="20"/>
        <v>0</v>
      </c>
      <c r="J39" s="676">
        <f t="shared" si="20"/>
        <v>0</v>
      </c>
      <c r="K39" s="676">
        <f t="shared" si="20"/>
        <v>0</v>
      </c>
      <c r="L39" s="676">
        <f t="shared" si="20"/>
        <v>0</v>
      </c>
      <c r="M39" s="676">
        <f t="shared" si="20"/>
        <v>0</v>
      </c>
      <c r="N39" s="676">
        <f t="shared" si="20"/>
        <v>0</v>
      </c>
      <c r="O39" s="676">
        <f t="shared" si="20"/>
        <v>0</v>
      </c>
      <c r="P39" s="676">
        <f t="shared" si="20"/>
        <v>0</v>
      </c>
      <c r="Q39" s="676">
        <f t="shared" si="20"/>
        <v>0</v>
      </c>
      <c r="R39" s="676">
        <f t="shared" si="20"/>
        <v>0</v>
      </c>
      <c r="S39" s="668">
        <f t="shared" si="21"/>
        <v>0</v>
      </c>
      <c r="T39" s="1083">
        <f t="shared" si="10"/>
        <v>0</v>
      </c>
      <c r="U39" s="988">
        <f>-IF(H5=1,'2. &amp; 7. T2 TULOSSUUN. '!I27,'2. &amp; 7. T2 TULOSSUUN. '!K27)</f>
        <v>0</v>
      </c>
      <c r="V39" s="1089"/>
      <c r="W39" s="51"/>
      <c r="X39" s="2031"/>
      <c r="Y39" s="2032"/>
      <c r="Z39" s="2033"/>
      <c r="AA39" s="2033"/>
      <c r="AB39" s="2033"/>
      <c r="AC39" s="2033"/>
      <c r="AD39" s="2033"/>
      <c r="AE39" s="2033"/>
      <c r="AF39" s="167"/>
      <c r="AG39" s="167"/>
      <c r="AH39" s="167"/>
      <c r="AI39" s="167"/>
      <c r="AJ39" s="167"/>
      <c r="AK39" s="167"/>
      <c r="AL39" s="167"/>
      <c r="AM39" s="167"/>
      <c r="AN39" s="167"/>
    </row>
    <row r="40" spans="2:40" ht="12.65" customHeight="1">
      <c r="B40" s="791">
        <f t="shared" si="8"/>
        <v>23</v>
      </c>
      <c r="C40" s="519" t="s">
        <v>344</v>
      </c>
      <c r="D40" s="1317"/>
      <c r="E40" s="1317"/>
      <c r="F40" s="1503"/>
      <c r="G40" s="676"/>
      <c r="H40" s="676"/>
      <c r="I40" s="676"/>
      <c r="J40" s="676"/>
      <c r="K40" s="676"/>
      <c r="L40" s="676"/>
      <c r="M40" s="676"/>
      <c r="N40" s="676"/>
      <c r="O40" s="676"/>
      <c r="P40" s="676"/>
      <c r="Q40" s="676"/>
      <c r="R40" s="676"/>
      <c r="S40" s="668">
        <f>SUM(G40:R40)</f>
        <v>0</v>
      </c>
      <c r="T40" s="1084" t="s">
        <v>0</v>
      </c>
      <c r="U40" s="1514"/>
      <c r="V40" s="1089"/>
      <c r="W40" s="51"/>
      <c r="X40" s="2031"/>
      <c r="Y40" s="2032"/>
      <c r="Z40" s="2033"/>
      <c r="AA40" s="2033"/>
      <c r="AB40" s="2033"/>
      <c r="AC40" s="2033"/>
      <c r="AD40" s="2033"/>
      <c r="AE40" s="2033"/>
      <c r="AF40" s="167"/>
      <c r="AG40" s="167"/>
      <c r="AH40" s="167"/>
      <c r="AI40" s="167"/>
      <c r="AJ40" s="167"/>
      <c r="AK40" s="167"/>
      <c r="AL40" s="167"/>
      <c r="AM40" s="167"/>
      <c r="AN40" s="167"/>
    </row>
    <row r="41" spans="2:40" ht="12.65" customHeight="1">
      <c r="B41" s="791">
        <f t="shared" si="8"/>
        <v>24</v>
      </c>
      <c r="C41" s="519" t="s">
        <v>514</v>
      </c>
      <c r="D41" s="1317"/>
      <c r="E41" s="1317"/>
      <c r="F41" s="1503"/>
      <c r="G41" s="676">
        <f>$U41/12</f>
        <v>0</v>
      </c>
      <c r="H41" s="676">
        <f t="shared" ref="H41:R41" si="22">$U41/12</f>
        <v>0</v>
      </c>
      <c r="I41" s="676">
        <f t="shared" si="22"/>
        <v>0</v>
      </c>
      <c r="J41" s="676">
        <f t="shared" si="22"/>
        <v>0</v>
      </c>
      <c r="K41" s="676">
        <f t="shared" si="22"/>
        <v>0</v>
      </c>
      <c r="L41" s="676">
        <f t="shared" si="22"/>
        <v>0</v>
      </c>
      <c r="M41" s="676">
        <f t="shared" si="22"/>
        <v>0</v>
      </c>
      <c r="N41" s="676">
        <f>$U41/12</f>
        <v>0</v>
      </c>
      <c r="O41" s="676">
        <f t="shared" si="22"/>
        <v>0</v>
      </c>
      <c r="P41" s="676">
        <f t="shared" si="22"/>
        <v>0</v>
      </c>
      <c r="Q41" s="676">
        <f t="shared" si="22"/>
        <v>0</v>
      </c>
      <c r="R41" s="676">
        <f t="shared" si="22"/>
        <v>0</v>
      </c>
      <c r="S41" s="668">
        <f>SUM(G41:R41)</f>
        <v>0</v>
      </c>
      <c r="T41" s="1083">
        <f t="shared" si="10"/>
        <v>0</v>
      </c>
      <c r="U41" s="988">
        <f>IF(H5=1,'5. E1 KUSTANNUKSET '!F119,'5. E1 KUSTANNUKSET '!H119)</f>
        <v>0</v>
      </c>
      <c r="V41" s="1089"/>
      <c r="W41" s="51"/>
      <c r="X41" s="2032"/>
      <c r="Y41" s="2032"/>
      <c r="Z41" s="2033"/>
      <c r="AA41" s="2033"/>
      <c r="AB41" s="2033"/>
      <c r="AC41" s="2033"/>
      <c r="AD41" s="2033"/>
      <c r="AE41" s="2033"/>
      <c r="AF41" s="167"/>
      <c r="AG41" s="167"/>
      <c r="AH41" s="167"/>
      <c r="AI41" s="167"/>
      <c r="AJ41" s="167"/>
      <c r="AK41" s="167"/>
      <c r="AL41" s="167"/>
      <c r="AM41" s="167"/>
      <c r="AN41" s="167"/>
    </row>
    <row r="42" spans="2:40" ht="12.65" customHeight="1">
      <c r="B42" s="791">
        <f t="shared" si="8"/>
        <v>25</v>
      </c>
      <c r="C42" s="2042" t="s">
        <v>732</v>
      </c>
      <c r="D42" s="2043"/>
      <c r="E42" s="2044"/>
      <c r="F42" s="1503"/>
      <c r="G42" s="676"/>
      <c r="H42" s="676"/>
      <c r="I42" s="676"/>
      <c r="J42" s="676"/>
      <c r="K42" s="676"/>
      <c r="L42" s="676"/>
      <c r="M42" s="676"/>
      <c r="N42" s="676"/>
      <c r="O42" s="676"/>
      <c r="P42" s="676"/>
      <c r="Q42" s="676">
        <v>0</v>
      </c>
      <c r="R42" s="676"/>
      <c r="S42" s="668">
        <f t="shared" si="21"/>
        <v>0</v>
      </c>
      <c r="T42" s="1085" t="s">
        <v>0</v>
      </c>
      <c r="U42" s="990"/>
      <c r="V42" s="1089"/>
      <c r="W42" s="51"/>
      <c r="X42" s="2032"/>
      <c r="Y42" s="2032"/>
      <c r="Z42" s="2033"/>
      <c r="AA42" s="2033"/>
      <c r="AB42" s="2033"/>
      <c r="AC42" s="2033"/>
      <c r="AD42" s="2033"/>
      <c r="AE42" s="2033"/>
      <c r="AF42" s="167"/>
      <c r="AG42" s="167"/>
      <c r="AH42" s="167"/>
      <c r="AI42" s="167"/>
      <c r="AJ42" s="167"/>
      <c r="AK42" s="167"/>
      <c r="AL42" s="167"/>
      <c r="AM42" s="167"/>
      <c r="AN42" s="167"/>
    </row>
    <row r="43" spans="2:40" ht="12.65" customHeight="1" thickBot="1">
      <c r="B43" s="791">
        <f t="shared" si="8"/>
        <v>26</v>
      </c>
      <c r="C43" s="2045" t="s">
        <v>735</v>
      </c>
      <c r="D43" s="2046"/>
      <c r="E43" s="2047"/>
      <c r="F43" s="1503"/>
      <c r="G43" s="676">
        <v>0</v>
      </c>
      <c r="H43" s="676"/>
      <c r="I43" s="676"/>
      <c r="J43" s="676"/>
      <c r="K43" s="676"/>
      <c r="L43" s="676"/>
      <c r="M43" s="676"/>
      <c r="N43" s="676"/>
      <c r="O43" s="676"/>
      <c r="P43" s="676"/>
      <c r="Q43" s="676"/>
      <c r="R43" s="676"/>
      <c r="S43" s="678">
        <f t="shared" si="21"/>
        <v>0</v>
      </c>
      <c r="T43" s="1086" t="s">
        <v>0</v>
      </c>
      <c r="U43" s="168"/>
      <c r="V43" s="1092"/>
      <c r="W43" s="51"/>
      <c r="X43" s="167"/>
      <c r="Y43" s="167"/>
      <c r="Z43" s="1114"/>
      <c r="AA43" s="1114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</row>
    <row r="44" spans="2:40" ht="16.2" customHeight="1" thickTop="1" thickBot="1">
      <c r="B44" s="778"/>
      <c r="C44" s="1361" t="s">
        <v>670</v>
      </c>
      <c r="D44" s="1362"/>
      <c r="E44" s="1362"/>
      <c r="F44" s="1370"/>
      <c r="G44" s="779">
        <f>SUM(G22:G43)</f>
        <v>0</v>
      </c>
      <c r="H44" s="779">
        <f t="shared" ref="H44:R44" si="23">SUM(H22:H43)</f>
        <v>0</v>
      </c>
      <c r="I44" s="779">
        <f t="shared" si="23"/>
        <v>0</v>
      </c>
      <c r="J44" s="779">
        <f t="shared" si="23"/>
        <v>0</v>
      </c>
      <c r="K44" s="779">
        <f t="shared" si="23"/>
        <v>0</v>
      </c>
      <c r="L44" s="779">
        <f t="shared" si="23"/>
        <v>0</v>
      </c>
      <c r="M44" s="779">
        <f t="shared" si="23"/>
        <v>0</v>
      </c>
      <c r="N44" s="779">
        <f t="shared" si="23"/>
        <v>0</v>
      </c>
      <c r="O44" s="779">
        <f t="shared" si="23"/>
        <v>0</v>
      </c>
      <c r="P44" s="779">
        <f t="shared" si="23"/>
        <v>0</v>
      </c>
      <c r="Q44" s="779">
        <f t="shared" si="23"/>
        <v>0</v>
      </c>
      <c r="R44" s="779">
        <f t="shared" si="23"/>
        <v>0</v>
      </c>
      <c r="S44" s="779">
        <f>SUM(G44:R44)</f>
        <v>0</v>
      </c>
      <c r="T44" s="245"/>
      <c r="U44" s="2039" t="s">
        <v>667</v>
      </c>
      <c r="V44" s="1154"/>
      <c r="W44" s="51"/>
    </row>
    <row r="45" spans="2:40" ht="4.2" customHeight="1" thickTop="1">
      <c r="B45" s="1262"/>
      <c r="C45" s="1263"/>
      <c r="D45" s="550"/>
      <c r="E45" s="550"/>
      <c r="F45" s="1264"/>
      <c r="G45" s="1265"/>
      <c r="H45" s="1265"/>
      <c r="I45" s="1265"/>
      <c r="J45" s="1265"/>
      <c r="K45" s="1265"/>
      <c r="L45" s="1265"/>
      <c r="M45" s="1265"/>
      <c r="N45" s="1265"/>
      <c r="O45" s="1265"/>
      <c r="P45" s="1265"/>
      <c r="Q45" s="1265"/>
      <c r="R45" s="1265"/>
      <c r="S45" s="1089"/>
      <c r="T45" s="245"/>
      <c r="U45" s="2040"/>
      <c r="V45" s="1154"/>
      <c r="W45" s="51"/>
    </row>
    <row r="46" spans="2:40" ht="14.15" customHeight="1">
      <c r="B46" s="2078" t="s">
        <v>674</v>
      </c>
      <c r="C46" s="2079"/>
      <c r="D46" s="2079"/>
      <c r="E46" s="2079"/>
      <c r="F46" s="2080"/>
      <c r="G46" s="1266">
        <f>G21</f>
        <v>45658</v>
      </c>
      <c r="H46" s="1266">
        <f>H21</f>
        <v>45689</v>
      </c>
      <c r="I46" s="1266">
        <f t="shared" ref="I46:R46" si="24">I21</f>
        <v>45720</v>
      </c>
      <c r="J46" s="1266">
        <f t="shared" si="24"/>
        <v>45751</v>
      </c>
      <c r="K46" s="1266">
        <f t="shared" si="24"/>
        <v>45782</v>
      </c>
      <c r="L46" s="1266">
        <f t="shared" si="24"/>
        <v>45813</v>
      </c>
      <c r="M46" s="1266">
        <f t="shared" si="24"/>
        <v>45844</v>
      </c>
      <c r="N46" s="1266">
        <f t="shared" si="24"/>
        <v>45875</v>
      </c>
      <c r="O46" s="1266">
        <f t="shared" si="24"/>
        <v>45906</v>
      </c>
      <c r="P46" s="1266">
        <f t="shared" si="24"/>
        <v>45937</v>
      </c>
      <c r="Q46" s="1266">
        <f t="shared" si="24"/>
        <v>45968</v>
      </c>
      <c r="R46" s="1266">
        <f t="shared" si="24"/>
        <v>45999</v>
      </c>
      <c r="S46" s="1267" t="str">
        <f>S21</f>
        <v>YHT</v>
      </c>
      <c r="T46" s="1251" t="s">
        <v>635</v>
      </c>
      <c r="U46" s="2041"/>
      <c r="V46" s="1154"/>
      <c r="W46" s="51"/>
    </row>
    <row r="47" spans="2:40" ht="12.65" customHeight="1">
      <c r="B47" s="792">
        <v>27</v>
      </c>
      <c r="C47" s="1364" t="s">
        <v>513</v>
      </c>
      <c r="D47" s="1365"/>
      <c r="E47" s="1365"/>
      <c r="F47" s="1503"/>
      <c r="G47" s="679">
        <f>$U47/12</f>
        <v>0</v>
      </c>
      <c r="H47" s="679">
        <f t="shared" ref="H47:R47" si="25">$U47/12</f>
        <v>0</v>
      </c>
      <c r="I47" s="679">
        <f t="shared" si="25"/>
        <v>0</v>
      </c>
      <c r="J47" s="679">
        <f t="shared" si="25"/>
        <v>0</v>
      </c>
      <c r="K47" s="679">
        <f t="shared" si="25"/>
        <v>0</v>
      </c>
      <c r="L47" s="679">
        <f t="shared" si="25"/>
        <v>0</v>
      </c>
      <c r="M47" s="679">
        <f t="shared" si="25"/>
        <v>0</v>
      </c>
      <c r="N47" s="679">
        <f t="shared" si="25"/>
        <v>0</v>
      </c>
      <c r="O47" s="679">
        <f t="shared" si="25"/>
        <v>0</v>
      </c>
      <c r="P47" s="679">
        <f t="shared" si="25"/>
        <v>0</v>
      </c>
      <c r="Q47" s="679">
        <f t="shared" si="25"/>
        <v>0</v>
      </c>
      <c r="R47" s="679">
        <f t="shared" si="25"/>
        <v>0</v>
      </c>
      <c r="S47" s="680">
        <f t="shared" ref="S47:S52" si="26">SUM(G47:R47)</f>
        <v>0</v>
      </c>
      <c r="T47" s="1090">
        <f t="shared" ref="T47:T52" si="27">U47-S47</f>
        <v>0</v>
      </c>
      <c r="U47" s="988">
        <f>IF(H5=1,'4. T7 LAINAT '!F19+'4. T7 LAINAT '!H19+'4. T7 LAINAT '!G45+'4. T7 LAINAT '!H45,'4. T7 LAINAT '!I19+'4. T7 LAINAT '!K19+'4. T7 LAINAT '!J45+'4. T7 LAINAT '!K45)</f>
        <v>0</v>
      </c>
      <c r="V47" s="1089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</row>
    <row r="48" spans="2:40" ht="12.65" customHeight="1">
      <c r="B48" s="792">
        <f>B47+1</f>
        <v>28</v>
      </c>
      <c r="C48" s="1491" t="s">
        <v>329</v>
      </c>
      <c r="D48" s="317"/>
      <c r="E48" s="317"/>
      <c r="F48" s="1503"/>
      <c r="G48" s="679">
        <f>U48</f>
        <v>0</v>
      </c>
      <c r="H48" s="679"/>
      <c r="I48" s="679"/>
      <c r="J48" s="679">
        <v>0</v>
      </c>
      <c r="K48" s="679">
        <v>0</v>
      </c>
      <c r="L48" s="679"/>
      <c r="M48" s="679"/>
      <c r="N48" s="679"/>
      <c r="O48" s="679"/>
      <c r="P48" s="679">
        <v>0</v>
      </c>
      <c r="Q48" s="679"/>
      <c r="R48" s="679">
        <v>0</v>
      </c>
      <c r="S48" s="680">
        <f t="shared" si="26"/>
        <v>0</v>
      </c>
      <c r="T48" s="1090">
        <f t="shared" si="27"/>
        <v>0</v>
      </c>
      <c r="U48" s="988">
        <f>IF(H5=1,'4. T7 LAINAT '!F39+'4. T7 LAINAT '!F45,'4. T7 LAINAT '!I39+'4. T7 LAINAT '!I45)</f>
        <v>0</v>
      </c>
      <c r="V48" s="1089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</row>
    <row r="49" spans="1:40" ht="12.65" customHeight="1">
      <c r="B49" s="792">
        <f>B48+1</f>
        <v>29</v>
      </c>
      <c r="C49" s="519" t="s">
        <v>351</v>
      </c>
      <c r="D49" s="1317"/>
      <c r="E49" s="1317"/>
      <c r="F49" s="1503"/>
      <c r="G49" s="676"/>
      <c r="H49" s="676"/>
      <c r="I49" s="676"/>
      <c r="J49" s="676"/>
      <c r="K49" s="676"/>
      <c r="L49" s="676">
        <f>$U49/2</f>
        <v>0</v>
      </c>
      <c r="M49" s="676">
        <v>0</v>
      </c>
      <c r="N49" s="676"/>
      <c r="O49" s="676"/>
      <c r="P49" s="676"/>
      <c r="Q49" s="676"/>
      <c r="R49" s="676">
        <f>$U49/2</f>
        <v>0</v>
      </c>
      <c r="S49" s="668">
        <f t="shared" si="26"/>
        <v>0</v>
      </c>
      <c r="T49" s="1090">
        <f t="shared" si="27"/>
        <v>0</v>
      </c>
      <c r="U49" s="988">
        <f>IF(H5=1,'4. T7 LAINAT '!F18+'4. T7 LAINAT '!G39,'4. T7 LAINAT '!I18+'4. T7 LAINAT '!J39)</f>
        <v>0</v>
      </c>
      <c r="V49" s="1089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</row>
    <row r="50" spans="1:40" ht="12.65" customHeight="1">
      <c r="B50" s="792">
        <f>B49+1</f>
        <v>30</v>
      </c>
      <c r="C50" s="519" t="s">
        <v>158</v>
      </c>
      <c r="D50" s="1317"/>
      <c r="E50" s="1317"/>
      <c r="F50" s="1503"/>
      <c r="G50" s="676"/>
      <c r="H50" s="676"/>
      <c r="I50" s="676"/>
      <c r="J50" s="676"/>
      <c r="K50" s="676"/>
      <c r="L50" s="676"/>
      <c r="M50" s="676"/>
      <c r="N50" s="676"/>
      <c r="O50" s="676"/>
      <c r="P50" s="676"/>
      <c r="Q50" s="676"/>
      <c r="R50" s="676"/>
      <c r="S50" s="668">
        <f t="shared" si="26"/>
        <v>0</v>
      </c>
      <c r="T50" s="1091" t="s">
        <v>0</v>
      </c>
      <c r="U50" s="1514"/>
      <c r="V50" s="1089"/>
    </row>
    <row r="51" spans="1:40" ht="12.65" customHeight="1">
      <c r="B51" s="792">
        <f>B50+1</f>
        <v>31</v>
      </c>
      <c r="C51" s="519" t="s">
        <v>161</v>
      </c>
      <c r="D51" s="1317"/>
      <c r="E51" s="1317"/>
      <c r="F51" s="1503"/>
      <c r="G51" s="676">
        <f>U51</f>
        <v>0</v>
      </c>
      <c r="H51" s="676"/>
      <c r="I51" s="676"/>
      <c r="J51" s="676"/>
      <c r="K51" s="676"/>
      <c r="L51" s="676"/>
      <c r="M51" s="676"/>
      <c r="N51" s="676"/>
      <c r="O51" s="676"/>
      <c r="P51" s="676"/>
      <c r="Q51" s="676"/>
      <c r="R51" s="676"/>
      <c r="S51" s="668">
        <f t="shared" si="26"/>
        <v>0</v>
      </c>
      <c r="T51" s="1090">
        <f t="shared" si="27"/>
        <v>0</v>
      </c>
      <c r="U51" s="988">
        <f>IF(H5=1,'1. T1 INVESTOINTISUUN.'!D48+'1. T1 INVESTOINTISUUN.'!D49,'1. T1 INVESTOINTISUUN.'!E48+'1. T1 INVESTOINTISUUN.'!E49)</f>
        <v>0</v>
      </c>
      <c r="V51" s="1089"/>
    </row>
    <row r="52" spans="1:40" ht="12.65" customHeight="1" thickBot="1">
      <c r="B52" s="792">
        <f>B51+1</f>
        <v>32</v>
      </c>
      <c r="C52" s="1366" t="s">
        <v>162</v>
      </c>
      <c r="D52" s="1367"/>
      <c r="E52" s="1367"/>
      <c r="F52" s="1503"/>
      <c r="G52" s="676">
        <f>U52</f>
        <v>0</v>
      </c>
      <c r="H52" s="676"/>
      <c r="I52" s="676"/>
      <c r="J52" s="676"/>
      <c r="K52" s="676"/>
      <c r="L52" s="676">
        <v>0</v>
      </c>
      <c r="M52" s="676"/>
      <c r="N52" s="676"/>
      <c r="O52" s="676"/>
      <c r="P52" s="676"/>
      <c r="Q52" s="676"/>
      <c r="R52" s="676"/>
      <c r="S52" s="668">
        <f t="shared" si="26"/>
        <v>0</v>
      </c>
      <c r="T52" s="1090">
        <f t="shared" si="27"/>
        <v>0</v>
      </c>
      <c r="U52" s="988">
        <f>IF(H5=1,'1. T1 INVESTOINTISUUN.'!D51,'1. T1 INVESTOINTISUUN.'!E51)</f>
        <v>0</v>
      </c>
      <c r="V52" s="1089"/>
    </row>
    <row r="53" spans="1:40" ht="13.3" thickTop="1" thickBot="1">
      <c r="B53" s="780"/>
      <c r="C53" s="2101" t="s">
        <v>669</v>
      </c>
      <c r="D53" s="2102"/>
      <c r="E53" s="2102"/>
      <c r="F53" s="2103"/>
      <c r="G53" s="781">
        <f>-G47+G48-G49-G50+G51+G52</f>
        <v>0</v>
      </c>
      <c r="H53" s="781">
        <f t="shared" ref="H53:R53" si="28">-H47+H48-H49-H50+H51+H52</f>
        <v>0</v>
      </c>
      <c r="I53" s="781">
        <f t="shared" si="28"/>
        <v>0</v>
      </c>
      <c r="J53" s="781">
        <f t="shared" si="28"/>
        <v>0</v>
      </c>
      <c r="K53" s="781">
        <f t="shared" si="28"/>
        <v>0</v>
      </c>
      <c r="L53" s="781">
        <f t="shared" si="28"/>
        <v>0</v>
      </c>
      <c r="M53" s="781">
        <f t="shared" si="28"/>
        <v>0</v>
      </c>
      <c r="N53" s="781">
        <f t="shared" si="28"/>
        <v>0</v>
      </c>
      <c r="O53" s="781">
        <f t="shared" si="28"/>
        <v>0</v>
      </c>
      <c r="P53" s="781">
        <f t="shared" si="28"/>
        <v>0</v>
      </c>
      <c r="Q53" s="781">
        <f t="shared" si="28"/>
        <v>0</v>
      </c>
      <c r="R53" s="781">
        <f t="shared" si="28"/>
        <v>0</v>
      </c>
      <c r="S53" s="782">
        <f>-S47+S48-S49-S50+S51+S52</f>
        <v>0</v>
      </c>
      <c r="U53" s="256"/>
      <c r="V53" s="256"/>
    </row>
    <row r="54" spans="1:40" ht="4.2" customHeight="1" thickTop="1">
      <c r="B54" s="790"/>
      <c r="C54" s="349"/>
      <c r="D54" s="349"/>
      <c r="E54" s="349"/>
      <c r="F54" s="350"/>
      <c r="G54" s="674"/>
      <c r="H54" s="674"/>
      <c r="I54" s="674"/>
      <c r="J54" s="674"/>
      <c r="K54" s="674"/>
      <c r="L54" s="674"/>
      <c r="M54" s="674"/>
      <c r="N54" s="674"/>
      <c r="O54" s="674"/>
      <c r="P54" s="674"/>
      <c r="Q54" s="674"/>
      <c r="R54" s="674"/>
      <c r="S54" s="681"/>
      <c r="U54" s="256"/>
      <c r="V54" s="256"/>
    </row>
    <row r="55" spans="1:40">
      <c r="B55" s="351">
        <v>33</v>
      </c>
      <c r="C55" s="2036" t="s">
        <v>159</v>
      </c>
      <c r="D55" s="2037"/>
      <c r="E55" s="2037"/>
      <c r="F55" s="2038"/>
      <c r="G55" s="682">
        <f>G19-G44+G53</f>
        <v>0</v>
      </c>
      <c r="H55" s="682">
        <f>H19-H44+H53</f>
        <v>0</v>
      </c>
      <c r="I55" s="682">
        <f t="shared" ref="I55:R55" si="29">I19-I44+I53</f>
        <v>0</v>
      </c>
      <c r="J55" s="682">
        <f t="shared" si="29"/>
        <v>0</v>
      </c>
      <c r="K55" s="682">
        <f t="shared" si="29"/>
        <v>0</v>
      </c>
      <c r="L55" s="682">
        <f t="shared" si="29"/>
        <v>0</v>
      </c>
      <c r="M55" s="682">
        <f t="shared" si="29"/>
        <v>0</v>
      </c>
      <c r="N55" s="682">
        <f t="shared" si="29"/>
        <v>0</v>
      </c>
      <c r="O55" s="682">
        <f t="shared" si="29"/>
        <v>0</v>
      </c>
      <c r="P55" s="682">
        <f t="shared" si="29"/>
        <v>0</v>
      </c>
      <c r="Q55" s="682">
        <f t="shared" si="29"/>
        <v>0</v>
      </c>
      <c r="R55" s="682">
        <f t="shared" si="29"/>
        <v>0</v>
      </c>
      <c r="S55" s="682">
        <f>SUM(G55:R55)</f>
        <v>0</v>
      </c>
      <c r="U55" s="256"/>
      <c r="V55" s="256"/>
    </row>
    <row r="56" spans="1:40">
      <c r="B56" s="352">
        <v>34</v>
      </c>
      <c r="C56" s="2081" t="s">
        <v>436</v>
      </c>
      <c r="D56" s="2082"/>
      <c r="E56" s="2082"/>
      <c r="F56" s="2083"/>
      <c r="G56" s="682">
        <f>G10+G55+G11</f>
        <v>0</v>
      </c>
      <c r="H56" s="682">
        <f t="shared" ref="H56:Q56" si="30">H10+H55+H11</f>
        <v>0</v>
      </c>
      <c r="I56" s="682">
        <f t="shared" si="30"/>
        <v>0</v>
      </c>
      <c r="J56" s="682">
        <f t="shared" si="30"/>
        <v>0</v>
      </c>
      <c r="K56" s="682">
        <f t="shared" si="30"/>
        <v>0</v>
      </c>
      <c r="L56" s="682">
        <f>L10+L55+L11</f>
        <v>0</v>
      </c>
      <c r="M56" s="682">
        <f t="shared" si="30"/>
        <v>0</v>
      </c>
      <c r="N56" s="682">
        <f t="shared" si="30"/>
        <v>0</v>
      </c>
      <c r="O56" s="682">
        <f t="shared" si="30"/>
        <v>0</v>
      </c>
      <c r="P56" s="682">
        <f t="shared" si="30"/>
        <v>0</v>
      </c>
      <c r="Q56" s="682">
        <f t="shared" si="30"/>
        <v>0</v>
      </c>
      <c r="R56" s="1099">
        <f>R10+R55+R11</f>
        <v>0</v>
      </c>
      <c r="S56" s="800"/>
    </row>
    <row r="57" spans="1:40" ht="4.2" customHeight="1">
      <c r="B57" s="793"/>
      <c r="C57" s="153"/>
      <c r="D57" s="50"/>
      <c r="E57" s="50"/>
      <c r="F57" s="87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154"/>
      <c r="R57" s="153"/>
      <c r="S57" s="104">
        <v>0</v>
      </c>
    </row>
    <row r="58" spans="1:40">
      <c r="A58" s="128"/>
      <c r="B58" s="397">
        <f>'2. &amp; 7. T2 TULOSSUUN. '!B35</f>
        <v>0</v>
      </c>
      <c r="C58" s="397"/>
      <c r="D58" s="397"/>
      <c r="E58" s="397"/>
      <c r="F58" s="514"/>
      <c r="G58" s="128"/>
      <c r="H58" s="128"/>
      <c r="I58" s="128"/>
      <c r="J58" s="128"/>
      <c r="K58" s="128"/>
      <c r="L58" s="128"/>
      <c r="M58" s="128"/>
      <c r="N58" s="128"/>
      <c r="O58" s="1830" t="str">
        <f>OHJE!I5</f>
        <v>Yritystulkin tarjoaa</v>
      </c>
      <c r="P58" s="1830"/>
      <c r="Q58" s="1830"/>
      <c r="R58" s="1830"/>
      <c r="S58" s="1830"/>
    </row>
    <row r="59" spans="1:40">
      <c r="A59" s="128"/>
      <c r="B59" s="397" t="str">
        <f>OHJE!G24</f>
        <v>YT22 Toimivan yrityksen tulossuunnitelma</v>
      </c>
      <c r="C59" s="397"/>
      <c r="D59" s="397"/>
      <c r="E59" s="397"/>
      <c r="F59" s="514"/>
      <c r="G59" s="128"/>
      <c r="H59" s="128"/>
      <c r="I59" s="128"/>
      <c r="J59" s="128"/>
      <c r="K59" s="128"/>
      <c r="L59" s="128"/>
      <c r="M59" s="1948" t="str">
        <f>OHJE!H7</f>
        <v>Invest Lapua</v>
      </c>
      <c r="N59" s="2070"/>
      <c r="O59" s="2070"/>
      <c r="P59" s="2070"/>
      <c r="Q59" s="2070"/>
      <c r="R59" s="2070"/>
      <c r="S59" s="2070"/>
    </row>
    <row r="60" spans="1:40">
      <c r="A60" s="128"/>
      <c r="B60" s="397"/>
      <c r="C60" s="397"/>
      <c r="D60" s="397"/>
      <c r="E60" s="397"/>
      <c r="F60" s="514"/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</row>
    <row r="61" spans="1:40" ht="15.45">
      <c r="A61" s="128"/>
      <c r="B61" s="128"/>
      <c r="C61" s="128"/>
      <c r="D61" s="2069" t="s">
        <v>178</v>
      </c>
      <c r="E61" s="2069"/>
      <c r="F61" s="2069"/>
      <c r="G61" s="128"/>
      <c r="H61" s="128"/>
      <c r="I61" s="794" t="str">
        <f>E5</f>
        <v xml:space="preserve">ENNUSTEVUOSI </v>
      </c>
      <c r="J61" s="795">
        <f>H5</f>
        <v>1</v>
      </c>
      <c r="K61" s="128"/>
      <c r="L61" s="128"/>
      <c r="M61" s="128"/>
      <c r="N61" s="796" t="str">
        <f>O5</f>
        <v>1/202X - 12/202Y</v>
      </c>
      <c r="O61" s="128"/>
      <c r="P61" s="128"/>
      <c r="Q61" s="128"/>
      <c r="R61" s="128"/>
      <c r="S61" s="128"/>
    </row>
    <row r="62" spans="1:40" ht="5.25" customHeight="1">
      <c r="A62" s="128"/>
      <c r="B62" s="128"/>
      <c r="C62" s="128"/>
      <c r="D62" s="797"/>
      <c r="E62" s="797"/>
      <c r="F62" s="1371"/>
      <c r="G62" s="128"/>
      <c r="H62" s="796"/>
      <c r="I62" s="128"/>
      <c r="J62" s="128"/>
      <c r="K62" s="128"/>
      <c r="L62" s="128"/>
      <c r="M62" s="128"/>
      <c r="N62" s="796"/>
      <c r="O62" s="128"/>
      <c r="P62" s="128"/>
      <c r="Q62" s="128"/>
      <c r="R62" s="128"/>
      <c r="S62" s="128"/>
    </row>
    <row r="63" spans="1:40">
      <c r="A63" s="128"/>
      <c r="B63" s="128"/>
      <c r="C63" s="128"/>
      <c r="D63" s="515" t="str">
        <f>B6</f>
        <v xml:space="preserve"> Yrityksen nimi</v>
      </c>
      <c r="E63" s="128"/>
      <c r="F63" s="134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</row>
    <row r="64" spans="1:40" ht="12.75" customHeight="1">
      <c r="D64" s="163">
        <f>B7</f>
        <v>0</v>
      </c>
      <c r="E64" s="164"/>
      <c r="F64" s="165"/>
      <c r="G64" s="162"/>
      <c r="J64" s="22"/>
      <c r="K64" s="22"/>
      <c r="L64" s="22"/>
      <c r="M64" s="22"/>
      <c r="O64" s="22"/>
      <c r="P64" s="22"/>
      <c r="Q64" s="162"/>
    </row>
    <row r="65" spans="1:18" ht="4.5" customHeight="1"/>
    <row r="70" spans="1:18">
      <c r="A70" s="128"/>
    </row>
    <row r="80" spans="1:18">
      <c r="R80" s="38"/>
    </row>
    <row r="94" spans="3:19" ht="12.9" thickBot="1"/>
    <row r="95" spans="3:19" ht="12.9" thickBot="1">
      <c r="C95" s="1738"/>
      <c r="D95" s="2073"/>
      <c r="E95" s="2073"/>
      <c r="F95" s="1360"/>
      <c r="G95" s="1691">
        <f>G9</f>
        <v>45658</v>
      </c>
      <c r="H95" s="1691">
        <f t="shared" ref="H95:R95" si="31">H9</f>
        <v>45689</v>
      </c>
      <c r="I95" s="1691">
        <f t="shared" si="31"/>
        <v>45720</v>
      </c>
      <c r="J95" s="1691">
        <f t="shared" si="31"/>
        <v>45751</v>
      </c>
      <c r="K95" s="1691">
        <f t="shared" si="31"/>
        <v>45782</v>
      </c>
      <c r="L95" s="1691">
        <f t="shared" si="31"/>
        <v>45813</v>
      </c>
      <c r="M95" s="1691">
        <f t="shared" si="31"/>
        <v>45844</v>
      </c>
      <c r="N95" s="1691">
        <f t="shared" si="31"/>
        <v>45875</v>
      </c>
      <c r="O95" s="1691">
        <f t="shared" si="31"/>
        <v>45906</v>
      </c>
      <c r="P95" s="1691">
        <f t="shared" si="31"/>
        <v>45937</v>
      </c>
      <c r="Q95" s="1691">
        <f t="shared" si="31"/>
        <v>45968</v>
      </c>
      <c r="R95" s="1691">
        <f t="shared" si="31"/>
        <v>45999</v>
      </c>
      <c r="S95" s="1692" t="s">
        <v>148</v>
      </c>
    </row>
    <row r="96" spans="3:19" ht="16.2" customHeight="1">
      <c r="C96" s="518"/>
      <c r="D96" s="2074" t="s">
        <v>446</v>
      </c>
      <c r="E96" s="2074"/>
      <c r="F96" s="2075"/>
      <c r="G96" s="682">
        <f>G55</f>
        <v>0</v>
      </c>
      <c r="H96" s="682">
        <f t="shared" ref="H96:R97" si="32">H55</f>
        <v>0</v>
      </c>
      <c r="I96" s="682">
        <f t="shared" si="32"/>
        <v>0</v>
      </c>
      <c r="J96" s="682">
        <f t="shared" si="32"/>
        <v>0</v>
      </c>
      <c r="K96" s="682">
        <f t="shared" si="32"/>
        <v>0</v>
      </c>
      <c r="L96" s="682">
        <f t="shared" si="32"/>
        <v>0</v>
      </c>
      <c r="M96" s="682">
        <f t="shared" si="32"/>
        <v>0</v>
      </c>
      <c r="N96" s="682">
        <f t="shared" si="32"/>
        <v>0</v>
      </c>
      <c r="O96" s="682">
        <f t="shared" si="32"/>
        <v>0</v>
      </c>
      <c r="P96" s="682">
        <f t="shared" si="32"/>
        <v>0</v>
      </c>
      <c r="Q96" s="682">
        <f t="shared" si="32"/>
        <v>0</v>
      </c>
      <c r="R96" s="682">
        <f t="shared" si="32"/>
        <v>0</v>
      </c>
      <c r="S96" s="798">
        <f>SUM(G96:R96)</f>
        <v>0</v>
      </c>
    </row>
    <row r="97" spans="3:19" ht="16.2" customHeight="1">
      <c r="C97" s="518"/>
      <c r="D97" s="2084" t="s">
        <v>447</v>
      </c>
      <c r="E97" s="2084"/>
      <c r="F97" s="2085"/>
      <c r="G97" s="682">
        <f>G56</f>
        <v>0</v>
      </c>
      <c r="H97" s="682">
        <f t="shared" si="32"/>
        <v>0</v>
      </c>
      <c r="I97" s="682">
        <f t="shared" si="32"/>
        <v>0</v>
      </c>
      <c r="J97" s="682">
        <f t="shared" si="32"/>
        <v>0</v>
      </c>
      <c r="K97" s="682">
        <f t="shared" si="32"/>
        <v>0</v>
      </c>
      <c r="L97" s="682">
        <f t="shared" si="32"/>
        <v>0</v>
      </c>
      <c r="M97" s="682">
        <f t="shared" si="32"/>
        <v>0</v>
      </c>
      <c r="N97" s="682">
        <f t="shared" si="32"/>
        <v>0</v>
      </c>
      <c r="O97" s="682">
        <f t="shared" si="32"/>
        <v>0</v>
      </c>
      <c r="P97" s="682">
        <f t="shared" si="32"/>
        <v>0</v>
      </c>
      <c r="Q97" s="682">
        <f t="shared" si="32"/>
        <v>0</v>
      </c>
      <c r="R97" s="682">
        <f t="shared" si="32"/>
        <v>0</v>
      </c>
      <c r="S97" s="799"/>
    </row>
    <row r="98" spans="3:19">
      <c r="C98" s="140"/>
      <c r="D98" s="140"/>
      <c r="E98" s="140"/>
      <c r="F98" s="142"/>
      <c r="G98" s="259"/>
      <c r="H98" s="259"/>
      <c r="I98" s="259"/>
      <c r="J98" s="259"/>
      <c r="K98" s="259"/>
      <c r="L98" s="259"/>
      <c r="M98" s="259"/>
      <c r="N98" s="259"/>
      <c r="O98" s="259"/>
      <c r="P98" s="259"/>
      <c r="Q98" s="259"/>
      <c r="R98" s="259"/>
      <c r="S98" s="363"/>
    </row>
    <row r="99" spans="3:19">
      <c r="C99" s="153"/>
      <c r="D99" s="153">
        <f>'1. T1 INVESTOINTISUUN.'!B66</f>
        <v>0</v>
      </c>
      <c r="E99" s="155"/>
      <c r="F99" s="156"/>
      <c r="G99" s="53"/>
      <c r="H99" s="53"/>
      <c r="I99" s="53"/>
      <c r="J99" s="106"/>
      <c r="K99" s="53"/>
      <c r="L99" s="53"/>
      <c r="M99" s="53"/>
      <c r="N99" s="53"/>
      <c r="O99" s="53"/>
      <c r="P99" s="53"/>
      <c r="Q99" s="2071" t="str">
        <f>OHJE!I5</f>
        <v>Yritystulkin tarjoaa</v>
      </c>
      <c r="R99" s="2072"/>
      <c r="S99" s="2072"/>
    </row>
    <row r="100" spans="3:19">
      <c r="C100" s="17"/>
      <c r="D100" s="153" t="str">
        <f>'1. T1 INVESTOINTISUUN.'!B67</f>
        <v>YT22 Toimivan yrityksen tulossuunnitelma</v>
      </c>
      <c r="E100" s="105"/>
      <c r="F100" s="126"/>
      <c r="G100" s="103"/>
      <c r="H100" s="103"/>
      <c r="I100" s="103"/>
      <c r="J100" s="107"/>
      <c r="K100" s="103"/>
      <c r="L100" s="103"/>
      <c r="M100" s="2054" t="str">
        <f>M59</f>
        <v>Invest Lapua</v>
      </c>
      <c r="N100" s="2054"/>
      <c r="O100" s="2054"/>
      <c r="P100" s="2054"/>
      <c r="Q100" s="2054"/>
      <c r="R100" s="2054"/>
      <c r="S100" s="2054"/>
    </row>
    <row r="103" spans="3:19">
      <c r="D103" s="396" t="s">
        <v>332</v>
      </c>
    </row>
    <row r="104" spans="3:19">
      <c r="D104" s="50" t="s">
        <v>333</v>
      </c>
    </row>
    <row r="105" spans="3:19">
      <c r="D105" s="50" t="s">
        <v>334</v>
      </c>
    </row>
    <row r="194" spans="25:214">
      <c r="Y194">
        <v>0</v>
      </c>
      <c r="Z194">
        <v>10</v>
      </c>
      <c r="AA194">
        <v>1.11111111111111E+118</v>
      </c>
      <c r="AB194">
        <v>1</v>
      </c>
      <c r="AC194">
        <v>1</v>
      </c>
      <c r="AD194">
        <v>1</v>
      </c>
      <c r="AE194">
        <v>1</v>
      </c>
      <c r="AF194">
        <v>1</v>
      </c>
      <c r="AL194">
        <v>1</v>
      </c>
      <c r="AM194">
        <v>1</v>
      </c>
      <c r="AN194">
        <v>1</v>
      </c>
      <c r="AO194">
        <v>1</v>
      </c>
      <c r="AP194">
        <v>1</v>
      </c>
      <c r="AQ194">
        <v>1</v>
      </c>
      <c r="AR194">
        <v>1</v>
      </c>
      <c r="AS194">
        <v>1</v>
      </c>
      <c r="AT194">
        <v>1</v>
      </c>
      <c r="AU194">
        <v>1</v>
      </c>
      <c r="AV194">
        <v>1</v>
      </c>
      <c r="AW194">
        <v>1</v>
      </c>
      <c r="AX194">
        <v>1</v>
      </c>
      <c r="AY194">
        <v>1</v>
      </c>
      <c r="AZ194">
        <v>1</v>
      </c>
      <c r="BA194">
        <v>1</v>
      </c>
      <c r="BB194">
        <v>1</v>
      </c>
      <c r="BC194">
        <v>1</v>
      </c>
      <c r="BD194">
        <v>1</v>
      </c>
      <c r="BE194">
        <v>1</v>
      </c>
      <c r="BF194">
        <v>1</v>
      </c>
      <c r="BG194">
        <v>1</v>
      </c>
      <c r="BH194">
        <v>1</v>
      </c>
      <c r="BI194">
        <v>1</v>
      </c>
      <c r="BJ194">
        <v>1</v>
      </c>
      <c r="BK194">
        <v>1</v>
      </c>
      <c r="BL194">
        <v>1</v>
      </c>
      <c r="BM194">
        <v>1</v>
      </c>
      <c r="BN194">
        <v>1</v>
      </c>
      <c r="BO194">
        <v>1</v>
      </c>
      <c r="BP194">
        <v>1</v>
      </c>
      <c r="BQ194">
        <v>1</v>
      </c>
      <c r="BR194">
        <v>1</v>
      </c>
      <c r="BS194">
        <v>1</v>
      </c>
      <c r="BT194">
        <v>1</v>
      </c>
      <c r="BU194">
        <v>1</v>
      </c>
      <c r="BV194">
        <v>1</v>
      </c>
      <c r="BW194">
        <v>1</v>
      </c>
      <c r="BX194">
        <v>1</v>
      </c>
      <c r="BY194">
        <v>1</v>
      </c>
      <c r="BZ194">
        <v>1</v>
      </c>
      <c r="CA194">
        <v>1</v>
      </c>
      <c r="CB194">
        <v>1</v>
      </c>
      <c r="CC194">
        <v>1</v>
      </c>
      <c r="CD194">
        <v>1</v>
      </c>
      <c r="CE194">
        <v>1</v>
      </c>
      <c r="CF194">
        <v>1</v>
      </c>
      <c r="CG194">
        <v>1</v>
      </c>
      <c r="CH194">
        <v>1</v>
      </c>
      <c r="CI194">
        <v>1</v>
      </c>
      <c r="CJ194">
        <v>1</v>
      </c>
      <c r="CK194">
        <v>1</v>
      </c>
      <c r="CL194">
        <v>1</v>
      </c>
      <c r="CM194">
        <v>1</v>
      </c>
      <c r="CN194">
        <v>1</v>
      </c>
      <c r="CO194">
        <v>1</v>
      </c>
      <c r="CP194">
        <v>1</v>
      </c>
      <c r="CQ194">
        <v>1</v>
      </c>
      <c r="CR194">
        <v>1</v>
      </c>
      <c r="CS194">
        <v>1</v>
      </c>
      <c r="CT194">
        <v>1</v>
      </c>
      <c r="CU194">
        <v>1</v>
      </c>
      <c r="CV194">
        <v>1</v>
      </c>
      <c r="CW194">
        <v>1</v>
      </c>
      <c r="CX194">
        <v>1</v>
      </c>
      <c r="CY194">
        <v>1</v>
      </c>
      <c r="CZ194">
        <v>1</v>
      </c>
      <c r="DA194">
        <v>1</v>
      </c>
      <c r="DB194">
        <v>1</v>
      </c>
      <c r="DC194">
        <v>1</v>
      </c>
      <c r="DD194">
        <v>1</v>
      </c>
      <c r="DE194">
        <v>1</v>
      </c>
      <c r="DF194">
        <v>1</v>
      </c>
      <c r="DG194">
        <v>1</v>
      </c>
      <c r="DH194">
        <v>1</v>
      </c>
      <c r="DI194">
        <v>1</v>
      </c>
      <c r="DJ194">
        <v>1</v>
      </c>
      <c r="DK194">
        <v>1</v>
      </c>
      <c r="DL194">
        <v>1</v>
      </c>
      <c r="DM194">
        <v>1</v>
      </c>
      <c r="DN194">
        <v>1</v>
      </c>
      <c r="DO194">
        <v>1</v>
      </c>
      <c r="DP194">
        <v>1</v>
      </c>
      <c r="DQ194">
        <v>1</v>
      </c>
      <c r="DR194">
        <v>1</v>
      </c>
      <c r="DS194">
        <v>1</v>
      </c>
      <c r="DT194">
        <v>1</v>
      </c>
      <c r="DU194">
        <v>1</v>
      </c>
      <c r="DV194">
        <v>1</v>
      </c>
      <c r="DW194">
        <v>1</v>
      </c>
      <c r="DX194">
        <v>1</v>
      </c>
      <c r="DY194">
        <v>1</v>
      </c>
      <c r="DZ194">
        <v>1</v>
      </c>
      <c r="EA194">
        <v>1</v>
      </c>
      <c r="EB194">
        <v>1</v>
      </c>
      <c r="EC194">
        <v>1</v>
      </c>
      <c r="ED194">
        <v>1</v>
      </c>
      <c r="EE194">
        <v>1</v>
      </c>
      <c r="EF194">
        <v>1</v>
      </c>
      <c r="EG194">
        <v>1</v>
      </c>
      <c r="EH194">
        <v>1</v>
      </c>
      <c r="EI194">
        <v>1</v>
      </c>
      <c r="EJ194">
        <v>1</v>
      </c>
      <c r="EK194">
        <v>1</v>
      </c>
      <c r="EL194">
        <v>1</v>
      </c>
      <c r="EM194">
        <v>1</v>
      </c>
      <c r="EN194">
        <v>1</v>
      </c>
      <c r="EO194">
        <v>1</v>
      </c>
      <c r="EP194">
        <v>1</v>
      </c>
      <c r="EQ194">
        <v>1</v>
      </c>
      <c r="ER194">
        <v>1</v>
      </c>
      <c r="ES194">
        <v>1</v>
      </c>
      <c r="ET194">
        <v>1</v>
      </c>
      <c r="EU194">
        <v>1</v>
      </c>
      <c r="EV194">
        <v>1</v>
      </c>
      <c r="EW194">
        <v>1</v>
      </c>
      <c r="EX194">
        <v>1</v>
      </c>
      <c r="EY194">
        <v>1</v>
      </c>
      <c r="EZ194">
        <v>1</v>
      </c>
      <c r="FA194">
        <v>1</v>
      </c>
      <c r="FB194">
        <v>1</v>
      </c>
      <c r="FC194">
        <v>1</v>
      </c>
      <c r="FD194">
        <v>1</v>
      </c>
      <c r="FE194">
        <v>1</v>
      </c>
      <c r="FF194">
        <v>1</v>
      </c>
      <c r="FG194">
        <v>1</v>
      </c>
      <c r="FH194">
        <v>1</v>
      </c>
      <c r="FI194">
        <v>1</v>
      </c>
      <c r="FJ194">
        <v>1</v>
      </c>
      <c r="FK194">
        <v>1</v>
      </c>
      <c r="FL194">
        <v>1</v>
      </c>
      <c r="FM194">
        <v>1</v>
      </c>
      <c r="FN194">
        <v>1</v>
      </c>
      <c r="FO194">
        <v>1</v>
      </c>
      <c r="FP194">
        <v>1</v>
      </c>
      <c r="FQ194">
        <v>1</v>
      </c>
      <c r="FR194">
        <v>1</v>
      </c>
      <c r="FS194">
        <v>1</v>
      </c>
      <c r="FT194">
        <v>1</v>
      </c>
      <c r="FU194">
        <v>1</v>
      </c>
      <c r="FV194">
        <v>1</v>
      </c>
      <c r="FW194">
        <v>1</v>
      </c>
      <c r="FX194">
        <v>1</v>
      </c>
      <c r="FY194">
        <v>1</v>
      </c>
      <c r="FZ194">
        <v>1</v>
      </c>
      <c r="GA194">
        <v>1</v>
      </c>
      <c r="GB194">
        <v>1</v>
      </c>
      <c r="GC194">
        <v>1</v>
      </c>
      <c r="GD194">
        <v>1</v>
      </c>
      <c r="GE194">
        <v>1</v>
      </c>
      <c r="GF194">
        <v>1</v>
      </c>
      <c r="GG194">
        <v>1</v>
      </c>
      <c r="GH194">
        <v>1</v>
      </c>
      <c r="GI194">
        <v>1</v>
      </c>
      <c r="GJ194">
        <v>1</v>
      </c>
      <c r="GK194">
        <v>1</v>
      </c>
      <c r="GL194">
        <v>1</v>
      </c>
      <c r="GM194">
        <v>1</v>
      </c>
      <c r="GN194">
        <v>1</v>
      </c>
      <c r="GO194">
        <v>1</v>
      </c>
      <c r="GP194">
        <v>1</v>
      </c>
      <c r="GQ194">
        <v>1</v>
      </c>
      <c r="GR194">
        <v>1</v>
      </c>
      <c r="GS194">
        <v>1</v>
      </c>
      <c r="GT194">
        <v>1</v>
      </c>
      <c r="GU194">
        <v>1</v>
      </c>
      <c r="GV194">
        <v>1</v>
      </c>
      <c r="GW194">
        <v>1</v>
      </c>
      <c r="GX194">
        <v>1</v>
      </c>
      <c r="GY194">
        <v>1</v>
      </c>
      <c r="GZ194">
        <v>1</v>
      </c>
      <c r="HA194">
        <v>1</v>
      </c>
      <c r="HB194">
        <v>1</v>
      </c>
      <c r="HC194">
        <v>1</v>
      </c>
      <c r="HD194">
        <v>1</v>
      </c>
      <c r="HE194">
        <v>1</v>
      </c>
      <c r="HF194">
        <v>1</v>
      </c>
    </row>
  </sheetData>
  <sheetProtection algorithmName="SHA-512" hashValue="yxZVGzd506HWdJWEZHtGHdo977FLYdtuwocwULSKLTkfmZPP2hX10rGJV6AfFiYs61gFIWBW7uqxXwo3FSHDaQ==" saltValue="KRsWB5XtIl11q9iSbIocqA==" spinCount="100000" sheet="1" objects="1" scenarios="1"/>
  <mergeCells count="65">
    <mergeCell ref="I4:J4"/>
    <mergeCell ref="E5:G5"/>
    <mergeCell ref="C10:F10"/>
    <mergeCell ref="C12:D12"/>
    <mergeCell ref="B7:E7"/>
    <mergeCell ref="J7:M7"/>
    <mergeCell ref="B10:B11"/>
    <mergeCell ref="C11:F11"/>
    <mergeCell ref="J5:K5"/>
    <mergeCell ref="D97:F97"/>
    <mergeCell ref="O5:Q5"/>
    <mergeCell ref="O7:Q7"/>
    <mergeCell ref="U7:X7"/>
    <mergeCell ref="X19:AF19"/>
    <mergeCell ref="C28:E28"/>
    <mergeCell ref="C26:E26"/>
    <mergeCell ref="Z24:AA24"/>
    <mergeCell ref="C27:E27"/>
    <mergeCell ref="C24:E24"/>
    <mergeCell ref="D13:F13"/>
    <mergeCell ref="U17:U21"/>
    <mergeCell ref="B21:E21"/>
    <mergeCell ref="B9:E9"/>
    <mergeCell ref="AA39:AA42"/>
    <mergeCell ref="C53:F53"/>
    <mergeCell ref="M100:S100"/>
    <mergeCell ref="C14:E14"/>
    <mergeCell ref="D15:F15"/>
    <mergeCell ref="C19:E19"/>
    <mergeCell ref="C22:E22"/>
    <mergeCell ref="C18:E18"/>
    <mergeCell ref="C17:E17"/>
    <mergeCell ref="D61:F61"/>
    <mergeCell ref="M59:S59"/>
    <mergeCell ref="Q99:S99"/>
    <mergeCell ref="C95:E95"/>
    <mergeCell ref="D96:F96"/>
    <mergeCell ref="C29:E29"/>
    <mergeCell ref="B46:F46"/>
    <mergeCell ref="C56:F56"/>
    <mergeCell ref="C38:E38"/>
    <mergeCell ref="O58:S58"/>
    <mergeCell ref="AG19:AM19"/>
    <mergeCell ref="AN19:AT19"/>
    <mergeCell ref="X25:Y25"/>
    <mergeCell ref="X26:Y26"/>
    <mergeCell ref="AG24:AH24"/>
    <mergeCell ref="AN24:AO24"/>
    <mergeCell ref="X39:Y42"/>
    <mergeCell ref="AE39:AE42"/>
    <mergeCell ref="B22:B23"/>
    <mergeCell ref="C55:F55"/>
    <mergeCell ref="AB39:AB42"/>
    <mergeCell ref="AC39:AC42"/>
    <mergeCell ref="AD39:AD42"/>
    <mergeCell ref="Z39:Z42"/>
    <mergeCell ref="U44:U46"/>
    <mergeCell ref="C42:E42"/>
    <mergeCell ref="C43:E43"/>
    <mergeCell ref="AU19:AW19"/>
    <mergeCell ref="AC21:AC22"/>
    <mergeCell ref="AJ21:AJ22"/>
    <mergeCell ref="AQ21:AQ22"/>
    <mergeCell ref="C34:E34"/>
    <mergeCell ref="C30:E30"/>
  </mergeCells>
  <conditionalFormatting sqref="G56:R56">
    <cfRule type="cellIs" dxfId="28" priority="1" operator="lessThan">
      <formula>0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77" orientation="landscape" verticalDpi="4" r:id="rId1"/>
  <rowBreaks count="1" manualBreakCount="1">
    <brk id="59" min="1" max="18" man="1"/>
  </rowBreaks>
  <colBreaks count="1" manualBreakCount="1">
    <brk id="19" min="4" max="86" man="1"/>
  </colBreaks>
  <ignoredErrors>
    <ignoredError sqref="S17" formulaRange="1"/>
    <ignoredError sqref="G18:H18" unlockedFormula="1"/>
  </ignoredError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ul8">
    <tabColor theme="1" tint="4.9989318521683403E-2"/>
  </sheetPr>
  <dimension ref="A2:BI211"/>
  <sheetViews>
    <sheetView showGridLines="0" showZeros="0" zoomScaleNormal="100" workbookViewId="0">
      <selection activeCell="K16" sqref="K16"/>
    </sheetView>
  </sheetViews>
  <sheetFormatPr defaultRowHeight="12.45"/>
  <cols>
    <col min="1" max="1" width="10.53515625" customWidth="1"/>
    <col min="2" max="2" width="2.3046875" customWidth="1"/>
    <col min="3" max="3" width="27.53515625" customWidth="1"/>
    <col min="4" max="8" width="6.69140625" customWidth="1"/>
    <col min="9" max="9" width="5.69140625" customWidth="1"/>
    <col min="10" max="10" width="6.69140625" customWidth="1"/>
    <col min="11" max="11" width="5.69140625" customWidth="1"/>
    <col min="12" max="12" width="6.69140625" customWidth="1"/>
    <col min="13" max="13" width="5.69140625" customWidth="1"/>
    <col min="14" max="14" width="6.69140625" customWidth="1"/>
    <col min="15" max="15" width="5.69140625" customWidth="1"/>
    <col min="16" max="16" width="2.69140625" customWidth="1"/>
    <col min="17" max="17" width="3.07421875" customWidth="1"/>
    <col min="18" max="18" width="23.69140625" customWidth="1"/>
    <col min="19" max="25" width="10.69140625" customWidth="1"/>
    <col min="26" max="26" width="2.69140625" customWidth="1"/>
    <col min="27" max="27" width="26.07421875" customWidth="1"/>
    <col min="28" max="28" width="7.53515625" customWidth="1"/>
    <col min="29" max="30" width="5.07421875" customWidth="1"/>
    <col min="31" max="31" width="6.84375" customWidth="1"/>
    <col min="32" max="32" width="6.07421875" customWidth="1"/>
    <col min="33" max="33" width="5.07421875" customWidth="1"/>
    <col min="34" max="34" width="6.84375" customWidth="1"/>
    <col min="35" max="35" width="6.07421875" customWidth="1"/>
    <col min="36" max="36" width="5.07421875" customWidth="1"/>
    <col min="37" max="37" width="6.84375" customWidth="1"/>
    <col min="38" max="38" width="4.84375" customWidth="1"/>
    <col min="39" max="39" width="5.3046875" customWidth="1"/>
    <col min="40" max="40" width="6.84375" customWidth="1"/>
    <col min="41" max="41" width="6.07421875" customWidth="1"/>
    <col min="42" max="42" width="5.07421875" customWidth="1"/>
    <col min="43" max="43" width="2.69140625" customWidth="1"/>
    <col min="44" max="44" width="16" customWidth="1"/>
    <col min="45" max="45" width="15.07421875" customWidth="1"/>
    <col min="46" max="50" width="12.3046875" customWidth="1"/>
    <col min="51" max="51" width="11.3046875" customWidth="1"/>
  </cols>
  <sheetData>
    <row r="2" spans="2:51" ht="16.95" customHeight="1">
      <c r="B2" s="2229"/>
      <c r="C2" s="2229"/>
      <c r="D2" s="722"/>
      <c r="E2" s="722"/>
      <c r="F2" s="722"/>
      <c r="G2" s="722"/>
      <c r="H2" s="397"/>
      <c r="J2" s="397"/>
      <c r="K2" s="128"/>
      <c r="L2" s="128"/>
      <c r="M2" s="128"/>
      <c r="N2" s="128"/>
      <c r="O2" s="128"/>
      <c r="Q2" s="2244"/>
      <c r="R2" s="2244"/>
      <c r="S2" s="803"/>
      <c r="T2" s="803"/>
      <c r="U2" s="803"/>
      <c r="V2" s="803"/>
      <c r="W2" s="803"/>
      <c r="X2" s="803"/>
      <c r="Y2" s="803"/>
      <c r="AA2" s="2245"/>
      <c r="AB2" s="2245"/>
      <c r="AC2" s="137"/>
      <c r="AD2" s="137"/>
      <c r="AE2" s="137"/>
      <c r="AF2" s="43"/>
      <c r="AG2" s="43"/>
      <c r="AH2" s="43"/>
      <c r="AI2" s="43"/>
      <c r="AK2" s="43"/>
      <c r="AR2" s="2154"/>
      <c r="AS2" s="137"/>
      <c r="AT2" s="137"/>
      <c r="AU2" s="43"/>
      <c r="AV2" s="43"/>
      <c r="AW2" s="43"/>
      <c r="AY2" t="s">
        <v>0</v>
      </c>
    </row>
    <row r="3" spans="2:51" ht="15.65" customHeight="1">
      <c r="B3" s="514"/>
      <c r="C3" s="709"/>
      <c r="D3" s="397"/>
      <c r="E3" s="128"/>
      <c r="F3" s="128"/>
      <c r="G3" s="260"/>
      <c r="H3" s="397"/>
      <c r="K3" s="128"/>
      <c r="L3" s="128"/>
      <c r="M3" s="128"/>
      <c r="N3" s="128"/>
      <c r="O3" s="128"/>
      <c r="Q3" s="2204"/>
      <c r="R3" s="2204"/>
      <c r="S3" s="2204"/>
      <c r="T3" s="783"/>
      <c r="U3" s="783"/>
      <c r="W3" s="801">
        <v>0</v>
      </c>
      <c r="X3" s="128"/>
      <c r="Y3" s="128"/>
      <c r="AA3" s="1181"/>
      <c r="AB3" s="1181"/>
      <c r="AC3" s="783"/>
      <c r="AD3" s="783"/>
      <c r="AE3" s="783"/>
      <c r="AF3" s="783"/>
      <c r="AG3" s="77"/>
      <c r="AK3" s="802"/>
      <c r="AL3" s="693"/>
      <c r="AQ3" s="716"/>
      <c r="AR3" s="2154"/>
      <c r="AS3" s="783"/>
      <c r="AT3" s="783"/>
      <c r="AU3" s="783"/>
      <c r="AW3" s="802"/>
      <c r="AX3" s="693"/>
    </row>
    <row r="4" spans="2:51" ht="8.6999999999999993" customHeight="1">
      <c r="B4" s="514"/>
      <c r="C4" s="397"/>
      <c r="D4" s="397"/>
      <c r="E4" s="2237"/>
      <c r="F4" s="2238"/>
      <c r="G4" s="514"/>
      <c r="H4" s="515"/>
      <c r="I4" s="128"/>
      <c r="J4" s="128"/>
      <c r="K4" s="128"/>
      <c r="L4" s="128"/>
      <c r="M4" s="128"/>
      <c r="N4" s="128"/>
      <c r="O4" s="128"/>
      <c r="Q4" s="2204"/>
      <c r="R4" s="2204"/>
      <c r="S4" s="2204"/>
      <c r="T4" s="128"/>
      <c r="U4" s="128"/>
      <c r="V4" s="128"/>
      <c r="W4" s="128"/>
      <c r="X4" s="128"/>
      <c r="Y4" s="128"/>
      <c r="AA4" s="137" t="s">
        <v>0</v>
      </c>
      <c r="AB4" s="137"/>
      <c r="AC4" s="137"/>
      <c r="AD4" s="137"/>
      <c r="AE4" s="137" t="s">
        <v>0</v>
      </c>
      <c r="AF4" s="137"/>
      <c r="AG4" s="137"/>
      <c r="AH4" s="137" t="s">
        <v>0</v>
      </c>
      <c r="AI4" s="137" t="s">
        <v>0</v>
      </c>
      <c r="AJ4" s="137"/>
      <c r="AK4" s="137"/>
      <c r="AL4" s="137"/>
      <c r="AM4" s="137" t="s">
        <v>0</v>
      </c>
      <c r="AN4" s="137" t="s">
        <v>0</v>
      </c>
      <c r="AO4" s="137" t="s">
        <v>0</v>
      </c>
      <c r="AP4" s="137"/>
    </row>
    <row r="5" spans="2:51" ht="12" customHeight="1">
      <c r="B5" s="1612" t="s">
        <v>742</v>
      </c>
      <c r="C5" s="1606"/>
      <c r="D5" s="1606"/>
      <c r="E5" s="1607"/>
      <c r="F5" s="1607"/>
      <c r="G5" s="1612" t="s">
        <v>93</v>
      </c>
      <c r="H5" s="1606"/>
      <c r="I5" s="2211" t="s">
        <v>745</v>
      </c>
      <c r="J5" s="2211"/>
      <c r="K5" s="2211"/>
      <c r="L5" s="2211"/>
      <c r="M5" s="2211"/>
      <c r="N5" s="2211"/>
      <c r="O5" s="2211"/>
      <c r="Q5" s="2219" t="s">
        <v>571</v>
      </c>
      <c r="R5" s="2219"/>
      <c r="S5" s="1274"/>
      <c r="T5" s="1269" t="s">
        <v>107</v>
      </c>
      <c r="U5" s="1269" t="str">
        <f>T5</f>
        <v>Tot. tilikausi</v>
      </c>
      <c r="V5" s="1269" t="s">
        <v>110</v>
      </c>
      <c r="W5" s="1269" t="s">
        <v>98</v>
      </c>
      <c r="X5" s="1269" t="s">
        <v>100</v>
      </c>
      <c r="Y5" s="1269" t="s">
        <v>257</v>
      </c>
      <c r="AA5" s="2246" t="s">
        <v>677</v>
      </c>
      <c r="AB5" s="2246"/>
      <c r="AC5" s="2246"/>
      <c r="AD5" s="2246"/>
      <c r="AE5" s="2177" t="str">
        <f>T5</f>
        <v>Tot. tilikausi</v>
      </c>
      <c r="AF5" s="2177"/>
      <c r="AG5" s="2177" t="str">
        <f>U5</f>
        <v>Tot. tilikausi</v>
      </c>
      <c r="AH5" s="2177"/>
      <c r="AI5" s="2177" t="str">
        <f>V5</f>
        <v>Ennuste 1</v>
      </c>
      <c r="AJ5" s="2177"/>
      <c r="AK5" s="2177" t="str">
        <f>W5</f>
        <v>Ennuste 2</v>
      </c>
      <c r="AL5" s="2177"/>
      <c r="AM5" s="2177" t="str">
        <f>X5</f>
        <v>Ennuste 3</v>
      </c>
      <c r="AN5" s="2177"/>
      <c r="AO5" s="2177" t="str">
        <f>Y5</f>
        <v>Ennuste 4</v>
      </c>
      <c r="AP5" s="2177"/>
      <c r="AR5" s="2247" t="s">
        <v>546</v>
      </c>
      <c r="AS5" s="2247"/>
      <c r="AT5" s="2228" t="str">
        <f>AU5</f>
        <v>Toteutunut tilikausi</v>
      </c>
      <c r="AU5" s="2228" t="str">
        <f>'2. &amp; 7. T2 TULOSSUUN. '!G7</f>
        <v>Toteutunut tilikausi</v>
      </c>
      <c r="AV5" s="2177" t="str">
        <f>AI5</f>
        <v>Ennuste 1</v>
      </c>
      <c r="AW5" s="2177" t="str">
        <f>AK5</f>
        <v>Ennuste 2</v>
      </c>
      <c r="AX5" s="2177" t="str">
        <f>AM5</f>
        <v>Ennuste 3</v>
      </c>
      <c r="AY5" s="2177" t="str">
        <f>AO5</f>
        <v>Ennuste 4</v>
      </c>
    </row>
    <row r="6" spans="2:51" ht="12.65" customHeight="1">
      <c r="B6" s="2210">
        <f>'2. &amp; 7. T2 TULOSSUUN. '!B5</f>
        <v>0</v>
      </c>
      <c r="C6" s="2210"/>
      <c r="D6" s="2210"/>
      <c r="E6" s="2210"/>
      <c r="F6" s="2210"/>
      <c r="G6" s="2236">
        <f>'1. T1 INVESTOINTISUUN.'!E4</f>
        <v>0</v>
      </c>
      <c r="H6" s="2236"/>
      <c r="I6" s="2210">
        <f>'1. T1 INVESTOINTISUUN.'!E7</f>
        <v>0</v>
      </c>
      <c r="J6" s="2210"/>
      <c r="K6" s="2210"/>
      <c r="L6" s="2210"/>
      <c r="M6" s="2210"/>
      <c r="N6" s="2210"/>
      <c r="O6" s="2210"/>
      <c r="Q6" s="2219"/>
      <c r="R6" s="2219"/>
      <c r="S6" s="1274"/>
      <c r="T6" s="1269">
        <f>'3. T3 TASE '!F11</f>
        <v>2023</v>
      </c>
      <c r="U6" s="1269">
        <f>'3. T3 TASE '!G11</f>
        <v>2024</v>
      </c>
      <c r="V6" s="1269">
        <f>'3. T3 TASE '!H11</f>
        <v>2025</v>
      </c>
      <c r="W6" s="1269">
        <f>'3. T3 TASE '!I11</f>
        <v>2026</v>
      </c>
      <c r="X6" s="1269">
        <f>'3. T3 TASE '!J11</f>
        <v>2027</v>
      </c>
      <c r="Y6" s="1269">
        <f>'3. T3 TASE '!K11</f>
        <v>2028</v>
      </c>
      <c r="AA6" s="2246"/>
      <c r="AB6" s="2246"/>
      <c r="AC6" s="2246"/>
      <c r="AD6" s="2246"/>
      <c r="AE6" s="2139">
        <f>T6</f>
        <v>2023</v>
      </c>
      <c r="AF6" s="2139"/>
      <c r="AG6" s="2139">
        <f>U6</f>
        <v>2024</v>
      </c>
      <c r="AH6" s="2139"/>
      <c r="AI6" s="2139">
        <f>V6</f>
        <v>2025</v>
      </c>
      <c r="AJ6" s="2139"/>
      <c r="AK6" s="2139">
        <f>W6</f>
        <v>2026</v>
      </c>
      <c r="AL6" s="2139"/>
      <c r="AM6" s="2139">
        <f>X6</f>
        <v>2027</v>
      </c>
      <c r="AN6" s="2139"/>
      <c r="AO6" s="2139">
        <f>Y6</f>
        <v>2028</v>
      </c>
      <c r="AP6" s="2139"/>
      <c r="AR6" s="2247"/>
      <c r="AS6" s="2247"/>
      <c r="AT6" s="2228"/>
      <c r="AU6" s="2228"/>
      <c r="AV6" s="2177"/>
      <c r="AW6" s="2177"/>
      <c r="AX6" s="2177"/>
      <c r="AY6" s="2177"/>
    </row>
    <row r="7" spans="2:51" ht="11.25" customHeight="1">
      <c r="B7" s="1611" t="s">
        <v>743</v>
      </c>
      <c r="C7" s="1608"/>
      <c r="D7" s="1608"/>
      <c r="E7" s="1609"/>
      <c r="F7" s="1609"/>
      <c r="G7" s="1609"/>
      <c r="H7" s="1609"/>
      <c r="I7" s="2211" t="s">
        <v>746</v>
      </c>
      <c r="J7" s="2211"/>
      <c r="K7" s="2211"/>
      <c r="L7" s="2211"/>
      <c r="M7" s="2211"/>
      <c r="N7" s="2211"/>
      <c r="O7" s="2211"/>
      <c r="Q7" s="830" t="s">
        <v>218</v>
      </c>
      <c r="R7" s="833" t="s">
        <v>219</v>
      </c>
      <c r="S7" s="825"/>
      <c r="T7" s="831">
        <f>'3. T3 TASE '!F13/1000</f>
        <v>0</v>
      </c>
      <c r="U7" s="829">
        <f>'3. T3 TASE '!G13/1000</f>
        <v>0</v>
      </c>
      <c r="V7" s="829">
        <f>'3. T3 TASE '!H13/1000</f>
        <v>0</v>
      </c>
      <c r="W7" s="829">
        <f>'3. T3 TASE '!I13/1000</f>
        <v>0</v>
      </c>
      <c r="X7" s="829">
        <f>'3. T3 TASE '!J13/1000</f>
        <v>0</v>
      </c>
      <c r="Y7" s="829">
        <f>'3. T3 TASE '!K13/1000</f>
        <v>0</v>
      </c>
      <c r="AA7" s="848" t="s">
        <v>547</v>
      </c>
      <c r="AB7" s="849"/>
      <c r="AC7" s="849"/>
      <c r="AD7" s="1031" t="s">
        <v>89</v>
      </c>
      <c r="AE7" s="2121">
        <f>'8. T4 RAHOITUSSUUN. '!F49/1000</f>
        <v>0</v>
      </c>
      <c r="AF7" s="2121"/>
      <c r="AG7" s="2121">
        <f>'8. T4 RAHOITUSSUUN. '!G49/1000</f>
        <v>0</v>
      </c>
      <c r="AH7" s="2121"/>
      <c r="AI7" s="2121">
        <f>'8. T4 RAHOITUSSUUN. '!H49/1000</f>
        <v>0</v>
      </c>
      <c r="AJ7" s="2121"/>
      <c r="AK7" s="2121">
        <f>'8. T4 RAHOITUSSUUN. '!I49/1000</f>
        <v>0</v>
      </c>
      <c r="AL7" s="2121"/>
      <c r="AM7" s="2121">
        <f>'8. T4 RAHOITUSSUUN. '!J49/1000</f>
        <v>0</v>
      </c>
      <c r="AN7" s="2121"/>
      <c r="AO7" s="2121">
        <f>'8. T4 RAHOITUSSUUN. '!K49/1000</f>
        <v>0</v>
      </c>
      <c r="AP7" s="2121"/>
      <c r="AR7" s="2247"/>
      <c r="AS7" s="2247"/>
      <c r="AT7" s="1280">
        <f>AE6</f>
        <v>2023</v>
      </c>
      <c r="AU7" s="1280">
        <f>AG6</f>
        <v>2024</v>
      </c>
      <c r="AV7" s="1280">
        <f>AI6</f>
        <v>2025</v>
      </c>
      <c r="AW7" s="1280">
        <f>AK6</f>
        <v>2026</v>
      </c>
      <c r="AX7" s="1280">
        <f>AM6</f>
        <v>2027</v>
      </c>
      <c r="AY7" s="1280">
        <f>AO6</f>
        <v>2028</v>
      </c>
    </row>
    <row r="8" spans="2:51" ht="11.25" customHeight="1">
      <c r="B8" s="2239">
        <f>'1. T1 INVESTOINTISUUN.'!B9:D9</f>
        <v>0</v>
      </c>
      <c r="C8" s="2210"/>
      <c r="D8" s="2210"/>
      <c r="E8" s="2210"/>
      <c r="F8" s="2210"/>
      <c r="G8" s="2210"/>
      <c r="H8" s="2210"/>
      <c r="I8" s="2209">
        <f>'1. T1 INVESTOINTISUUN.'!E9</f>
        <v>0</v>
      </c>
      <c r="J8" s="2210"/>
      <c r="K8" s="2210"/>
      <c r="L8" s="2210"/>
      <c r="M8" s="2210"/>
      <c r="N8" s="2210"/>
      <c r="O8" s="2210"/>
      <c r="Q8" s="807"/>
      <c r="R8" s="817" t="s">
        <v>601</v>
      </c>
      <c r="S8" s="826"/>
      <c r="T8" s="832">
        <f>'3. T3 TASE '!F14/1000</f>
        <v>0</v>
      </c>
      <c r="U8" s="818">
        <f>'3. T3 TASE '!G14/1000</f>
        <v>0</v>
      </c>
      <c r="V8" s="818">
        <f>'3. T3 TASE '!H14/1000</f>
        <v>0</v>
      </c>
      <c r="W8" s="818">
        <f>'3. T3 TASE '!I14/1000</f>
        <v>0</v>
      </c>
      <c r="X8" s="818">
        <f>'3. T3 TASE '!J14/1000</f>
        <v>0</v>
      </c>
      <c r="Y8" s="818">
        <f>'3. T3 TASE '!K14/1000</f>
        <v>0</v>
      </c>
      <c r="AA8" s="2181" t="s">
        <v>616</v>
      </c>
      <c r="AB8" s="2181"/>
      <c r="AC8" s="2181"/>
      <c r="AD8" s="2182"/>
      <c r="AE8" s="2206">
        <f>'8. T4 RAHOITUSSUUN. '!F50</f>
        <v>0</v>
      </c>
      <c r="AF8" s="2206"/>
      <c r="AG8" s="2206">
        <f>'8. T4 RAHOITUSSUUN. '!G50</f>
        <v>0</v>
      </c>
      <c r="AH8" s="2206"/>
      <c r="AI8" s="2206">
        <f>'8. T4 RAHOITUSSUUN. '!H50</f>
        <v>0</v>
      </c>
      <c r="AJ8" s="2206"/>
      <c r="AK8" s="2206">
        <f>'8. T4 RAHOITUSSUUN. '!I50</f>
        <v>0</v>
      </c>
      <c r="AL8" s="2206"/>
      <c r="AM8" s="2206">
        <f>'8. T4 RAHOITUSSUUN. '!J50</f>
        <v>0</v>
      </c>
      <c r="AN8" s="2206"/>
      <c r="AO8" s="2206">
        <f>'8. T4 RAHOITUSSUUN. '!K50</f>
        <v>0</v>
      </c>
      <c r="AP8" s="2206"/>
      <c r="AR8" s="975" t="str">
        <f>'8. T4 RAHOITUSSUUN. '!M26</f>
        <v xml:space="preserve"> MAKSUVALMIUS</v>
      </c>
      <c r="AS8" s="128"/>
      <c r="AU8" s="134"/>
      <c r="AV8" s="134"/>
      <c r="AW8" s="852"/>
    </row>
    <row r="9" spans="2:51" ht="11.25" customHeight="1">
      <c r="B9" s="2243" t="s">
        <v>744</v>
      </c>
      <c r="C9" s="2243"/>
      <c r="D9" s="2243"/>
      <c r="E9" s="1610"/>
      <c r="F9" s="1610"/>
      <c r="G9" s="1610"/>
      <c r="H9" s="1610"/>
      <c r="I9" s="2211" t="str">
        <f>'1. T1 INVESTOINTISUUN.'!E10</f>
        <v>Aloittamisajankohta</v>
      </c>
      <c r="J9" s="2211"/>
      <c r="K9" s="2211"/>
      <c r="L9" s="2211"/>
      <c r="M9" s="2211"/>
      <c r="N9" s="2211"/>
      <c r="O9" s="2211"/>
      <c r="Q9" s="807"/>
      <c r="R9" s="817" t="s">
        <v>602</v>
      </c>
      <c r="S9" s="826"/>
      <c r="T9" s="832">
        <f>'3. T3 TASE '!F18/1000</f>
        <v>0</v>
      </c>
      <c r="U9" s="818">
        <f>'3. T3 TASE '!G18/1000</f>
        <v>0</v>
      </c>
      <c r="V9" s="818">
        <f>'3. T3 TASE '!H18/1000</f>
        <v>0</v>
      </c>
      <c r="W9" s="818">
        <f>'3. T3 TASE '!I18/1000</f>
        <v>0</v>
      </c>
      <c r="X9" s="818">
        <f>'3. T3 TASE '!J18/1000</f>
        <v>0</v>
      </c>
      <c r="Y9" s="818">
        <f>'3. T3 TASE '!K18/1000</f>
        <v>0</v>
      </c>
      <c r="AA9" s="850" t="s">
        <v>548</v>
      </c>
      <c r="AB9" s="851"/>
      <c r="AC9" s="851"/>
      <c r="AD9" s="1031" t="s">
        <v>89</v>
      </c>
      <c r="AE9" s="2121">
        <f>'8. T4 RAHOITUSSUUN. '!F51/1000</f>
        <v>0</v>
      </c>
      <c r="AF9" s="2121"/>
      <c r="AG9" s="2121">
        <f>'8. T4 RAHOITUSSUUN. '!G51/1000</f>
        <v>0</v>
      </c>
      <c r="AH9" s="2121"/>
      <c r="AI9" s="2121">
        <f>'8. T4 RAHOITUSSUUN. '!H51/1000</f>
        <v>0</v>
      </c>
      <c r="AJ9" s="2121"/>
      <c r="AK9" s="2121">
        <f>'8. T4 RAHOITUSSUUN. '!I51/1000</f>
        <v>0</v>
      </c>
      <c r="AL9" s="2121"/>
      <c r="AM9" s="2121">
        <f>'8. T4 RAHOITUSSUUN. '!J51/1000</f>
        <v>0</v>
      </c>
      <c r="AN9" s="2121"/>
      <c r="AO9" s="2121">
        <f>'8. T4 RAHOITUSSUUN. '!K51/1000</f>
        <v>0</v>
      </c>
      <c r="AP9" s="2121"/>
      <c r="AR9" s="854" t="s">
        <v>296</v>
      </c>
      <c r="AS9" s="855"/>
      <c r="AT9" s="853">
        <f>'8. T4 RAHOITUSSUUN. '!P27</f>
        <v>0</v>
      </c>
      <c r="AU9" s="853">
        <f>'8. T4 RAHOITUSSUUN. '!Q27</f>
        <v>0</v>
      </c>
      <c r="AV9" s="853">
        <f>'8. T4 RAHOITUSSUUN. '!R27</f>
        <v>0</v>
      </c>
      <c r="AW9" s="853">
        <f>'8. T4 RAHOITUSSUUN. '!S27</f>
        <v>0</v>
      </c>
      <c r="AX9" s="853">
        <f>'8. T4 RAHOITUSSUUN. '!T27</f>
        <v>0</v>
      </c>
      <c r="AY9" s="853">
        <f>'8. T4 RAHOITUSSUUN. '!U27</f>
        <v>0</v>
      </c>
    </row>
    <row r="10" spans="2:51" ht="11.25" customHeight="1">
      <c r="B10" s="2151">
        <f>'1. T1 INVESTOINTISUUN.'!B11</f>
        <v>0</v>
      </c>
      <c r="C10" s="2152"/>
      <c r="D10" s="2152"/>
      <c r="E10" s="2152"/>
      <c r="F10" s="2152"/>
      <c r="G10" s="2152"/>
      <c r="H10" s="2152"/>
      <c r="I10" s="2212">
        <f>'1. T1 INVESTOINTISUUN.'!E11</f>
        <v>0</v>
      </c>
      <c r="J10" s="2212"/>
      <c r="K10" s="2212"/>
      <c r="L10" s="2212"/>
      <c r="M10" s="2212"/>
      <c r="N10" s="2212"/>
      <c r="O10" s="2212"/>
      <c r="Q10" s="807"/>
      <c r="R10" s="816" t="s">
        <v>277</v>
      </c>
      <c r="S10" s="834"/>
      <c r="T10" s="832">
        <f>'3. T3 TASE '!F19/1000</f>
        <v>0</v>
      </c>
      <c r="U10" s="818">
        <f>'3. T3 TASE '!G19/1000</f>
        <v>0</v>
      </c>
      <c r="V10" s="818">
        <f>'3. T3 TASE '!H19/1000</f>
        <v>0</v>
      </c>
      <c r="W10" s="818">
        <f>'3. T3 TASE '!I19/1000</f>
        <v>0</v>
      </c>
      <c r="X10" s="818">
        <f>'3. T3 TASE '!J19/1000</f>
        <v>0</v>
      </c>
      <c r="Y10" s="818">
        <f>'3. T3 TASE '!K19/1000</f>
        <v>0</v>
      </c>
      <c r="AA10" s="2181" t="s">
        <v>281</v>
      </c>
      <c r="AB10" s="2181"/>
      <c r="AC10" s="2181"/>
      <c r="AD10" s="2182"/>
      <c r="AE10" s="2180">
        <f>'8. T4 RAHOITUSSUUN. '!F52</f>
        <v>0</v>
      </c>
      <c r="AF10" s="2180"/>
      <c r="AG10" s="2180">
        <f>'8. T4 RAHOITUSSUUN. '!G52</f>
        <v>0</v>
      </c>
      <c r="AH10" s="2180"/>
      <c r="AI10" s="2180">
        <f>'8. T4 RAHOITUSSUUN. '!H52</f>
        <v>0</v>
      </c>
      <c r="AJ10" s="2180"/>
      <c r="AK10" s="2180">
        <f>'8. T4 RAHOITUSSUUN. '!I52</f>
        <v>0</v>
      </c>
      <c r="AL10" s="2180"/>
      <c r="AM10" s="2180">
        <f>'8. T4 RAHOITUSSUUN. '!J52</f>
        <v>0</v>
      </c>
      <c r="AN10" s="2180"/>
      <c r="AO10" s="2180">
        <f>'8. T4 RAHOITUSSUUN. '!K52</f>
        <v>0</v>
      </c>
      <c r="AP10" s="2180"/>
      <c r="AR10" s="397"/>
      <c r="AS10" s="1035" t="s">
        <v>323</v>
      </c>
      <c r="AT10" s="1036">
        <f>'8. T4 RAHOITUSSUUN. '!P28</f>
        <v>0</v>
      </c>
      <c r="AU10" s="1036">
        <f>'8. T4 RAHOITUSSUUN. '!Q28</f>
        <v>0</v>
      </c>
      <c r="AV10" s="1036">
        <f>'8. T4 RAHOITUSSUUN. '!R28</f>
        <v>0</v>
      </c>
      <c r="AW10" s="1036">
        <f>'8. T4 RAHOITUSSUUN. '!S28</f>
        <v>0</v>
      </c>
      <c r="AX10" s="1036">
        <f>'8. T4 RAHOITUSSUUN. '!T28</f>
        <v>0</v>
      </c>
      <c r="AY10" s="1036">
        <f>'8. T4 RAHOITUSSUUN. '!U28</f>
        <v>0</v>
      </c>
    </row>
    <row r="11" spans="2:51" ht="11.25" customHeight="1">
      <c r="B11" s="2152"/>
      <c r="C11" s="2152"/>
      <c r="D11" s="2152"/>
      <c r="E11" s="2152"/>
      <c r="F11" s="2152"/>
      <c r="G11" s="2152"/>
      <c r="H11" s="2152"/>
      <c r="I11" s="2211" t="s">
        <v>748</v>
      </c>
      <c r="J11" s="2211"/>
      <c r="K11" s="2211"/>
      <c r="L11" s="2211"/>
      <c r="M11" s="2211"/>
      <c r="N11" s="2211"/>
      <c r="O11" s="2211"/>
      <c r="Q11" s="807"/>
      <c r="R11" s="817" t="s">
        <v>253</v>
      </c>
      <c r="S11" s="826"/>
      <c r="T11" s="832">
        <f>'3. T3 TASE '!F22/1000</f>
        <v>0</v>
      </c>
      <c r="U11" s="818">
        <f>'3. T3 TASE '!G22/1000</f>
        <v>0</v>
      </c>
      <c r="V11" s="818">
        <f>'3. T3 TASE '!H22/1000</f>
        <v>0</v>
      </c>
      <c r="W11" s="818">
        <f>'3. T3 TASE '!I22/1000</f>
        <v>0</v>
      </c>
      <c r="X11" s="818">
        <f>'3. T3 TASE '!J22/1000</f>
        <v>0</v>
      </c>
      <c r="Y11" s="818">
        <f>'3. T3 TASE '!K22/1000</f>
        <v>0</v>
      </c>
      <c r="AA11" s="850" t="s">
        <v>549</v>
      </c>
      <c r="AB11" s="851"/>
      <c r="AC11" s="851"/>
      <c r="AD11" s="1031" t="s">
        <v>89</v>
      </c>
      <c r="AE11" s="2121">
        <f>'8. T4 RAHOITUSSUUN. '!F53/1000</f>
        <v>0</v>
      </c>
      <c r="AF11" s="2121"/>
      <c r="AG11" s="2121">
        <f>'8. T4 RAHOITUSSUUN. '!G53/1000</f>
        <v>0</v>
      </c>
      <c r="AH11" s="2121"/>
      <c r="AI11" s="2121">
        <f>'8. T4 RAHOITUSSUUN. '!H53/1000</f>
        <v>0</v>
      </c>
      <c r="AJ11" s="2121"/>
      <c r="AK11" s="2121">
        <f>'8. T4 RAHOITUSSUUN. '!I53/1000</f>
        <v>0</v>
      </c>
      <c r="AL11" s="2121"/>
      <c r="AM11" s="2121">
        <f>'8. T4 RAHOITUSSUUN. '!J53/1000</f>
        <v>0</v>
      </c>
      <c r="AN11" s="2121"/>
      <c r="AO11" s="2121">
        <f>'8. T4 RAHOITUSSUUN. '!K53/1000</f>
        <v>0</v>
      </c>
      <c r="AP11" s="2121"/>
      <c r="AR11" s="854" t="s">
        <v>297</v>
      </c>
      <c r="AS11" s="855"/>
      <c r="AT11" s="853">
        <f>'8. T4 RAHOITUSSUUN. '!P29</f>
        <v>0</v>
      </c>
      <c r="AU11" s="853">
        <f>'8. T4 RAHOITUSSUUN. '!Q29</f>
        <v>0</v>
      </c>
      <c r="AV11" s="853">
        <f>'8. T4 RAHOITUSSUUN. '!R29</f>
        <v>0</v>
      </c>
      <c r="AW11" s="853">
        <f>'8. T4 RAHOITUSSUUN. '!S29</f>
        <v>0</v>
      </c>
      <c r="AX11" s="853">
        <f>'8. T4 RAHOITUSSUUN. '!T29</f>
        <v>0</v>
      </c>
      <c r="AY11" s="853">
        <f>'8. T4 RAHOITUSSUUN. '!U29</f>
        <v>0</v>
      </c>
    </row>
    <row r="12" spans="2:51" ht="11.25" customHeight="1">
      <c r="B12" s="2153"/>
      <c r="C12" s="2153"/>
      <c r="D12" s="2153"/>
      <c r="E12" s="2153"/>
      <c r="F12" s="2153"/>
      <c r="G12" s="2153"/>
      <c r="H12" s="2153"/>
      <c r="I12" s="2217">
        <f>'1. T1 INVESTOINTISUUN.'!E13</f>
        <v>0</v>
      </c>
      <c r="J12" s="2217"/>
      <c r="K12" s="2217"/>
      <c r="L12" s="2217"/>
      <c r="M12" s="2217"/>
      <c r="N12" s="2217"/>
      <c r="O12" s="2217"/>
      <c r="Q12" s="807"/>
      <c r="R12" s="817" t="s">
        <v>254</v>
      </c>
      <c r="S12" s="826"/>
      <c r="T12" s="832">
        <f>'3. T3 TASE '!F26/1000</f>
        <v>0</v>
      </c>
      <c r="U12" s="818">
        <f>'3. T3 TASE '!G26/1000</f>
        <v>0</v>
      </c>
      <c r="V12" s="818">
        <f>'3. T3 TASE '!H26/1000</f>
        <v>0</v>
      </c>
      <c r="W12" s="818">
        <f>'3. T3 TASE '!I26/1000</f>
        <v>0</v>
      </c>
      <c r="X12" s="818">
        <f>'3. T3 TASE '!J26/1000</f>
        <v>0</v>
      </c>
      <c r="Y12" s="818">
        <f>'3. T3 TASE '!K26/1000</f>
        <v>0</v>
      </c>
      <c r="AA12" s="850" t="s">
        <v>550</v>
      </c>
      <c r="AB12" s="851"/>
      <c r="AC12" s="851"/>
      <c r="AD12" s="1031" t="s">
        <v>89</v>
      </c>
      <c r="AE12" s="2121"/>
      <c r="AF12" s="2121"/>
      <c r="AG12" s="2121"/>
      <c r="AH12" s="2121"/>
      <c r="AI12" s="2121">
        <f>'8. T4 RAHOITUSSUUN. '!H54/1000</f>
        <v>0</v>
      </c>
      <c r="AJ12" s="2121"/>
      <c r="AK12" s="2121">
        <f>'8. T4 RAHOITUSSUUN. '!I54/1000</f>
        <v>0</v>
      </c>
      <c r="AL12" s="2121"/>
      <c r="AM12" s="2121">
        <f>'8. T4 RAHOITUSSUUN. '!J54/1000</f>
        <v>0</v>
      </c>
      <c r="AN12" s="2121"/>
      <c r="AO12" s="2121">
        <f>'8. T4 RAHOITUSSUUN. '!K54/1000</f>
        <v>0</v>
      </c>
      <c r="AP12" s="2121"/>
      <c r="AR12" s="397"/>
      <c r="AS12" s="1035" t="s">
        <v>323</v>
      </c>
      <c r="AT12" s="1036">
        <f>'8. T4 RAHOITUSSUUN. '!P30</f>
        <v>0</v>
      </c>
      <c r="AU12" s="1036">
        <f>'8. T4 RAHOITUSSUUN. '!Q30</f>
        <v>0</v>
      </c>
      <c r="AV12" s="1036">
        <f>'8. T4 RAHOITUSSUUN. '!R30</f>
        <v>0</v>
      </c>
      <c r="AW12" s="1036">
        <f>'8. T4 RAHOITUSSUUN. '!S30</f>
        <v>0</v>
      </c>
      <c r="AX12" s="1036">
        <f>'8. T4 RAHOITUSSUUN. '!T30</f>
        <v>0</v>
      </c>
      <c r="AY12" s="1036">
        <f>'8. T4 RAHOITUSSUUN. '!U30</f>
        <v>0</v>
      </c>
    </row>
    <row r="13" spans="2:51" ht="10.95" customHeight="1">
      <c r="B13" s="514"/>
      <c r="C13" s="397"/>
      <c r="D13" s="397"/>
      <c r="E13" s="397"/>
      <c r="F13" s="397"/>
      <c r="G13" s="397"/>
      <c r="H13" s="397"/>
      <c r="I13" s="128"/>
      <c r="J13" s="128"/>
      <c r="K13" s="128"/>
      <c r="L13" s="128"/>
      <c r="M13" s="128"/>
      <c r="N13" s="128"/>
      <c r="O13" s="128"/>
      <c r="Q13" s="807"/>
      <c r="R13" s="816" t="s">
        <v>255</v>
      </c>
      <c r="S13" s="834"/>
      <c r="T13" s="832">
        <f>'3. T3 TASE '!F30/1000</f>
        <v>0</v>
      </c>
      <c r="U13" s="818">
        <f>'3. T3 TASE '!G30/1000</f>
        <v>0</v>
      </c>
      <c r="V13" s="818">
        <f>'3. T3 TASE '!H30/1000</f>
        <v>0</v>
      </c>
      <c r="W13" s="818">
        <f>'3. T3 TASE '!I30/1000</f>
        <v>0</v>
      </c>
      <c r="X13" s="818">
        <f>'3. T3 TASE '!J30/1000</f>
        <v>0</v>
      </c>
      <c r="Y13" s="818">
        <f>'3. T3 TASE '!K30/1000</f>
        <v>0</v>
      </c>
      <c r="AA13" s="2215" t="s">
        <v>619</v>
      </c>
      <c r="AB13" s="2215"/>
      <c r="AC13" s="2215"/>
      <c r="AD13" s="2216"/>
      <c r="AE13" s="2122">
        <f>'8. T4 RAHOITUSSUUN. '!F55</f>
        <v>0</v>
      </c>
      <c r="AF13" s="2122"/>
      <c r="AG13" s="2122">
        <f>'8. T4 RAHOITUSSUUN. '!G55</f>
        <v>0</v>
      </c>
      <c r="AH13" s="2122"/>
      <c r="AI13" s="2122">
        <f>'8. T4 RAHOITUSSUUN. '!H55</f>
        <v>0</v>
      </c>
      <c r="AJ13" s="2122"/>
      <c r="AK13" s="2122">
        <f>'8. T4 RAHOITUSSUUN. '!I55</f>
        <v>0</v>
      </c>
      <c r="AL13" s="2122"/>
      <c r="AM13" s="2122">
        <f>'8. T4 RAHOITUSSUUN. '!J55</f>
        <v>0</v>
      </c>
      <c r="AN13" s="2122"/>
      <c r="AO13" s="2122">
        <f>'8. T4 RAHOITUSSUUN. '!K55</f>
        <v>0</v>
      </c>
      <c r="AP13" s="2122"/>
      <c r="AR13" s="854" t="s">
        <v>435</v>
      </c>
      <c r="AS13" s="855"/>
      <c r="AT13" s="1065"/>
      <c r="AU13" s="853">
        <f>'8. T4 RAHOITUSSUUN. '!Q31</f>
        <v>0</v>
      </c>
      <c r="AV13" s="853">
        <f>'8. T4 RAHOITUSSUUN. '!R31</f>
        <v>0</v>
      </c>
      <c r="AW13" s="853">
        <f>'8. T4 RAHOITUSSUUN. '!S31</f>
        <v>0</v>
      </c>
      <c r="AX13" s="853">
        <f>'8. T4 RAHOITUSSUUN. '!T31</f>
        <v>0</v>
      </c>
      <c r="AY13" s="853">
        <f>'8. T4 RAHOITUSSUUN. '!U31</f>
        <v>0</v>
      </c>
    </row>
    <row r="14" spans="2:51" ht="11.25" customHeight="1">
      <c r="B14" s="2240" t="s">
        <v>675</v>
      </c>
      <c r="C14" s="2241"/>
      <c r="D14" s="1282" t="s">
        <v>424</v>
      </c>
      <c r="E14" s="1282" t="s">
        <v>425</v>
      </c>
      <c r="F14" s="1282" t="s">
        <v>426</v>
      </c>
      <c r="G14" s="1282" t="s">
        <v>427</v>
      </c>
      <c r="H14" s="2230" t="s">
        <v>428</v>
      </c>
      <c r="I14" s="2232" t="s">
        <v>518</v>
      </c>
      <c r="J14" s="2232"/>
      <c r="K14" s="2232"/>
      <c r="L14" s="2232"/>
      <c r="M14" s="2232"/>
      <c r="N14" s="2232"/>
      <c r="O14" s="2233"/>
      <c r="Q14" s="807"/>
      <c r="R14" s="817" t="s">
        <v>603</v>
      </c>
      <c r="S14" s="826"/>
      <c r="T14" s="832">
        <f>'3. T3 TASE '!F34/1000</f>
        <v>0</v>
      </c>
      <c r="U14" s="818">
        <f>'3. T3 TASE '!G34/1000</f>
        <v>0</v>
      </c>
      <c r="V14" s="818">
        <f>'3. T3 TASE '!H34/1000</f>
        <v>0</v>
      </c>
      <c r="W14" s="818">
        <f>'3. T3 TASE '!I34/1000</f>
        <v>0</v>
      </c>
      <c r="X14" s="818">
        <f>'3. T3 TASE '!J34/1000</f>
        <v>0</v>
      </c>
      <c r="Y14" s="818">
        <f>'3. T3 TASE '!K34/1000</f>
        <v>0</v>
      </c>
      <c r="AA14" s="850" t="s">
        <v>551</v>
      </c>
      <c r="AB14" s="851"/>
      <c r="AC14" s="851"/>
      <c r="AD14" s="1032" t="s">
        <v>90</v>
      </c>
      <c r="AE14" s="2121">
        <f>'8. T4 RAHOITUSSUUN. '!F56/1000</f>
        <v>0</v>
      </c>
      <c r="AF14" s="2121"/>
      <c r="AG14" s="2121">
        <f>'8. T4 RAHOITUSSUUN. '!G56/1000</f>
        <v>0</v>
      </c>
      <c r="AH14" s="2121"/>
      <c r="AI14" s="2121">
        <f>'8. T4 RAHOITUSSUUN. '!H56/1000</f>
        <v>0</v>
      </c>
      <c r="AJ14" s="2121"/>
      <c r="AK14" s="2121">
        <f>'8. T4 RAHOITUSSUUN. '!I56/1000</f>
        <v>0</v>
      </c>
      <c r="AL14" s="2121"/>
      <c r="AM14" s="2121">
        <f>'8. T4 RAHOITUSSUUN. '!J56/1000</f>
        <v>0</v>
      </c>
      <c r="AN14" s="2121"/>
      <c r="AO14" s="2121">
        <f>'8. T4 RAHOITUSSUUN. '!K56/1000</f>
        <v>0</v>
      </c>
      <c r="AP14" s="2121"/>
      <c r="AR14" s="856" t="s">
        <v>314</v>
      </c>
      <c r="AS14" s="857"/>
      <c r="AT14" s="1065"/>
      <c r="AU14" s="853">
        <f>'8. T4 RAHOITUSSUUN. '!Q32</f>
        <v>0</v>
      </c>
      <c r="AV14" s="853">
        <f>'8. T4 RAHOITUSSUUN. '!R32</f>
        <v>0</v>
      </c>
      <c r="AW14" s="853">
        <f>'8. T4 RAHOITUSSUUN. '!S32</f>
        <v>0</v>
      </c>
      <c r="AX14" s="853">
        <f>'8. T4 RAHOITUSSUUN. '!T32</f>
        <v>0</v>
      </c>
      <c r="AY14" s="853">
        <f>'8. T4 RAHOITUSSUUN. '!U32</f>
        <v>0</v>
      </c>
    </row>
    <row r="15" spans="2:51" ht="11.25" customHeight="1">
      <c r="B15" s="2242"/>
      <c r="C15" s="2219"/>
      <c r="D15" s="1270">
        <f>'2. &amp; 7. T2 TULOSSUUN. '!I8</f>
        <v>2025</v>
      </c>
      <c r="E15" s="1270">
        <f>'2. &amp; 7. T2 TULOSSUUN. '!K8</f>
        <v>2026</v>
      </c>
      <c r="F15" s="1270">
        <f>'2. &amp; 7. T2 TULOSSUUN. '!M8</f>
        <v>2027</v>
      </c>
      <c r="G15" s="1270">
        <f>'2. &amp; 7. T2 TULOSSUUN. '!O8</f>
        <v>2028</v>
      </c>
      <c r="H15" s="2231"/>
      <c r="I15" s="2234"/>
      <c r="J15" s="2234"/>
      <c r="K15" s="2234"/>
      <c r="L15" s="2234"/>
      <c r="M15" s="2234"/>
      <c r="N15" s="2234"/>
      <c r="O15" s="2235"/>
      <c r="Q15" s="830" t="s">
        <v>216</v>
      </c>
      <c r="R15" s="835" t="s">
        <v>217</v>
      </c>
      <c r="S15" s="827"/>
      <c r="T15" s="831">
        <f>'3. T3 TASE '!F38/1000</f>
        <v>0</v>
      </c>
      <c r="U15" s="829">
        <f>'3. T3 TASE '!G38/1000</f>
        <v>0</v>
      </c>
      <c r="V15" s="829">
        <f>'3. T3 TASE '!H38/1000</f>
        <v>0</v>
      </c>
      <c r="W15" s="829">
        <f>'3. T3 TASE '!I38/1000</f>
        <v>0</v>
      </c>
      <c r="X15" s="829">
        <f>'3. T3 TASE '!J38/1000</f>
        <v>0</v>
      </c>
      <c r="Y15" s="829">
        <f>'3. T3 TASE '!K38/1000</f>
        <v>0</v>
      </c>
      <c r="AA15" s="2215" t="s">
        <v>433</v>
      </c>
      <c r="AB15" s="2215"/>
      <c r="AC15" s="2215"/>
      <c r="AD15" s="2216"/>
      <c r="AE15" s="2155">
        <f>'8. T4 RAHOITUSSUUN. '!F57</f>
        <v>0</v>
      </c>
      <c r="AF15" s="2155"/>
      <c r="AG15" s="2155">
        <f>'8. T4 RAHOITUSSUUN. '!G57</f>
        <v>0</v>
      </c>
      <c r="AH15" s="2155"/>
      <c r="AI15" s="2155">
        <f>'8. T4 RAHOITUSSUUN. '!H57</f>
        <v>0</v>
      </c>
      <c r="AJ15" s="2155"/>
      <c r="AK15" s="2155">
        <f>'8. T4 RAHOITUSSUUN. '!I57</f>
        <v>0</v>
      </c>
      <c r="AL15" s="2155"/>
      <c r="AM15" s="2155">
        <f>'8. T4 RAHOITUSSUUN. '!J57</f>
        <v>0</v>
      </c>
      <c r="AN15" s="2155"/>
      <c r="AO15" s="2155">
        <f>'8. T4 RAHOITUSSUUN. '!K57</f>
        <v>0</v>
      </c>
      <c r="AP15" s="2155"/>
      <c r="AR15" s="397"/>
      <c r="AS15" s="1035" t="s">
        <v>323</v>
      </c>
      <c r="AT15" s="1037"/>
      <c r="AU15" s="1036">
        <f>'8. T4 RAHOITUSSUUN. '!Q33</f>
        <v>0</v>
      </c>
      <c r="AV15" s="1036">
        <f>'8. T4 RAHOITUSSUUN. '!R33</f>
        <v>0</v>
      </c>
      <c r="AW15" s="1036">
        <f>'8. T4 RAHOITUSSUUN. '!S33</f>
        <v>0</v>
      </c>
      <c r="AX15" s="1036">
        <f>'8. T4 RAHOITUSSUUN. '!T33</f>
        <v>0</v>
      </c>
      <c r="AY15" s="1036">
        <f>'8. T4 RAHOITUSSUUN. '!U33</f>
        <v>0</v>
      </c>
    </row>
    <row r="16" spans="2:51" ht="11.25" customHeight="1">
      <c r="B16" s="1283" t="s">
        <v>2</v>
      </c>
      <c r="C16" s="834" t="s">
        <v>138</v>
      </c>
      <c r="D16" s="818">
        <f>'1. T1 INVESTOINTISUUN.'!D17/1000</f>
        <v>0</v>
      </c>
      <c r="E16" s="818">
        <f>'1. T1 INVESTOINTISUUN.'!E17/1000</f>
        <v>0</v>
      </c>
      <c r="F16" s="818">
        <f>'1. T1 INVESTOINTISUUN.'!F17/1000</f>
        <v>0</v>
      </c>
      <c r="G16" s="818">
        <f>'1. T1 INVESTOINTISUUN.'!G17/1000</f>
        <v>0</v>
      </c>
      <c r="H16" s="818">
        <f>SUM(D16:G16)</f>
        <v>0</v>
      </c>
      <c r="I16" s="804">
        <f>'1. T1 INVESTOINTISUUN.'!J17</f>
        <v>0</v>
      </c>
      <c r="J16" s="804"/>
      <c r="K16" s="804"/>
      <c r="L16" s="804"/>
      <c r="M16" s="804"/>
      <c r="N16" s="804"/>
      <c r="O16" s="1284"/>
      <c r="Q16" s="807"/>
      <c r="R16" s="817" t="s">
        <v>604</v>
      </c>
      <c r="S16" s="826"/>
      <c r="T16" s="832">
        <f>'3. T3 TASE '!F39/1000</f>
        <v>0</v>
      </c>
      <c r="U16" s="818">
        <f>'3. T3 TASE '!G39/1000</f>
        <v>0</v>
      </c>
      <c r="V16" s="818">
        <f>'3. T3 TASE '!H39/1000</f>
        <v>0</v>
      </c>
      <c r="W16" s="818">
        <f>'3. T3 TASE '!I39/1000</f>
        <v>0</v>
      </c>
      <c r="X16" s="818">
        <f>'3. T3 TASE '!J39/1000</f>
        <v>0</v>
      </c>
      <c r="Y16" s="818">
        <f>'3. T3 TASE '!K39/1000</f>
        <v>0</v>
      </c>
      <c r="AA16" s="850" t="s">
        <v>552</v>
      </c>
      <c r="AB16" s="851"/>
      <c r="AC16" s="851"/>
      <c r="AD16" s="1032" t="s">
        <v>90</v>
      </c>
      <c r="AE16" s="2121">
        <f>'8. T4 RAHOITUSSUUN. '!F58/1000</f>
        <v>0</v>
      </c>
      <c r="AF16" s="2121"/>
      <c r="AG16" s="2121">
        <f>'8. T4 RAHOITUSSUUN. '!G58/1000</f>
        <v>0</v>
      </c>
      <c r="AH16" s="2121"/>
      <c r="AI16" s="2121">
        <f>'8. T4 RAHOITUSSUUN. '!H58/1000</f>
        <v>0</v>
      </c>
      <c r="AJ16" s="2121"/>
      <c r="AK16" s="2121">
        <f>'8. T4 RAHOITUSSUUN. '!I58/1000</f>
        <v>0</v>
      </c>
      <c r="AL16" s="2121"/>
      <c r="AM16" s="2121">
        <f>'8. T4 RAHOITUSSUUN. '!J58/1000</f>
        <v>0</v>
      </c>
      <c r="AN16" s="2121"/>
      <c r="AO16" s="2121">
        <f>'8. T4 RAHOITUSSUUN. '!K58/1000</f>
        <v>0</v>
      </c>
      <c r="AP16" s="2121"/>
      <c r="AR16" s="976" t="s">
        <v>298</v>
      </c>
      <c r="AS16" s="130"/>
      <c r="AT16" s="1045"/>
      <c r="AU16" s="1045"/>
      <c r="AV16" s="1045"/>
      <c r="AW16" s="1045"/>
      <c r="AX16" s="1045"/>
      <c r="AY16" s="1046"/>
    </row>
    <row r="17" spans="1:51" ht="11.25" customHeight="1">
      <c r="A17" s="50"/>
      <c r="B17" s="1285"/>
      <c r="C17" s="826" t="s">
        <v>198</v>
      </c>
      <c r="D17" s="819">
        <f>'1. T1 INVESTOINTISUUN.'!D19</f>
        <v>0</v>
      </c>
      <c r="E17" s="819">
        <f>'1. T1 INVESTOINTISUUN.'!E19</f>
        <v>0</v>
      </c>
      <c r="F17" s="819">
        <f>'1. T1 INVESTOINTISUUN.'!F19</f>
        <v>0</v>
      </c>
      <c r="G17" s="819">
        <f>'1. T1 INVESTOINTISUUN.'!G19</f>
        <v>0</v>
      </c>
      <c r="H17" s="820"/>
      <c r="I17" s="804" t="s">
        <v>0</v>
      </c>
      <c r="J17" s="804"/>
      <c r="K17" s="488"/>
      <c r="L17" s="804"/>
      <c r="M17" s="804"/>
      <c r="N17" s="804"/>
      <c r="O17" s="1284"/>
      <c r="Q17" s="807"/>
      <c r="R17" s="817" t="s">
        <v>605</v>
      </c>
      <c r="S17" s="826"/>
      <c r="T17" s="832">
        <f>'3. T3 TASE '!F41/1000</f>
        <v>0</v>
      </c>
      <c r="U17" s="818">
        <f>'3. T3 TASE '!G41/1000</f>
        <v>0</v>
      </c>
      <c r="V17" s="818">
        <f>'3. T3 TASE '!H41/1000</f>
        <v>0</v>
      </c>
      <c r="W17" s="818">
        <f>'3. T3 TASE '!I41/1000</f>
        <v>0</v>
      </c>
      <c r="X17" s="818">
        <f>'3. T3 TASE '!J41/1000</f>
        <v>0</v>
      </c>
      <c r="Y17" s="818">
        <f>'3. T3 TASE '!K41/1000</f>
        <v>0</v>
      </c>
      <c r="AA17" s="2213" t="s">
        <v>618</v>
      </c>
      <c r="AB17" s="2213"/>
      <c r="AC17" s="2213"/>
      <c r="AD17" s="2214"/>
      <c r="AE17" s="2156">
        <f>'8. T4 RAHOITUSSUUN. '!F59</f>
        <v>0</v>
      </c>
      <c r="AF17" s="2156"/>
      <c r="AG17" s="2156">
        <f>'8. T4 RAHOITUSSUUN. '!G59</f>
        <v>0</v>
      </c>
      <c r="AH17" s="2156"/>
      <c r="AI17" s="2156">
        <f>'8. T4 RAHOITUSSUUN. '!H59</f>
        <v>0</v>
      </c>
      <c r="AJ17" s="2156"/>
      <c r="AK17" s="2156">
        <f>'8. T4 RAHOITUSSUUN. '!I59</f>
        <v>0</v>
      </c>
      <c r="AL17" s="2156"/>
      <c r="AM17" s="2156">
        <f>'8. T4 RAHOITUSSUUN. '!J59</f>
        <v>0</v>
      </c>
      <c r="AN17" s="2156"/>
      <c r="AO17" s="2156">
        <f>'8. T4 RAHOITUSSUUN. '!K59</f>
        <v>0</v>
      </c>
      <c r="AP17" s="2156"/>
      <c r="AR17" s="854" t="s">
        <v>299</v>
      </c>
      <c r="AS17" s="858"/>
      <c r="AT17" s="1039">
        <f>'8. T4 RAHOITUSSUUN. '!P35</f>
        <v>0</v>
      </c>
      <c r="AU17" s="1039">
        <f>'8. T4 RAHOITUSSUUN. '!Q35</f>
        <v>0</v>
      </c>
      <c r="AV17" s="1039">
        <f>'8. T4 RAHOITUSSUUN. '!R35</f>
        <v>0</v>
      </c>
      <c r="AW17" s="1039">
        <f>'8. T4 RAHOITUSSUUN. '!S35</f>
        <v>0</v>
      </c>
      <c r="AX17" s="1039">
        <f>'8. T4 RAHOITUSSUUN. '!T35</f>
        <v>0</v>
      </c>
      <c r="AY17" s="1039">
        <f>'8. T4 RAHOITUSSUUN. '!U35</f>
        <v>0</v>
      </c>
    </row>
    <row r="18" spans="1:51" ht="11.25" customHeight="1">
      <c r="B18" s="1285" t="s">
        <v>3</v>
      </c>
      <c r="C18" s="826" t="s">
        <v>537</v>
      </c>
      <c r="D18" s="818">
        <f>'1. T1 INVESTOINTISUUN.'!D20/1000</f>
        <v>0</v>
      </c>
      <c r="E18" s="818">
        <f>'1. T1 INVESTOINTISUUN.'!E20/1000</f>
        <v>0</v>
      </c>
      <c r="F18" s="818">
        <f>'1. T1 INVESTOINTISUUN.'!F20/1000</f>
        <v>0</v>
      </c>
      <c r="G18" s="818">
        <f>'1. T1 INVESTOINTISUUN.'!G20/1000</f>
        <v>0</v>
      </c>
      <c r="H18" s="818">
        <f>SUM(D18:G18)</f>
        <v>0</v>
      </c>
      <c r="I18" s="804">
        <f>'1. T1 INVESTOINTISUUN.'!J20</f>
        <v>0</v>
      </c>
      <c r="J18" s="804"/>
      <c r="K18" s="804"/>
      <c r="L18" s="804"/>
      <c r="M18" s="804"/>
      <c r="N18" s="804"/>
      <c r="O18" s="1284"/>
      <c r="Q18" s="807" t="s">
        <v>0</v>
      </c>
      <c r="R18" s="816" t="s">
        <v>210</v>
      </c>
      <c r="S18" s="834"/>
      <c r="T18" s="832">
        <f>'3. T3 TASE '!F42/1000</f>
        <v>0</v>
      </c>
      <c r="U18" s="818">
        <f>'3. T3 TASE '!G42/1000</f>
        <v>0</v>
      </c>
      <c r="V18" s="818">
        <f>'3. T3 TASE '!H42/1000</f>
        <v>0</v>
      </c>
      <c r="W18" s="818">
        <f>'3. T3 TASE '!I42/1000</f>
        <v>0</v>
      </c>
      <c r="X18" s="818">
        <f>'3. T3 TASE '!J42/1000</f>
        <v>0</v>
      </c>
      <c r="Y18" s="818">
        <f>'3. T3 TASE '!K42/1000</f>
        <v>0</v>
      </c>
      <c r="AA18" s="1305" t="s">
        <v>553</v>
      </c>
      <c r="AB18" s="1306"/>
      <c r="AC18" s="1306"/>
      <c r="AD18" s="1307" t="s">
        <v>145</v>
      </c>
      <c r="AE18" s="2121">
        <f>'8. T4 RAHOITUSSUUN. '!F60/1000</f>
        <v>0</v>
      </c>
      <c r="AF18" s="2121"/>
      <c r="AG18" s="2121">
        <f>'8. T4 RAHOITUSSUUN. '!G60/1000</f>
        <v>0</v>
      </c>
      <c r="AH18" s="2121"/>
      <c r="AI18" s="2121">
        <f>'8. T4 RAHOITUSSUUN. '!H60/1000</f>
        <v>0</v>
      </c>
      <c r="AJ18" s="2121"/>
      <c r="AK18" s="2121">
        <f>'8. T4 RAHOITUSSUUN. '!I60/1000</f>
        <v>0</v>
      </c>
      <c r="AL18" s="2121"/>
      <c r="AM18" s="2121">
        <f>'8. T4 RAHOITUSSUUN. '!J60/1000</f>
        <v>0</v>
      </c>
      <c r="AN18" s="2121"/>
      <c r="AO18" s="2121">
        <f>'8. T4 RAHOITUSSUUN. '!K60/1000</f>
        <v>0</v>
      </c>
      <c r="AP18" s="2121"/>
      <c r="AR18" s="397"/>
      <c r="AS18" s="1038" t="s">
        <v>323</v>
      </c>
      <c r="AT18" s="1036">
        <f>'8. T4 RAHOITUSSUUN. '!P36</f>
        <v>0</v>
      </c>
      <c r="AU18" s="1036">
        <f>'8. T4 RAHOITUSSUUN. '!Q36</f>
        <v>0</v>
      </c>
      <c r="AV18" s="1036">
        <f>'8. T4 RAHOITUSSUUN. '!R36</f>
        <v>0</v>
      </c>
      <c r="AW18" s="1036">
        <f>'8. T4 RAHOITUSSUUN. '!S36</f>
        <v>0</v>
      </c>
      <c r="AX18" s="1036">
        <f>'8. T4 RAHOITUSSUUN. '!T36</f>
        <v>0</v>
      </c>
      <c r="AY18" s="1036">
        <f>'8. T4 RAHOITUSSUUN. '!U36</f>
        <v>0</v>
      </c>
    </row>
    <row r="19" spans="1:51" ht="11.25" customHeight="1">
      <c r="B19" s="1285"/>
      <c r="C19" s="826" t="s">
        <v>198</v>
      </c>
      <c r="D19" s="819">
        <f>'1. T1 INVESTOINTISUUN.'!D23</f>
        <v>0</v>
      </c>
      <c r="E19" s="819">
        <f>'1. T1 INVESTOINTISUUN.'!E23</f>
        <v>0</v>
      </c>
      <c r="F19" s="819">
        <f>'1. T1 INVESTOINTISUUN.'!F23</f>
        <v>0</v>
      </c>
      <c r="G19" s="819">
        <f>'1. T1 INVESTOINTISUUN.'!G23</f>
        <v>0</v>
      </c>
      <c r="H19" s="820"/>
      <c r="I19" s="804"/>
      <c r="J19" s="804"/>
      <c r="K19" s="804"/>
      <c r="L19" s="804"/>
      <c r="M19" s="804"/>
      <c r="N19" s="804"/>
      <c r="O19" s="1284"/>
      <c r="R19" s="817" t="s">
        <v>249</v>
      </c>
      <c r="S19" s="826"/>
      <c r="T19" s="818">
        <f>'3. T3 TASE '!F44/1000</f>
        <v>0</v>
      </c>
      <c r="U19" s="818">
        <f>'3. T3 TASE '!G44/1000</f>
        <v>0</v>
      </c>
      <c r="V19" s="818">
        <f>'3. T3 TASE '!H44/1000</f>
        <v>0</v>
      </c>
      <c r="W19" s="818">
        <f>'3. T3 TASE '!I44/1000</f>
        <v>0</v>
      </c>
      <c r="X19" s="818">
        <f>'3. T3 TASE '!J44/1000</f>
        <v>0</v>
      </c>
      <c r="Y19" s="818">
        <f>'3. T3 TASE '!K44/1000</f>
        <v>0</v>
      </c>
      <c r="AA19" s="1305" t="s">
        <v>554</v>
      </c>
      <c r="AB19" s="1306"/>
      <c r="AC19" s="1306"/>
      <c r="AD19" s="1308" t="s">
        <v>96</v>
      </c>
      <c r="AE19" s="2186">
        <v>0</v>
      </c>
      <c r="AF19" s="2187"/>
      <c r="AG19" s="2121">
        <f>'8. T4 RAHOITUSSUUN. '!G61/1000</f>
        <v>0</v>
      </c>
      <c r="AH19" s="2121"/>
      <c r="AI19" s="2121">
        <f>'8. T4 RAHOITUSSUUN. '!H61/1000</f>
        <v>0</v>
      </c>
      <c r="AJ19" s="2121"/>
      <c r="AK19" s="2121">
        <f>'8. T4 RAHOITUSSUUN. '!I61/1000</f>
        <v>0</v>
      </c>
      <c r="AL19" s="2121"/>
      <c r="AM19" s="2121">
        <f>'8. T4 RAHOITUSSUUN. '!J61/1000</f>
        <v>0</v>
      </c>
      <c r="AN19" s="2121"/>
      <c r="AO19" s="2121">
        <f>'8. T4 RAHOITUSSUUN. '!K61/1000</f>
        <v>0</v>
      </c>
      <c r="AP19" s="2121"/>
      <c r="AR19" s="854" t="str">
        <f>'8. T4 RAHOITUSSUUN. '!M37</f>
        <v xml:space="preserve"> Net Gearing (nettovelkaantumisaste)</v>
      </c>
      <c r="AS19" s="858"/>
      <c r="AT19" s="1040">
        <f>'8. T4 RAHOITUSSUUN. '!P37</f>
        <v>0</v>
      </c>
      <c r="AU19" s="1040">
        <f>'8. T4 RAHOITUSSUUN. '!Q37</f>
        <v>0</v>
      </c>
      <c r="AV19" s="1040">
        <f>'8. T4 RAHOITUSSUUN. '!R37</f>
        <v>0</v>
      </c>
      <c r="AW19" s="1040">
        <f>'8. T4 RAHOITUSSUUN. '!S37</f>
        <v>0</v>
      </c>
      <c r="AX19" s="1040">
        <f>'8. T4 RAHOITUSSUUN. '!T37</f>
        <v>0</v>
      </c>
      <c r="AY19" s="1040">
        <f>'8. T4 RAHOITUSSUUN. '!U37</f>
        <v>0</v>
      </c>
    </row>
    <row r="20" spans="1:51" ht="11.25" customHeight="1">
      <c r="B20" s="1285" t="s">
        <v>4</v>
      </c>
      <c r="C20" s="826" t="s">
        <v>536</v>
      </c>
      <c r="D20" s="818">
        <f>'1. T1 INVESTOINTISUUN.'!D24/1000</f>
        <v>0</v>
      </c>
      <c r="E20" s="818">
        <f>'1. T1 INVESTOINTISUUN.'!E24/1000</f>
        <v>0</v>
      </c>
      <c r="F20" s="818">
        <f>'1. T1 INVESTOINTISUUN.'!F24/1000</f>
        <v>0</v>
      </c>
      <c r="G20" s="818">
        <f>'1. T1 INVESTOINTISUUN.'!G24/1000</f>
        <v>0</v>
      </c>
      <c r="H20" s="818">
        <f>SUM(D20:G20)</f>
        <v>0</v>
      </c>
      <c r="I20" s="804">
        <f>'1. T1 INVESTOINTISUUN.'!J24</f>
        <v>0</v>
      </c>
      <c r="J20" s="804"/>
      <c r="K20" s="804"/>
      <c r="L20" s="804"/>
      <c r="M20" s="804"/>
      <c r="N20" s="804"/>
      <c r="O20" s="1284"/>
      <c r="Q20" s="807"/>
      <c r="R20" s="817" t="s">
        <v>306</v>
      </c>
      <c r="S20" s="826"/>
      <c r="T20" s="818">
        <f>'3. T3 TASE '!F46/1000</f>
        <v>0</v>
      </c>
      <c r="U20" s="818">
        <f>'3. T3 TASE '!G46/1000</f>
        <v>0</v>
      </c>
      <c r="V20" s="818">
        <f>'3. T3 TASE '!H46/1000</f>
        <v>0</v>
      </c>
      <c r="W20" s="818">
        <f>'3. T3 TASE '!I46/1000</f>
        <v>0</v>
      </c>
      <c r="X20" s="818">
        <f>'3. T3 TASE '!J46/1000</f>
        <v>0</v>
      </c>
      <c r="Y20" s="818">
        <f>'3. T3 TASE '!K46/1000</f>
        <v>0</v>
      </c>
      <c r="AR20" s="397"/>
      <c r="AS20" s="1067" t="s">
        <v>323</v>
      </c>
      <c r="AT20" s="1068" t="str">
        <f>'8. T4 RAHOITUSSUUN. '!P38</f>
        <v/>
      </c>
      <c r="AU20" s="1068" t="str">
        <f>'8. T4 RAHOITUSSUUN. '!Q38</f>
        <v/>
      </c>
      <c r="AV20" s="1068" t="str">
        <f>'8. T4 RAHOITUSSUUN. '!R38</f>
        <v/>
      </c>
      <c r="AW20" s="1068" t="str">
        <f>'8. T4 RAHOITUSSUUN. '!S38</f>
        <v/>
      </c>
      <c r="AX20" s="1068" t="str">
        <f>'8. T4 RAHOITUSSUUN. '!T38</f>
        <v/>
      </c>
      <c r="AY20" s="1068" t="str">
        <f>'8. T4 RAHOITUSSUUN. '!U38</f>
        <v/>
      </c>
    </row>
    <row r="21" spans="1:51" ht="11.25" customHeight="1">
      <c r="B21" s="1285" t="s">
        <v>5</v>
      </c>
      <c r="C21" s="826" t="s">
        <v>709</v>
      </c>
      <c r="D21" s="818">
        <f>'1. T1 INVESTOINTISUUN.'!D27/1000</f>
        <v>0</v>
      </c>
      <c r="E21" s="818">
        <f>'1. T1 INVESTOINTISUUN.'!E27/1000</f>
        <v>0</v>
      </c>
      <c r="F21" s="818">
        <f>'1. T1 INVESTOINTISUUN.'!F27/1000</f>
        <v>0</v>
      </c>
      <c r="G21" s="818">
        <f>'1. T1 INVESTOINTISUUN.'!G27/1000</f>
        <v>0</v>
      </c>
      <c r="H21" s="818">
        <f>SUM(D21:G21)</f>
        <v>0</v>
      </c>
      <c r="I21" s="804">
        <f>'1. T1 INVESTOINTISUUN.'!J27</f>
        <v>0</v>
      </c>
      <c r="J21" s="804"/>
      <c r="K21" s="804"/>
      <c r="L21" s="804"/>
      <c r="M21" s="804"/>
      <c r="N21" s="804"/>
      <c r="O21" s="1284"/>
      <c r="Q21" s="807" t="s">
        <v>0</v>
      </c>
      <c r="R21" s="816" t="s">
        <v>307</v>
      </c>
      <c r="S21" s="834"/>
      <c r="T21" s="832">
        <f>'3. T3 TASE '!F47/1000</f>
        <v>0</v>
      </c>
      <c r="U21" s="818">
        <f>'3. T3 TASE '!G47/1000</f>
        <v>0</v>
      </c>
      <c r="V21" s="818">
        <f>'3. T3 TASE '!H47/1000</f>
        <v>0</v>
      </c>
      <c r="W21" s="818">
        <f>'3. T3 TASE '!I47/1000</f>
        <v>0</v>
      </c>
      <c r="X21" s="818">
        <f>'3. T3 TASE '!J47/1000</f>
        <v>0</v>
      </c>
      <c r="Y21" s="818">
        <f>'3. T3 TASE '!K47/1000</f>
        <v>0</v>
      </c>
    </row>
    <row r="22" spans="1:51" ht="11.25" customHeight="1">
      <c r="B22" s="1285"/>
      <c r="C22" s="826" t="s">
        <v>198</v>
      </c>
      <c r="D22" s="819">
        <f>'1. T1 INVESTOINTISUUN.'!D29</f>
        <v>0</v>
      </c>
      <c r="E22" s="819">
        <f>'1. T1 INVESTOINTISUUN.'!E29</f>
        <v>0</v>
      </c>
      <c r="F22" s="819">
        <f>'1. T1 INVESTOINTISUUN.'!F29</f>
        <v>0</v>
      </c>
      <c r="G22" s="819">
        <f>'1. T1 INVESTOINTISUUN.'!G29</f>
        <v>0</v>
      </c>
      <c r="H22" s="820"/>
      <c r="I22" s="804"/>
      <c r="J22" s="804"/>
      <c r="K22" s="804"/>
      <c r="L22" s="804"/>
      <c r="M22" s="804"/>
      <c r="N22" s="804"/>
      <c r="O22" s="1284"/>
      <c r="Q22" s="807"/>
      <c r="R22" s="817" t="s">
        <v>606</v>
      </c>
      <c r="S22" s="826"/>
      <c r="T22" s="832">
        <f>'3. T3 TASE '!F48/1000</f>
        <v>0</v>
      </c>
      <c r="U22" s="818">
        <f>'3. T3 TASE '!G48/1000</f>
        <v>0</v>
      </c>
      <c r="V22" s="818">
        <f>'3. T3 TASE '!H48/1000</f>
        <v>0</v>
      </c>
      <c r="W22" s="818">
        <f>'3. T3 TASE '!I48/1000</f>
        <v>0</v>
      </c>
      <c r="X22" s="818">
        <f>'3. T3 TASE '!J48/1000</f>
        <v>0</v>
      </c>
      <c r="Y22" s="818">
        <f>'3. T3 TASE '!K48/1000</f>
        <v>0</v>
      </c>
    </row>
    <row r="23" spans="1:51" ht="11.25" customHeight="1">
      <c r="B23" s="1285" t="s">
        <v>6</v>
      </c>
      <c r="C23" s="826" t="s">
        <v>535</v>
      </c>
      <c r="D23" s="818">
        <f>'1. T1 INVESTOINTISUUN.'!D30/1000</f>
        <v>0</v>
      </c>
      <c r="E23" s="818">
        <f>'1. T1 INVESTOINTISUUN.'!E30/1000</f>
        <v>0</v>
      </c>
      <c r="F23" s="818">
        <f>'1. T1 INVESTOINTISUUN.'!F30/1000</f>
        <v>0</v>
      </c>
      <c r="G23" s="818">
        <f>'1. T1 INVESTOINTISUUN.'!G30/1000</f>
        <v>0</v>
      </c>
      <c r="H23" s="818">
        <f>SUM(D23:G23)</f>
        <v>0</v>
      </c>
      <c r="I23" s="804">
        <f>'1. T1 INVESTOINTISUUN.'!J30</f>
        <v>0</v>
      </c>
      <c r="J23" s="804"/>
      <c r="K23" s="804"/>
      <c r="L23" s="804"/>
      <c r="M23" s="804"/>
      <c r="N23" s="804"/>
      <c r="O23" s="1284"/>
      <c r="Q23" s="807"/>
      <c r="R23" s="817" t="s">
        <v>607</v>
      </c>
      <c r="S23" s="826"/>
      <c r="T23" s="867">
        <f>'3. T3 TASE '!F49/1000</f>
        <v>0</v>
      </c>
      <c r="U23" s="868">
        <f>'3. T3 TASE '!G49/1000</f>
        <v>0</v>
      </c>
      <c r="V23" s="868">
        <f>'3. T3 TASE '!H49/1000</f>
        <v>0</v>
      </c>
      <c r="W23" s="868">
        <f>'3. T3 TASE '!I49/1000</f>
        <v>0</v>
      </c>
      <c r="X23" s="868">
        <f>'3. T3 TASE '!J49/1000</f>
        <v>0</v>
      </c>
      <c r="Y23" s="868">
        <f>'3. T3 TASE '!K49/1000</f>
        <v>0</v>
      </c>
      <c r="AA23" s="2220" t="s">
        <v>570</v>
      </c>
      <c r="AB23" s="2220"/>
    </row>
    <row r="24" spans="1:51" ht="11.25" customHeight="1">
      <c r="B24" s="1285" t="s">
        <v>7</v>
      </c>
      <c r="C24" s="826" t="s">
        <v>749</v>
      </c>
      <c r="D24" s="818">
        <f>'1. T1 INVESTOINTISUUN.'!D32/1000</f>
        <v>0</v>
      </c>
      <c r="E24" s="818">
        <f>'1. T1 INVESTOINTISUUN.'!E32/1000</f>
        <v>0</v>
      </c>
      <c r="F24" s="818">
        <f>'1. T1 INVESTOINTISUUN.'!F32/1000</f>
        <v>0</v>
      </c>
      <c r="G24" s="818">
        <f>'1. T1 INVESTOINTISUUN.'!G32/1000</f>
        <v>0</v>
      </c>
      <c r="H24" s="818">
        <f>SUM(D24:G24)</f>
        <v>0</v>
      </c>
      <c r="I24" s="804">
        <f>'1. T1 INVESTOINTISUUN.'!J32</f>
        <v>0</v>
      </c>
      <c r="J24" s="804"/>
      <c r="K24" s="804"/>
      <c r="L24" s="804"/>
      <c r="M24" s="804"/>
      <c r="N24" s="804"/>
      <c r="O24" s="1284"/>
      <c r="Q24" s="2223" t="s">
        <v>244</v>
      </c>
      <c r="R24" s="2224"/>
      <c r="S24" s="2224"/>
      <c r="T24" s="869">
        <f>'3. T3 TASE '!F51/1000</f>
        <v>0</v>
      </c>
      <c r="U24" s="870">
        <f>'3. T3 TASE '!G51/1000</f>
        <v>0</v>
      </c>
      <c r="V24" s="870">
        <f>'3. T3 TASE '!H51/1000</f>
        <v>0</v>
      </c>
      <c r="W24" s="870">
        <f>'3. T3 TASE '!I51/1000</f>
        <v>0</v>
      </c>
      <c r="X24" s="870">
        <f>'3. T3 TASE '!J51/1000</f>
        <v>0</v>
      </c>
      <c r="Y24" s="870">
        <f>'3. T3 TASE '!K51/1000</f>
        <v>0</v>
      </c>
      <c r="AE24" s="2205" t="s">
        <v>122</v>
      </c>
      <c r="AF24" s="2205"/>
      <c r="AG24" s="2205"/>
      <c r="AH24" s="2205"/>
      <c r="AI24" s="2205"/>
      <c r="AJ24" s="2205"/>
      <c r="AK24" s="2205"/>
      <c r="AL24" s="2205"/>
      <c r="AM24" s="2205"/>
      <c r="AN24" s="2205"/>
      <c r="AO24" s="2205"/>
      <c r="AP24" s="2205"/>
    </row>
    <row r="25" spans="1:51" ht="11.25" customHeight="1">
      <c r="B25" s="1285"/>
      <c r="C25" s="826" t="s">
        <v>198</v>
      </c>
      <c r="D25" s="819">
        <f>'1. T1 INVESTOINTISUUN.'!D34</f>
        <v>0</v>
      </c>
      <c r="E25" s="819">
        <f>'1. T1 INVESTOINTISUUN.'!E34</f>
        <v>0</v>
      </c>
      <c r="F25" s="819">
        <f>'1. T1 INVESTOINTISUUN.'!F34</f>
        <v>0</v>
      </c>
      <c r="G25" s="819">
        <f>'1. T1 INVESTOINTISUUN.'!G34</f>
        <v>0</v>
      </c>
      <c r="H25" s="820"/>
      <c r="I25" s="804"/>
      <c r="J25" s="804"/>
      <c r="K25" s="804"/>
      <c r="L25" s="804"/>
      <c r="M25" s="804"/>
      <c r="N25" s="804"/>
      <c r="O25" s="1284"/>
      <c r="Q25" s="518"/>
      <c r="R25" s="518"/>
      <c r="S25" s="518"/>
      <c r="T25" s="830"/>
      <c r="U25" s="830">
        <f>T25</f>
        <v>0</v>
      </c>
      <c r="V25" s="830"/>
      <c r="W25" s="830"/>
      <c r="X25" s="830"/>
      <c r="Y25" s="830"/>
      <c r="AA25" s="2225" t="s">
        <v>390</v>
      </c>
      <c r="AB25" s="2189" t="s">
        <v>599</v>
      </c>
      <c r="AC25" s="2190" t="s">
        <v>597</v>
      </c>
      <c r="AD25" s="2191" t="str">
        <f>'4. T7 LAINAT '!E7</f>
        <v>Korko-%</v>
      </c>
      <c r="AE25" s="2205"/>
      <c r="AF25" s="2205"/>
      <c r="AG25" s="2205"/>
      <c r="AH25" s="2205"/>
      <c r="AI25" s="2205"/>
      <c r="AJ25" s="2205"/>
      <c r="AK25" s="2205"/>
      <c r="AL25" s="2205"/>
      <c r="AM25" s="2205"/>
      <c r="AN25" s="2205"/>
      <c r="AO25" s="2205"/>
      <c r="AP25" s="2205"/>
    </row>
    <row r="26" spans="1:51" ht="11.25" customHeight="1">
      <c r="B26" s="1285" t="s">
        <v>8</v>
      </c>
      <c r="C26" s="826" t="s">
        <v>534</v>
      </c>
      <c r="D26" s="818">
        <f>'1. T1 INVESTOINTISUUN.'!D35/1000</f>
        <v>0</v>
      </c>
      <c r="E26" s="818">
        <f>'1. T1 INVESTOINTISUUN.'!E35/1000</f>
        <v>0</v>
      </c>
      <c r="F26" s="818">
        <f>'1. T1 INVESTOINTISUUN.'!F35/1000</f>
        <v>0</v>
      </c>
      <c r="G26" s="818">
        <f>'1. T1 INVESTOINTISUUN.'!G35/1000</f>
        <v>0</v>
      </c>
      <c r="H26" s="818">
        <f>SUM(D26:G26)</f>
        <v>0</v>
      </c>
      <c r="I26" s="804">
        <f>'1. T1 INVESTOINTISUUN.'!J35</f>
        <v>0</v>
      </c>
      <c r="J26" s="804"/>
      <c r="K26" s="804"/>
      <c r="L26" s="804"/>
      <c r="M26" s="804"/>
      <c r="N26" s="804"/>
      <c r="O26" s="1284"/>
      <c r="Q26" s="2219" t="s">
        <v>572</v>
      </c>
      <c r="R26" s="2219"/>
      <c r="S26" s="2219"/>
      <c r="T26" s="1269" t="str">
        <f t="shared" ref="T26:Y27" si="0">T5</f>
        <v>Tot. tilikausi</v>
      </c>
      <c r="U26" s="1269" t="str">
        <f t="shared" si="0"/>
        <v>Tot. tilikausi</v>
      </c>
      <c r="V26" s="1269" t="str">
        <f t="shared" si="0"/>
        <v>Ennuste 1</v>
      </c>
      <c r="W26" s="1269" t="str">
        <f t="shared" si="0"/>
        <v>Ennuste 2</v>
      </c>
      <c r="X26" s="1269" t="str">
        <f t="shared" si="0"/>
        <v>Ennuste 3</v>
      </c>
      <c r="Y26" s="1269" t="str">
        <f t="shared" si="0"/>
        <v>Ennuste 4</v>
      </c>
      <c r="AA26" s="2225"/>
      <c r="AB26" s="2189"/>
      <c r="AC26" s="2190"/>
      <c r="AD26" s="2191"/>
      <c r="AE26" s="1888" t="str">
        <f>'4. T7 LAINAT '!F8</f>
        <v>Ennuste  1</v>
      </c>
      <c r="AF26" s="1888"/>
      <c r="AG26" s="2183"/>
      <c r="AH26" s="2199" t="str">
        <f>'4. T7 LAINAT '!I8</f>
        <v>Ennuste 2</v>
      </c>
      <c r="AI26" s="1888"/>
      <c r="AJ26" s="2183"/>
      <c r="AK26" s="2199" t="str">
        <f>'4. T7 LAINAT '!L8</f>
        <v>Ennuste 3</v>
      </c>
      <c r="AL26" s="1888"/>
      <c r="AM26" s="2183"/>
      <c r="AN26" s="2199" t="str">
        <f>'4. T7 LAINAT '!O8</f>
        <v>Ennuste 4</v>
      </c>
      <c r="AO26" s="1888"/>
      <c r="AP26" s="2200"/>
    </row>
    <row r="27" spans="1:51" ht="11.25" customHeight="1">
      <c r="B27" s="1285"/>
      <c r="C27" s="826" t="s">
        <v>198</v>
      </c>
      <c r="D27" s="819">
        <f>'1. T1 INVESTOINTISUUN.'!D37</f>
        <v>0</v>
      </c>
      <c r="E27" s="819">
        <f>'1. T1 INVESTOINTISUUN.'!E37</f>
        <v>0</v>
      </c>
      <c r="F27" s="819">
        <f>'1. T1 INVESTOINTISUUN.'!F37</f>
        <v>0</v>
      </c>
      <c r="G27" s="819">
        <f>'1. T1 INVESTOINTISUUN.'!G37</f>
        <v>0</v>
      </c>
      <c r="H27" s="820"/>
      <c r="I27" s="804"/>
      <c r="J27" s="804"/>
      <c r="K27" s="804"/>
      <c r="L27" s="804"/>
      <c r="M27" s="804"/>
      <c r="N27" s="804"/>
      <c r="O27" s="1284"/>
      <c r="Q27" s="2219"/>
      <c r="R27" s="2219"/>
      <c r="S27" s="2219"/>
      <c r="T27" s="1275">
        <f t="shared" si="0"/>
        <v>2023</v>
      </c>
      <c r="U27" s="1275">
        <f t="shared" si="0"/>
        <v>2024</v>
      </c>
      <c r="V27" s="1275">
        <f t="shared" si="0"/>
        <v>2025</v>
      </c>
      <c r="W27" s="1275">
        <f t="shared" si="0"/>
        <v>2026</v>
      </c>
      <c r="X27" s="1275">
        <f t="shared" si="0"/>
        <v>2027</v>
      </c>
      <c r="Y27" s="1275">
        <f t="shared" si="0"/>
        <v>2028</v>
      </c>
      <c r="AA27" s="2225"/>
      <c r="AB27" s="2189"/>
      <c r="AC27" s="2190"/>
      <c r="AD27" s="2191"/>
      <c r="AE27" s="1888">
        <f>'4. T7 LAINAT '!F9</f>
        <v>2025</v>
      </c>
      <c r="AF27" s="1888"/>
      <c r="AG27" s="2183"/>
      <c r="AH27" s="2199">
        <f>'4. T7 LAINAT '!I9</f>
        <v>2026</v>
      </c>
      <c r="AI27" s="1888"/>
      <c r="AJ27" s="2183"/>
      <c r="AK27" s="2199">
        <f>'4. T7 LAINAT '!L9</f>
        <v>2027</v>
      </c>
      <c r="AL27" s="1888"/>
      <c r="AM27" s="2183"/>
      <c r="AN27" s="2199">
        <f>'4. T7 LAINAT '!O9</f>
        <v>2028</v>
      </c>
      <c r="AO27" s="1888"/>
      <c r="AP27" s="2200"/>
    </row>
    <row r="28" spans="1:51" ht="11.25" customHeight="1">
      <c r="B28" s="1285" t="s">
        <v>9</v>
      </c>
      <c r="C28" s="826" t="s">
        <v>208</v>
      </c>
      <c r="D28" s="818">
        <f>'1. T1 INVESTOINTISUUN.'!D38/1000</f>
        <v>0</v>
      </c>
      <c r="E28" s="818">
        <f>'1. T1 INVESTOINTISUUN.'!E38/1000</f>
        <v>0</v>
      </c>
      <c r="F28" s="818">
        <f>'1. T1 INVESTOINTISUUN.'!F38/1000</f>
        <v>0</v>
      </c>
      <c r="G28" s="818">
        <f>'1. T1 INVESTOINTISUUN.'!G38/1000</f>
        <v>0</v>
      </c>
      <c r="H28" s="818">
        <f>SUM(D28:G28)</f>
        <v>0</v>
      </c>
      <c r="I28" s="804">
        <f>'1. T1 INVESTOINTISUUN.'!J38</f>
        <v>0</v>
      </c>
      <c r="J28" s="804"/>
      <c r="K28" s="804"/>
      <c r="L28" s="804"/>
      <c r="M28" s="804"/>
      <c r="N28" s="804"/>
      <c r="O28" s="1284"/>
      <c r="Q28" s="830" t="s">
        <v>223</v>
      </c>
      <c r="R28" s="833" t="s">
        <v>215</v>
      </c>
      <c r="S28" s="825"/>
      <c r="T28" s="831">
        <f>'3. T3 TASE '!F56/1000</f>
        <v>0</v>
      </c>
      <c r="U28" s="829">
        <f>'3. T3 TASE '!G56/1000</f>
        <v>0</v>
      </c>
      <c r="V28" s="829">
        <f>'3. T3 TASE '!H56/1000</f>
        <v>0</v>
      </c>
      <c r="W28" s="829">
        <f>'3. T3 TASE '!I56/1000</f>
        <v>0</v>
      </c>
      <c r="X28" s="829">
        <f>'3. T3 TASE '!J56/1000</f>
        <v>0</v>
      </c>
      <c r="Y28" s="829">
        <f>'3. T3 TASE '!K56/1000</f>
        <v>0</v>
      </c>
      <c r="AA28" s="1615" t="str">
        <f>'4. T7 LAINAT '!B10</f>
        <v>Luotonantaja</v>
      </c>
      <c r="AB28" s="2189"/>
      <c r="AC28" s="2190"/>
      <c r="AD28" s="2191"/>
      <c r="AE28" s="2195" t="str">
        <f>'4. T7 LAINAT '!F10</f>
        <v>Lyhennys</v>
      </c>
      <c r="AF28" s="2195"/>
      <c r="AG28" s="1531" t="str">
        <f>'4. T7 LAINAT '!H10</f>
        <v>Korko</v>
      </c>
      <c r="AH28" s="2194" t="str">
        <f>AE28</f>
        <v>Lyhennys</v>
      </c>
      <c r="AI28" s="2195"/>
      <c r="AJ28" s="1531" t="str">
        <f>'4. T7 LAINAT '!K10</f>
        <v>Korko</v>
      </c>
      <c r="AK28" s="2194" t="str">
        <f>AH28</f>
        <v>Lyhennys</v>
      </c>
      <c r="AL28" s="2195"/>
      <c r="AM28" s="1531" t="str">
        <f>'4. T7 LAINAT '!N10</f>
        <v>Korko</v>
      </c>
      <c r="AN28" s="2194" t="str">
        <f>AK28</f>
        <v>Lyhennys</v>
      </c>
      <c r="AO28" s="2195"/>
      <c r="AP28" s="1618" t="str">
        <f>'4. T7 LAINAT '!Q10</f>
        <v>Korko</v>
      </c>
    </row>
    <row r="29" spans="1:51" ht="11.25" customHeight="1">
      <c r="B29" s="1285" t="s">
        <v>10</v>
      </c>
      <c r="C29" s="826" t="s">
        <v>533</v>
      </c>
      <c r="D29" s="818">
        <f>'1. T1 INVESTOINTISUUN.'!D39/1000</f>
        <v>0</v>
      </c>
      <c r="E29" s="818">
        <f>'1. T1 INVESTOINTISUUN.'!E39/1000</f>
        <v>0</v>
      </c>
      <c r="F29" s="818">
        <f>'1. T1 INVESTOINTISUUN.'!F39/1000</f>
        <v>0</v>
      </c>
      <c r="G29" s="818">
        <f>'1. T1 INVESTOINTISUUN.'!G39/1000</f>
        <v>0</v>
      </c>
      <c r="H29" s="818">
        <f>SUM(D29:G29)</f>
        <v>0</v>
      </c>
      <c r="I29" s="804">
        <f>'1. T1 INVESTOINTISUUN.'!J39</f>
        <v>0</v>
      </c>
      <c r="J29" s="804"/>
      <c r="K29" s="804"/>
      <c r="L29" s="804"/>
      <c r="M29" s="804"/>
      <c r="N29" s="804"/>
      <c r="O29" s="1284"/>
      <c r="Q29" s="807">
        <v>0</v>
      </c>
      <c r="R29" s="816" t="s">
        <v>275</v>
      </c>
      <c r="S29" s="834"/>
      <c r="T29" s="832">
        <f>'3. T3 TASE '!F57/1000</f>
        <v>0</v>
      </c>
      <c r="U29" s="818">
        <f>'3. T3 TASE '!G57/1000</f>
        <v>0</v>
      </c>
      <c r="V29" s="818">
        <f>'3. T3 TASE '!H57/1000</f>
        <v>0</v>
      </c>
      <c r="W29" s="818">
        <f>'3. T3 TASE '!I57/1000</f>
        <v>0</v>
      </c>
      <c r="X29" s="818">
        <f>'3. T3 TASE '!J57/1000</f>
        <v>0</v>
      </c>
      <c r="Y29" s="818">
        <f>'3. T3 TASE '!K57/1000</f>
        <v>0</v>
      </c>
      <c r="AA29" s="844" t="str">
        <f>'4. T7 LAINAT '!B11</f>
        <v xml:space="preserve"> Rahoittaja/rahoitettava kohde</v>
      </c>
      <c r="AB29" s="1562">
        <f>'4. T7 LAINAT '!C11/1000</f>
        <v>0</v>
      </c>
      <c r="AC29" s="861">
        <f>'4. T7 LAINAT '!D11</f>
        <v>0</v>
      </c>
      <c r="AD29" s="1528">
        <f>'4. T7 LAINAT '!E11*100</f>
        <v>0</v>
      </c>
      <c r="AE29" s="2116">
        <f>'4. T7 LAINAT '!F11/1000</f>
        <v>0</v>
      </c>
      <c r="AF29" s="2144"/>
      <c r="AG29" s="1533">
        <f>'4. T7 LAINAT '!H11/1000</f>
        <v>0</v>
      </c>
      <c r="AH29" s="2143">
        <f>'4. T7 LAINAT '!I11/1000</f>
        <v>0</v>
      </c>
      <c r="AI29" s="2144"/>
      <c r="AJ29" s="1533">
        <f>'4. T7 LAINAT '!K11/1000</f>
        <v>0</v>
      </c>
      <c r="AK29" s="2143">
        <f>'4. T7 LAINAT '!L11/1000</f>
        <v>0</v>
      </c>
      <c r="AL29" s="2144"/>
      <c r="AM29" s="1533">
        <f>'4. T7 LAINAT '!N11/1000</f>
        <v>0</v>
      </c>
      <c r="AN29" s="2143">
        <f>'4. T7 LAINAT '!O11/1000</f>
        <v>0</v>
      </c>
      <c r="AO29" s="2144"/>
      <c r="AP29" s="1619">
        <f>'4. T7 LAINAT '!Q11/1000</f>
        <v>0</v>
      </c>
    </row>
    <row r="30" spans="1:51" ht="11.25" customHeight="1">
      <c r="B30" s="1291" t="s">
        <v>11</v>
      </c>
      <c r="C30" s="826" t="s">
        <v>758</v>
      </c>
      <c r="D30" s="818">
        <f>'1. T1 INVESTOINTISUUN.'!D40/1000</f>
        <v>0</v>
      </c>
      <c r="E30" s="818">
        <f>'1. T1 INVESTOINTISUUN.'!E40/1000</f>
        <v>0</v>
      </c>
      <c r="F30" s="818">
        <f>'1. T1 INVESTOINTISUUN.'!F40/1000</f>
        <v>0</v>
      </c>
      <c r="G30" s="818">
        <f>'1. T1 INVESTOINTISUUN.'!G40/1000</f>
        <v>0</v>
      </c>
      <c r="H30" s="818">
        <f>SUM(D30:G30)</f>
        <v>0</v>
      </c>
      <c r="I30" s="1707"/>
      <c r="J30" s="1708"/>
      <c r="K30" s="1708"/>
      <c r="L30" s="1708"/>
      <c r="M30" s="1708"/>
      <c r="N30" s="1708"/>
      <c r="O30" s="1709"/>
      <c r="Q30" s="807">
        <v>0</v>
      </c>
      <c r="R30" s="816" t="s">
        <v>276</v>
      </c>
      <c r="S30" s="834"/>
      <c r="T30" s="832">
        <f>'3. T3 TASE '!F58/1000</f>
        <v>0</v>
      </c>
      <c r="U30" s="818">
        <f>'3. T3 TASE '!G58/1000</f>
        <v>0</v>
      </c>
      <c r="V30" s="818">
        <f>'3. T3 TASE '!H58/1000</f>
        <v>0</v>
      </c>
      <c r="W30" s="818">
        <f>'3. T3 TASE '!I58/1000</f>
        <v>0</v>
      </c>
      <c r="X30" s="818">
        <f>'3. T3 TASE '!J58/1000</f>
        <v>0</v>
      </c>
      <c r="Y30" s="818">
        <f>'3. T3 TASE '!K58/1000</f>
        <v>0</v>
      </c>
      <c r="AA30" s="863">
        <f>'4. T7 LAINAT '!B12</f>
        <v>0</v>
      </c>
      <c r="AB30" s="1562">
        <f>'4. T7 LAINAT '!C12/1000</f>
        <v>0</v>
      </c>
      <c r="AC30" s="861">
        <f>'4. T7 LAINAT '!D12</f>
        <v>0</v>
      </c>
      <c r="AD30" s="1528">
        <f>'4. T7 LAINAT '!E12*100</f>
        <v>0</v>
      </c>
      <c r="AE30" s="2116">
        <f>'4. T7 LAINAT '!F12/1000</f>
        <v>0</v>
      </c>
      <c r="AF30" s="2144"/>
      <c r="AG30" s="1533">
        <f>'4. T7 LAINAT '!H12/1000</f>
        <v>0</v>
      </c>
      <c r="AH30" s="2143">
        <f>'4. T7 LAINAT '!I12/1000</f>
        <v>0</v>
      </c>
      <c r="AI30" s="2144"/>
      <c r="AJ30" s="1533">
        <f>'4. T7 LAINAT '!K12/1000</f>
        <v>0</v>
      </c>
      <c r="AK30" s="2143">
        <f>'4. T7 LAINAT '!L12/1000</f>
        <v>0</v>
      </c>
      <c r="AL30" s="2144"/>
      <c r="AM30" s="1533">
        <f>'4. T7 LAINAT '!N12/1000</f>
        <v>0</v>
      </c>
      <c r="AN30" s="2143">
        <f>'4. T7 LAINAT '!O12/1000</f>
        <v>0</v>
      </c>
      <c r="AO30" s="2144"/>
      <c r="AP30" s="1619">
        <f>'4. T7 LAINAT '!Q12/1000</f>
        <v>0</v>
      </c>
    </row>
    <row r="31" spans="1:51" ht="10.95" customHeight="1">
      <c r="B31" s="1286" t="s">
        <v>168</v>
      </c>
      <c r="C31" s="1287" t="s">
        <v>532</v>
      </c>
      <c r="D31" s="1288">
        <f>D16+D18+D20+D21+D23+D24+D29+D26+D28</f>
        <v>0</v>
      </c>
      <c r="E31" s="1288">
        <f>E16+E18+E20+E21+E23+E24+E29+E26+E28+E30</f>
        <v>0</v>
      </c>
      <c r="F31" s="1288">
        <f t="shared" ref="F31:G31" si="1">F16+F18+F20+F21+F23+F24+F29+F26+F28+F30</f>
        <v>0</v>
      </c>
      <c r="G31" s="1288">
        <f t="shared" si="1"/>
        <v>0</v>
      </c>
      <c r="H31" s="1288">
        <f>SUM(D31:G31)</f>
        <v>0</v>
      </c>
      <c r="I31" s="1289">
        <f>'1. T1 INVESTOINTISUUN.'!J42</f>
        <v>0</v>
      </c>
      <c r="J31" s="1289"/>
      <c r="K31" s="1289"/>
      <c r="L31" s="1289"/>
      <c r="M31" s="1289"/>
      <c r="N31" s="1289"/>
      <c r="O31" s="1290"/>
      <c r="Q31" s="807">
        <v>0</v>
      </c>
      <c r="R31" s="816" t="s">
        <v>305</v>
      </c>
      <c r="S31" s="834"/>
      <c r="T31" s="832">
        <f>'3. T3 TASE '!F59/1000</f>
        <v>0</v>
      </c>
      <c r="U31" s="818">
        <f>'3. T3 TASE '!G59/1000</f>
        <v>0</v>
      </c>
      <c r="V31" s="818">
        <f>'3. T3 TASE '!H59/1000</f>
        <v>0</v>
      </c>
      <c r="W31" s="818">
        <f>'3. T3 TASE '!I59/1000</f>
        <v>0</v>
      </c>
      <c r="X31" s="818">
        <f>'3. T3 TASE '!J59/1000</f>
        <v>0</v>
      </c>
      <c r="Y31" s="818">
        <f>'3. T3 TASE '!K59/1000</f>
        <v>0</v>
      </c>
      <c r="AA31" s="863">
        <f>'4. T7 LAINAT '!B13</f>
        <v>0</v>
      </c>
      <c r="AB31" s="1562">
        <f>'4. T7 LAINAT '!C13/1000</f>
        <v>0</v>
      </c>
      <c r="AC31" s="861">
        <f>'4. T7 LAINAT '!D13</f>
        <v>0</v>
      </c>
      <c r="AD31" s="1528">
        <f>'4. T7 LAINAT '!E13*100</f>
        <v>0</v>
      </c>
      <c r="AE31" s="2116">
        <f>'4. T7 LAINAT '!F13/1000</f>
        <v>0</v>
      </c>
      <c r="AF31" s="2144"/>
      <c r="AG31" s="1533">
        <f>'4. T7 LAINAT '!H13/1000</f>
        <v>0</v>
      </c>
      <c r="AH31" s="2143">
        <f>'4. T7 LAINAT '!I13/1000</f>
        <v>0</v>
      </c>
      <c r="AI31" s="2144"/>
      <c r="AJ31" s="1533">
        <f>'4. T7 LAINAT '!K13/1000</f>
        <v>0</v>
      </c>
      <c r="AK31" s="2143">
        <f>'4. T7 LAINAT '!L13/1000</f>
        <v>0</v>
      </c>
      <c r="AL31" s="2144"/>
      <c r="AM31" s="1533">
        <f>'4. T7 LAINAT '!N13/1000</f>
        <v>0</v>
      </c>
      <c r="AN31" s="2143">
        <f>'4. T7 LAINAT '!O13/1000</f>
        <v>0</v>
      </c>
      <c r="AO31" s="2144"/>
      <c r="AP31" s="1619">
        <f>'4. T7 LAINAT '!Q13/1000</f>
        <v>0</v>
      </c>
    </row>
    <row r="32" spans="1:51" ht="11.25" customHeight="1">
      <c r="Q32" s="807">
        <v>0</v>
      </c>
      <c r="R32" s="841" t="s">
        <v>340</v>
      </c>
      <c r="S32" s="842"/>
      <c r="T32" s="843">
        <f>'3. T3 TASE '!F60/1000</f>
        <v>0</v>
      </c>
      <c r="U32" s="820">
        <f>'3. T3 TASE '!G60/1000</f>
        <v>0</v>
      </c>
      <c r="V32" s="820">
        <f>'3. T3 TASE '!H60/1000</f>
        <v>0</v>
      </c>
      <c r="W32" s="820">
        <f>'3. T3 TASE '!I60/1000</f>
        <v>0</v>
      </c>
      <c r="X32" s="820">
        <f>'3. T3 TASE '!J60/1000</f>
        <v>0</v>
      </c>
      <c r="Y32" s="820">
        <f>'3. T3 TASE '!K60/1000</f>
        <v>0</v>
      </c>
      <c r="AA32" s="863">
        <f>'4. T7 LAINAT '!B14</f>
        <v>0</v>
      </c>
      <c r="AB32" s="1562">
        <f>'4. T7 LAINAT '!C14/1000</f>
        <v>0</v>
      </c>
      <c r="AC32" s="861">
        <f>'4. T7 LAINAT '!D14</f>
        <v>0</v>
      </c>
      <c r="AD32" s="1528">
        <f>'4. T7 LAINAT '!E14*100</f>
        <v>0</v>
      </c>
      <c r="AE32" s="2116">
        <f>'4. T7 LAINAT '!F14/1000</f>
        <v>0</v>
      </c>
      <c r="AF32" s="2144"/>
      <c r="AG32" s="1533">
        <f>'4. T7 LAINAT '!H14/1000</f>
        <v>0</v>
      </c>
      <c r="AH32" s="2143">
        <f>'4. T7 LAINAT '!I14/1000</f>
        <v>0</v>
      </c>
      <c r="AI32" s="2144"/>
      <c r="AJ32" s="1533">
        <f>'4. T7 LAINAT '!K14/1000</f>
        <v>0</v>
      </c>
      <c r="AK32" s="2143">
        <f>'4. T7 LAINAT '!L14/1000</f>
        <v>0</v>
      </c>
      <c r="AL32" s="2144"/>
      <c r="AM32" s="1533">
        <f>'4. T7 LAINAT '!N14/1000</f>
        <v>0</v>
      </c>
      <c r="AN32" s="2143">
        <f>'4. T7 LAINAT '!O14/1000</f>
        <v>0</v>
      </c>
      <c r="AO32" s="2144"/>
      <c r="AP32" s="1619">
        <f>'4. T7 LAINAT '!Q14/1000</f>
        <v>0</v>
      </c>
    </row>
    <row r="33" spans="2:54" ht="11.25" customHeight="1">
      <c r="B33" s="2248" t="s">
        <v>676</v>
      </c>
      <c r="C33" s="2249"/>
      <c r="D33" s="1282" t="s">
        <v>424</v>
      </c>
      <c r="E33" s="1282" t="s">
        <v>425</v>
      </c>
      <c r="F33" s="1282" t="s">
        <v>426</v>
      </c>
      <c r="G33" s="1282" t="s">
        <v>427</v>
      </c>
      <c r="H33" s="1693" t="s">
        <v>428</v>
      </c>
      <c r="I33" s="2232" t="s">
        <v>518</v>
      </c>
      <c r="J33" s="2232"/>
      <c r="K33" s="2232"/>
      <c r="L33" s="2232"/>
      <c r="M33" s="2232"/>
      <c r="N33" s="2232"/>
      <c r="O33" s="2233"/>
      <c r="Q33" s="807">
        <v>0</v>
      </c>
      <c r="R33" s="816" t="s">
        <v>353</v>
      </c>
      <c r="S33" s="834"/>
      <c r="T33" s="832">
        <f>'3. T3 TASE '!F61/1000</f>
        <v>0</v>
      </c>
      <c r="U33" s="818">
        <f>'3. T3 TASE '!G61/1000</f>
        <v>0</v>
      </c>
      <c r="V33" s="818">
        <f>'3. T3 TASE '!H61/1000</f>
        <v>0</v>
      </c>
      <c r="W33" s="818">
        <f>'3. T3 TASE '!I61/1000</f>
        <v>0</v>
      </c>
      <c r="X33" s="818">
        <f>'3. T3 TASE '!J61/1000</f>
        <v>0</v>
      </c>
      <c r="Y33" s="818">
        <f>'3. T3 TASE '!K61/1000</f>
        <v>0</v>
      </c>
      <c r="AA33" s="863">
        <f>'4. T7 LAINAT '!B15</f>
        <v>0</v>
      </c>
      <c r="AB33" s="1562">
        <f>'4. T7 LAINAT '!C15/1000</f>
        <v>0</v>
      </c>
      <c r="AC33" s="861">
        <f>'4. T7 LAINAT '!D15</f>
        <v>0</v>
      </c>
      <c r="AD33" s="1528">
        <f>'4. T7 LAINAT '!E15*100</f>
        <v>0</v>
      </c>
      <c r="AE33" s="2116">
        <f>'4. T7 LAINAT '!F15/1000</f>
        <v>0</v>
      </c>
      <c r="AF33" s="2144"/>
      <c r="AG33" s="1533">
        <f>'4. T7 LAINAT '!H15/1000</f>
        <v>0</v>
      </c>
      <c r="AH33" s="2143">
        <f>'4. T7 LAINAT '!I15/1000</f>
        <v>0</v>
      </c>
      <c r="AI33" s="2144"/>
      <c r="AJ33" s="1533">
        <f>'4. T7 LAINAT '!K15/1000</f>
        <v>0</v>
      </c>
      <c r="AK33" s="2143">
        <f>'4. T7 LAINAT '!L15/1000</f>
        <v>0</v>
      </c>
      <c r="AL33" s="2144"/>
      <c r="AM33" s="1533">
        <f>'4. T7 LAINAT '!N15/1000</f>
        <v>0</v>
      </c>
      <c r="AN33" s="2143">
        <f>'4. T7 LAINAT '!O15/1000</f>
        <v>0</v>
      </c>
      <c r="AO33" s="2144"/>
      <c r="AP33" s="1619">
        <f>'4. T7 LAINAT '!Q15/1000</f>
        <v>0</v>
      </c>
    </row>
    <row r="34" spans="2:54" ht="11.25" customHeight="1">
      <c r="B34" s="2250"/>
      <c r="C34" s="2251"/>
      <c r="D34" s="1269">
        <f>D15</f>
        <v>2025</v>
      </c>
      <c r="E34" s="1269">
        <f>E15</f>
        <v>2026</v>
      </c>
      <c r="F34" s="1269">
        <f>F15</f>
        <v>2027</v>
      </c>
      <c r="G34" s="1271">
        <f>G15</f>
        <v>2028</v>
      </c>
      <c r="H34" s="1694"/>
      <c r="I34" s="2234"/>
      <c r="J34" s="2234"/>
      <c r="K34" s="2234"/>
      <c r="L34" s="2234"/>
      <c r="M34" s="2234"/>
      <c r="N34" s="2234"/>
      <c r="O34" s="2235"/>
      <c r="Q34" s="830" t="s">
        <v>225</v>
      </c>
      <c r="R34" s="833" t="s">
        <v>220</v>
      </c>
      <c r="S34" s="825"/>
      <c r="T34" s="831">
        <f>'3. T3 TASE '!F62/1000</f>
        <v>0</v>
      </c>
      <c r="U34" s="829">
        <f>'3. T3 TASE '!G62/1000</f>
        <v>0</v>
      </c>
      <c r="V34" s="829">
        <f>'3. T3 TASE '!H62/1000</f>
        <v>0</v>
      </c>
      <c r="W34" s="829">
        <f>'3. T3 TASE '!I62/1000</f>
        <v>0</v>
      </c>
      <c r="X34" s="829">
        <f>'3. T3 TASE '!J62/1000</f>
        <v>0</v>
      </c>
      <c r="Y34" s="829">
        <f>'3. T3 TASE '!K62/1000</f>
        <v>0</v>
      </c>
      <c r="AA34" s="863">
        <f>'4. T7 LAINAT '!B16</f>
        <v>0</v>
      </c>
      <c r="AB34" s="1562">
        <f>'4. T7 LAINAT '!C16/1000</f>
        <v>0</v>
      </c>
      <c r="AC34" s="861">
        <f>'4. T7 LAINAT '!D16</f>
        <v>0</v>
      </c>
      <c r="AD34" s="1528">
        <f>'4. T7 LAINAT '!E16*100</f>
        <v>0</v>
      </c>
      <c r="AE34" s="2116">
        <f>'4. T7 LAINAT '!F16/1000</f>
        <v>0</v>
      </c>
      <c r="AF34" s="2144"/>
      <c r="AG34" s="1533">
        <f>'4. T7 LAINAT '!H16/1000</f>
        <v>0</v>
      </c>
      <c r="AH34" s="2143">
        <f>'4. T7 LAINAT '!I16/1000</f>
        <v>0</v>
      </c>
      <c r="AI34" s="2144"/>
      <c r="AJ34" s="1533">
        <f>'4. T7 LAINAT '!K16/1000</f>
        <v>0</v>
      </c>
      <c r="AK34" s="2143">
        <f>'4. T7 LAINAT '!L16/1000</f>
        <v>0</v>
      </c>
      <c r="AL34" s="2144"/>
      <c r="AM34" s="1533">
        <f>'4. T7 LAINAT '!N16/1000</f>
        <v>0</v>
      </c>
      <c r="AN34" s="2143">
        <f>'4. T7 LAINAT '!O16/1000</f>
        <v>0</v>
      </c>
      <c r="AO34" s="2144"/>
      <c r="AP34" s="1619">
        <f>'4. T7 LAINAT '!Q16/1000</f>
        <v>0</v>
      </c>
    </row>
    <row r="35" spans="2:54" ht="11.25" customHeight="1" thickBot="1">
      <c r="B35" s="1698" t="s">
        <v>179</v>
      </c>
      <c r="C35" s="783"/>
      <c r="D35" s="810"/>
      <c r="E35" s="810"/>
      <c r="F35" s="810"/>
      <c r="G35" s="810"/>
      <c r="H35" s="811" t="s">
        <v>0</v>
      </c>
      <c r="I35" s="804"/>
      <c r="J35" s="804"/>
      <c r="K35" s="804"/>
      <c r="L35" s="804"/>
      <c r="M35" s="804"/>
      <c r="N35" s="804"/>
      <c r="O35" s="1284"/>
      <c r="Q35" s="830" t="s">
        <v>237</v>
      </c>
      <c r="R35" s="835" t="s">
        <v>224</v>
      </c>
      <c r="S35" s="827"/>
      <c r="T35" s="831">
        <f>'3. T3 TASE '!F66/1000</f>
        <v>0</v>
      </c>
      <c r="U35" s="829">
        <f>'3. T3 TASE '!G66/1000</f>
        <v>0</v>
      </c>
      <c r="V35" s="829">
        <f>'3. T3 TASE '!H66/1000</f>
        <v>0</v>
      </c>
      <c r="W35" s="829">
        <f>'3. T3 TASE '!I66/1000</f>
        <v>0</v>
      </c>
      <c r="X35" s="829">
        <f>'3. T3 TASE '!J66/1000</f>
        <v>0</v>
      </c>
      <c r="Y35" s="829">
        <f>'3. T3 TASE '!K66/1000</f>
        <v>0</v>
      </c>
      <c r="AA35" s="1616" t="str">
        <f>'4. T7 LAINAT '!B17</f>
        <v xml:space="preserve"> Luotollinen tili</v>
      </c>
      <c r="AB35" s="1563">
        <f>'4. T7 LAINAT '!C17/1000</f>
        <v>0</v>
      </c>
      <c r="AC35" s="1175">
        <f>'4. T7 LAINAT '!D17</f>
        <v>0</v>
      </c>
      <c r="AD35" s="1529">
        <f>'4. T7 LAINAT '!E17*100</f>
        <v>0</v>
      </c>
      <c r="AE35" s="2185">
        <f>'4. T7 LAINAT '!F17/1000</f>
        <v>0</v>
      </c>
      <c r="AF35" s="2146"/>
      <c r="AG35" s="1535">
        <f>'4. T7 LAINAT '!H17/1000</f>
        <v>0</v>
      </c>
      <c r="AH35" s="2145">
        <f>'4. T7 LAINAT '!I17/1000</f>
        <v>0</v>
      </c>
      <c r="AI35" s="2146"/>
      <c r="AJ35" s="1535">
        <f>'4. T7 LAINAT '!K17/1000</f>
        <v>0</v>
      </c>
      <c r="AK35" s="2145">
        <f>'4. T7 LAINAT '!L17/1000</f>
        <v>0</v>
      </c>
      <c r="AL35" s="2146"/>
      <c r="AM35" s="1535">
        <f>'4. T7 LAINAT '!N17/1000</f>
        <v>0</v>
      </c>
      <c r="AN35" s="2145">
        <f>'4. T7 LAINAT '!O17/1000</f>
        <v>0</v>
      </c>
      <c r="AO35" s="2146"/>
      <c r="AP35" s="1620">
        <f>'4. T7 LAINAT '!Q17/1000</f>
        <v>0</v>
      </c>
    </row>
    <row r="36" spans="2:54" ht="11.25" customHeight="1" thickTop="1">
      <c r="B36" s="1291">
        <v>12</v>
      </c>
      <c r="C36" s="812" t="s">
        <v>531</v>
      </c>
      <c r="D36" s="808"/>
      <c r="E36" s="808"/>
      <c r="F36" s="808"/>
      <c r="G36" s="808"/>
      <c r="H36" s="809"/>
      <c r="I36" s="804"/>
      <c r="J36" s="804"/>
      <c r="K36" s="804"/>
      <c r="L36" s="804"/>
      <c r="M36" s="804"/>
      <c r="N36" s="804"/>
      <c r="O36" s="1284"/>
      <c r="Q36" s="830" t="s">
        <v>335</v>
      </c>
      <c r="R36" s="835" t="s">
        <v>236</v>
      </c>
      <c r="S36" s="827"/>
      <c r="T36" s="831">
        <f>'3. T3 TASE '!F67/1000</f>
        <v>0</v>
      </c>
      <c r="U36" s="829">
        <f>'3. T3 TASE '!G67/1000</f>
        <v>0</v>
      </c>
      <c r="V36" s="829">
        <f>'3. T3 TASE '!H67/1000</f>
        <v>0</v>
      </c>
      <c r="W36" s="829">
        <f>'3. T3 TASE '!I67/1000</f>
        <v>0</v>
      </c>
      <c r="X36" s="829">
        <f>'3. T3 TASE '!J67/1000</f>
        <v>0</v>
      </c>
      <c r="Y36" s="829">
        <f>'3. T3 TASE '!K67/1000</f>
        <v>0</v>
      </c>
      <c r="AA36" s="833" t="str">
        <f>'4. T7 LAINAT '!B18</f>
        <v>Nykyiset lainat yhteensä</v>
      </c>
      <c r="AB36" s="1617">
        <f>'4. T7 LAINAT '!C18/1000</f>
        <v>0</v>
      </c>
      <c r="AC36" s="1378">
        <v>0</v>
      </c>
      <c r="AD36" s="1530">
        <v>0</v>
      </c>
      <c r="AE36" s="2184">
        <f>SUM(AE29:AF35)</f>
        <v>0</v>
      </c>
      <c r="AF36" s="2148"/>
      <c r="AG36" s="1536">
        <f>SUM(AG29:AG35)</f>
        <v>0</v>
      </c>
      <c r="AH36" s="2147">
        <f>SUM(AH29:AI35)</f>
        <v>0</v>
      </c>
      <c r="AI36" s="2148"/>
      <c r="AJ36" s="1536">
        <f>SUM(AJ29:AJ35)</f>
        <v>0</v>
      </c>
      <c r="AK36" s="2147">
        <f>SUM(AK29:AL35)</f>
        <v>0</v>
      </c>
      <c r="AL36" s="2148"/>
      <c r="AM36" s="1536">
        <f>SUM(AM29:AM35)</f>
        <v>0</v>
      </c>
      <c r="AN36" s="2147">
        <f>SUM(AN29:AO35)</f>
        <v>0</v>
      </c>
      <c r="AO36" s="2148"/>
      <c r="AP36" s="1621">
        <f>SUM(AP29:AP35)</f>
        <v>0</v>
      </c>
    </row>
    <row r="37" spans="2:54" ht="11.25" customHeight="1">
      <c r="B37" s="1292"/>
      <c r="C37" s="815" t="s">
        <v>530</v>
      </c>
      <c r="D37" s="805">
        <f>'1. T1 INVESTOINTISUUN.'!D48/1000</f>
        <v>0</v>
      </c>
      <c r="E37" s="805">
        <f>'1. T1 INVESTOINTISUUN.'!E48/1000</f>
        <v>0</v>
      </c>
      <c r="F37" s="805">
        <f>'1. T1 INVESTOINTISUUN.'!F48/1000</f>
        <v>0</v>
      </c>
      <c r="G37" s="805">
        <f>'1. T1 INVESTOINTISUUN.'!G48/1000</f>
        <v>0</v>
      </c>
      <c r="H37" s="805">
        <f>'1. T1 INVESTOINTISUUN.'!H48/1000</f>
        <v>0</v>
      </c>
      <c r="I37" s="804"/>
      <c r="J37" s="804"/>
      <c r="K37" s="804"/>
      <c r="L37" s="804"/>
      <c r="M37" s="804"/>
      <c r="N37" s="804"/>
      <c r="O37" s="1284"/>
      <c r="Q37" s="807" t="s">
        <v>0</v>
      </c>
      <c r="R37" s="817" t="s">
        <v>226</v>
      </c>
      <c r="S37" s="826"/>
      <c r="T37" s="832">
        <f>'3. T3 TASE '!F68/1000</f>
        <v>0</v>
      </c>
      <c r="U37" s="818">
        <f>'3. T3 TASE '!G68/1000</f>
        <v>0</v>
      </c>
      <c r="V37" s="818">
        <f>'3. T3 TASE '!H68/1000</f>
        <v>0</v>
      </c>
      <c r="W37" s="818">
        <f>'3. T3 TASE '!I68/1000</f>
        <v>0</v>
      </c>
      <c r="X37" s="818">
        <f>'3. T3 TASE '!J68/1000</f>
        <v>0</v>
      </c>
      <c r="Y37" s="818">
        <f>'3. T3 TASE '!K68/1000</f>
        <v>0</v>
      </c>
      <c r="AA37" s="128"/>
      <c r="AB37" s="256"/>
      <c r="AC37" s="256"/>
      <c r="AD37" s="256"/>
      <c r="AE37" s="256"/>
      <c r="AF37" s="256"/>
      <c r="AG37" s="256"/>
      <c r="AH37" s="256"/>
      <c r="AI37" s="256"/>
      <c r="AJ37" s="256"/>
      <c r="AK37" s="256"/>
      <c r="AL37" s="256"/>
      <c r="AM37" s="256"/>
      <c r="AN37" s="256"/>
      <c r="AO37" s="256"/>
      <c r="AP37" s="256"/>
    </row>
    <row r="38" spans="2:54" ht="11.25" customHeight="1">
      <c r="B38" s="1293"/>
      <c r="C38" s="813" t="s">
        <v>529</v>
      </c>
      <c r="D38" s="805">
        <f>'1. T1 INVESTOINTISUUN.'!D49/1000</f>
        <v>0</v>
      </c>
      <c r="E38" s="805">
        <f>'1. T1 INVESTOINTISUUN.'!E49/1000</f>
        <v>0</v>
      </c>
      <c r="F38" s="805">
        <f>'1. T1 INVESTOINTISUUN.'!F49/1000</f>
        <v>0</v>
      </c>
      <c r="G38" s="805">
        <f>'1. T1 INVESTOINTISUUN.'!G49/1000</f>
        <v>0</v>
      </c>
      <c r="H38" s="805">
        <f>'1. T1 INVESTOINTISUUN.'!H49/1000</f>
        <v>0</v>
      </c>
      <c r="I38" s="804"/>
      <c r="J38" s="804"/>
      <c r="K38" s="804"/>
      <c r="L38" s="804"/>
      <c r="M38" s="804"/>
      <c r="N38" s="804"/>
      <c r="O38" s="1284"/>
      <c r="Q38" s="807" t="s">
        <v>0</v>
      </c>
      <c r="R38" s="863" t="s">
        <v>241</v>
      </c>
      <c r="S38" s="864"/>
      <c r="T38" s="832">
        <f>'3. T3 TASE '!F69/1000</f>
        <v>0</v>
      </c>
      <c r="U38" s="818">
        <f>'3. T3 TASE '!G69/1000</f>
        <v>0</v>
      </c>
      <c r="V38" s="818">
        <f>'3. T3 TASE '!H69/1000</f>
        <v>0</v>
      </c>
      <c r="W38" s="818">
        <f>'3. T3 TASE '!I69/1000</f>
        <v>0</v>
      </c>
      <c r="X38" s="818">
        <f>'3. T3 TASE '!J69/1000</f>
        <v>0</v>
      </c>
      <c r="Y38" s="818">
        <f>'3. T3 TASE '!K69/1000</f>
        <v>0</v>
      </c>
      <c r="AA38" s="1537" t="str">
        <f>'4. T7 LAINAT '!B19</f>
        <v>Nykyiset osamaksuvelat</v>
      </c>
      <c r="AB38" s="1538">
        <f>'4. T7 LAINAT '!C19/1000</f>
        <v>0</v>
      </c>
      <c r="AC38" s="1074">
        <f>'4. T7 LAINAT '!D19</f>
        <v>0</v>
      </c>
      <c r="AD38" s="1539">
        <f>'4. T7 LAINAT '!E19*100</f>
        <v>0</v>
      </c>
      <c r="AE38" s="2141">
        <f>'4. T7 LAINAT '!F19/1000</f>
        <v>0</v>
      </c>
      <c r="AF38" s="2142"/>
      <c r="AG38" s="1540">
        <f>'4. T7 LAINAT '!H19/1000</f>
        <v>0</v>
      </c>
      <c r="AH38" s="2141">
        <f>'4. T7 LAINAT '!I19/1000</f>
        <v>0</v>
      </c>
      <c r="AI38" s="2142"/>
      <c r="AJ38" s="1540">
        <f>'4. T7 LAINAT '!K19/1000</f>
        <v>0</v>
      </c>
      <c r="AK38" s="2141">
        <f>'4. T7 LAINAT '!L19/1000</f>
        <v>0</v>
      </c>
      <c r="AL38" s="2142"/>
      <c r="AM38" s="1540">
        <f>'4. T7 LAINAT '!N19/1000</f>
        <v>0</v>
      </c>
      <c r="AN38" s="2141">
        <f>'4. T7 LAINAT '!O19/1000</f>
        <v>0</v>
      </c>
      <c r="AO38" s="2142"/>
      <c r="AP38" s="1622">
        <f>'4. T7 LAINAT '!Q19/1000</f>
        <v>0</v>
      </c>
    </row>
    <row r="39" spans="2:54" ht="11.25" customHeight="1">
      <c r="B39" s="1292" t="s">
        <v>366</v>
      </c>
      <c r="C39" s="814" t="s">
        <v>528</v>
      </c>
      <c r="D39" s="805">
        <f>'1. T1 INVESTOINTISUUN.'!D50/1000</f>
        <v>0</v>
      </c>
      <c r="E39" s="805">
        <f>'1. T1 INVESTOINTISUUN.'!E50/1000</f>
        <v>0</v>
      </c>
      <c r="F39" s="805">
        <f>'1. T1 INVESTOINTISUUN.'!F50/1000</f>
        <v>0</v>
      </c>
      <c r="G39" s="805">
        <f>'1. T1 INVESTOINTISUUN.'!G50/1000</f>
        <v>0</v>
      </c>
      <c r="H39" s="805">
        <f>'1. T1 INVESTOINTISUUN.'!H50/1000</f>
        <v>0</v>
      </c>
      <c r="I39" s="804"/>
      <c r="J39" s="804"/>
      <c r="K39" s="804"/>
      <c r="L39" s="804"/>
      <c r="M39" s="804"/>
      <c r="N39" s="804"/>
      <c r="O39" s="1284"/>
      <c r="Q39" s="807"/>
      <c r="R39" s="863" t="str">
        <f>'3. T3 TASE '!C70</f>
        <v xml:space="preserve">    - pääomalainen akordi</v>
      </c>
      <c r="S39" s="864"/>
      <c r="T39" s="832"/>
      <c r="U39" s="818"/>
      <c r="V39" s="818">
        <f>'3. T3 TASE '!H70/1000</f>
        <v>0</v>
      </c>
      <c r="W39" s="818">
        <f>'3. T3 TASE '!I70/1000</f>
        <v>0</v>
      </c>
      <c r="X39" s="818">
        <f>'3. T3 TASE '!J70/1000</f>
        <v>0</v>
      </c>
      <c r="Y39" s="818">
        <f>'3. T3 TASE '!K70/1000</f>
        <v>0</v>
      </c>
      <c r="AA39" s="981"/>
      <c r="AB39" s="981"/>
      <c r="AC39" s="709"/>
      <c r="AD39" s="709"/>
      <c r="AE39" s="982"/>
      <c r="AF39" s="982"/>
      <c r="AG39" s="982"/>
      <c r="AH39" s="982"/>
      <c r="AI39" s="982"/>
      <c r="AJ39" s="982"/>
      <c r="AK39" s="982"/>
      <c r="AL39" s="982"/>
      <c r="AM39" s="982"/>
      <c r="AN39" s="982"/>
      <c r="AO39" s="982"/>
      <c r="AP39" s="982"/>
    </row>
    <row r="40" spans="2:54" ht="11.25" customHeight="1">
      <c r="B40" s="1705" t="s">
        <v>170</v>
      </c>
      <c r="C40" s="1706" t="s">
        <v>527</v>
      </c>
      <c r="D40" s="805">
        <f>'1. T1 INVESTOINTISUUN.'!D51/1000</f>
        <v>0</v>
      </c>
      <c r="E40" s="805">
        <f>'1. T1 INVESTOINTISUUN.'!E51/1000</f>
        <v>0</v>
      </c>
      <c r="F40" s="805">
        <f>'1. T1 INVESTOINTISUUN.'!F51/1000</f>
        <v>0</v>
      </c>
      <c r="G40" s="805">
        <f>'1. T1 INVESTOINTISUUN.'!G51/1000</f>
        <v>0</v>
      </c>
      <c r="H40" s="805">
        <f>'1. T1 INVESTOINTISUUN.'!H51/1000</f>
        <v>0</v>
      </c>
      <c r="I40" s="47"/>
      <c r="J40" s="47"/>
      <c r="K40" s="2254" t="s">
        <v>517</v>
      </c>
      <c r="L40" s="1179" t="s">
        <v>555</v>
      </c>
      <c r="M40" s="47"/>
      <c r="N40" s="47"/>
      <c r="O40" s="1294"/>
      <c r="Q40" s="807" t="s">
        <v>0</v>
      </c>
      <c r="R40" s="816" t="s">
        <v>239</v>
      </c>
      <c r="S40" s="834"/>
      <c r="T40" s="832">
        <f>'3. T3 TASE '!F71/1000</f>
        <v>0</v>
      </c>
      <c r="U40" s="818">
        <f>'3. T3 TASE '!G71/1000</f>
        <v>0</v>
      </c>
      <c r="V40" s="818">
        <f>'3. T3 TASE '!H71/1000</f>
        <v>0</v>
      </c>
      <c r="W40" s="818">
        <f>'3. T3 TASE '!I71/1000</f>
        <v>0</v>
      </c>
      <c r="X40" s="818">
        <f>'3. T3 TASE '!J71/1000</f>
        <v>0</v>
      </c>
      <c r="Y40" s="818">
        <f>'3. T3 TASE '!K71/1000</f>
        <v>0</v>
      </c>
      <c r="AA40" s="1583" t="str">
        <f>'4. T7 LAINAT '!B20</f>
        <v>UUDET PITKÄAIKAISET LAINAT</v>
      </c>
      <c r="AB40" s="2192" t="s">
        <v>545</v>
      </c>
      <c r="AC40" s="2192" t="s">
        <v>600</v>
      </c>
      <c r="AD40" s="2202" t="str">
        <f>'4. T7 LAINAT '!E20</f>
        <v>Korko-%</v>
      </c>
      <c r="AE40" s="2138" t="str">
        <f>'4. T7 LAINAT '!F20</f>
        <v>Ennuste 1</v>
      </c>
      <c r="AF40" s="2139"/>
      <c r="AG40" s="2140"/>
      <c r="AH40" s="2160" t="str">
        <f>'4. T7 LAINAT '!I20</f>
        <v>Ennuste 2</v>
      </c>
      <c r="AI40" s="2160"/>
      <c r="AJ40" s="2160"/>
      <c r="AK40" s="2138" t="str">
        <f>'4. T7 LAINAT '!L20</f>
        <v>Ennuste 3</v>
      </c>
      <c r="AL40" s="2139"/>
      <c r="AM40" s="2140"/>
      <c r="AN40" s="2138" t="str">
        <f>'4. T7 LAINAT '!O20</f>
        <v>Ennuste 4</v>
      </c>
      <c r="AO40" s="2139"/>
      <c r="AP40" s="2140"/>
    </row>
    <row r="41" spans="2:54" ht="11.25" customHeight="1">
      <c r="B41" s="1292" t="s">
        <v>171</v>
      </c>
      <c r="C41" s="814" t="s">
        <v>526</v>
      </c>
      <c r="D41" s="805">
        <f>'1. T1 INVESTOINTISUUN.'!D52/1000</f>
        <v>0</v>
      </c>
      <c r="E41" s="805">
        <f>'1. T1 INVESTOINTISUUN.'!E52/1000</f>
        <v>0</v>
      </c>
      <c r="F41" s="805">
        <f>'1. T1 INVESTOINTISUUN.'!F52/1000</f>
        <v>0</v>
      </c>
      <c r="G41" s="805">
        <f>'1. T1 INVESTOINTISUUN.'!G52/1000</f>
        <v>0</v>
      </c>
      <c r="H41" s="805">
        <f>'1. T1 INVESTOINTISUUN.'!H52/1000</f>
        <v>0</v>
      </c>
      <c r="I41" s="1178" t="str">
        <f>'1. T1 INVESTOINTISUUN.'!J53</f>
        <v xml:space="preserve"> Rahoittaja</v>
      </c>
      <c r="J41" s="47"/>
      <c r="K41" s="2255"/>
      <c r="L41" s="1179" t="s">
        <v>343</v>
      </c>
      <c r="M41" s="2252" t="str">
        <f>'1. T1 INVESTOINTISUUN.'!N53</f>
        <v xml:space="preserve"> Käytetty vakuus</v>
      </c>
      <c r="N41" s="2252"/>
      <c r="O41" s="2253"/>
      <c r="Q41" s="807">
        <v>0</v>
      </c>
      <c r="R41" s="816" t="s">
        <v>240</v>
      </c>
      <c r="S41" s="834"/>
      <c r="T41" s="832">
        <f>'3. T3 TASE '!F74/1000</f>
        <v>0</v>
      </c>
      <c r="U41" s="818">
        <f>'3. T3 TASE '!G74/1000</f>
        <v>0</v>
      </c>
      <c r="V41" s="818">
        <f>'3. T3 TASE '!H74/1000</f>
        <v>0</v>
      </c>
      <c r="W41" s="818">
        <f>'3. T3 TASE '!I74/1000</f>
        <v>0</v>
      </c>
      <c r="X41" s="818">
        <f>'3. T3 TASE '!J74/1000</f>
        <v>0</v>
      </c>
      <c r="Y41" s="818">
        <f>'3. T3 TASE '!K74/1000</f>
        <v>0</v>
      </c>
      <c r="AA41" s="1584" t="s">
        <v>524</v>
      </c>
      <c r="AB41" s="2192"/>
      <c r="AC41" s="2192"/>
      <c r="AD41" s="2202"/>
      <c r="AE41" s="2138">
        <f>AE27</f>
        <v>2025</v>
      </c>
      <c r="AF41" s="2139"/>
      <c r="AG41" s="2140"/>
      <c r="AH41" s="2160">
        <f>AH27</f>
        <v>2026</v>
      </c>
      <c r="AI41" s="2160"/>
      <c r="AJ41" s="2160"/>
      <c r="AK41" s="2138">
        <f>AK27</f>
        <v>2027</v>
      </c>
      <c r="AL41" s="2139"/>
      <c r="AM41" s="2140"/>
      <c r="AN41" s="2138">
        <f>AN27</f>
        <v>2028</v>
      </c>
      <c r="AO41" s="2139"/>
      <c r="AP41" s="2140"/>
    </row>
    <row r="42" spans="2:54" ht="11.25" customHeight="1">
      <c r="B42" s="2256" t="s">
        <v>94</v>
      </c>
      <c r="C42" s="2257"/>
      <c r="D42" s="805"/>
      <c r="E42" s="805"/>
      <c r="F42" s="805"/>
      <c r="G42" s="805"/>
      <c r="H42" s="805"/>
      <c r="I42" s="2169" t="str">
        <f>'1. T1 INVESTOINTISUUN.'!J54</f>
        <v xml:space="preserve"> Finnvera</v>
      </c>
      <c r="J42" s="2170"/>
      <c r="K42" s="2134">
        <f>'1. T1 INVESTOINTISUUN.'!L54</f>
        <v>0</v>
      </c>
      <c r="L42" s="2137">
        <f>'1. T1 INVESTOINTISUUN.'!M54</f>
        <v>0</v>
      </c>
      <c r="M42" s="2125">
        <f>'1. T1 INVESTOINTISUUN.'!N54</f>
        <v>0</v>
      </c>
      <c r="N42" s="2126"/>
      <c r="O42" s="2127"/>
      <c r="Q42" s="830" t="s">
        <v>336</v>
      </c>
      <c r="R42" s="836" t="s">
        <v>238</v>
      </c>
      <c r="S42" s="837"/>
      <c r="T42" s="832">
        <f>'3. T3 TASE '!F75/1000</f>
        <v>0</v>
      </c>
      <c r="U42" s="829">
        <f>'3. T3 TASE '!G75/1000</f>
        <v>0</v>
      </c>
      <c r="V42" s="829">
        <f>'3. T3 TASE '!H75/1000</f>
        <v>0</v>
      </c>
      <c r="W42" s="829">
        <f>'3. T3 TASE '!I75/1000</f>
        <v>0</v>
      </c>
      <c r="X42" s="829">
        <f>'3. T3 TASE '!J75/1000</f>
        <v>0</v>
      </c>
      <c r="Y42" s="829">
        <f>'3. T3 TASE '!K75/1000</f>
        <v>0</v>
      </c>
      <c r="AA42" s="1605" t="str">
        <f>'4. T7 LAINAT '!B22</f>
        <v>Luotonantaja</v>
      </c>
      <c r="AB42" s="2193"/>
      <c r="AC42" s="2193"/>
      <c r="AD42" s="2203"/>
      <c r="AE42" s="1602" t="str">
        <f>'4. T7 LAINAT '!F22</f>
        <v>Nosto</v>
      </c>
      <c r="AF42" s="1603" t="s">
        <v>134</v>
      </c>
      <c r="AG42" s="1604" t="str">
        <f>'4. T7 LAINAT '!H22</f>
        <v>Korko</v>
      </c>
      <c r="AH42" s="1602" t="s">
        <v>129</v>
      </c>
      <c r="AI42" s="1603" t="s">
        <v>134</v>
      </c>
      <c r="AJ42" s="1604" t="s">
        <v>126</v>
      </c>
      <c r="AK42" s="1602" t="s">
        <v>129</v>
      </c>
      <c r="AL42" s="1603" t="s">
        <v>134</v>
      </c>
      <c r="AM42" s="1604" t="s">
        <v>126</v>
      </c>
      <c r="AN42" s="1602" t="s">
        <v>129</v>
      </c>
      <c r="AO42" s="1603" t="s">
        <v>134</v>
      </c>
      <c r="AP42" s="1604" t="s">
        <v>126</v>
      </c>
    </row>
    <row r="43" spans="2:54" ht="11.25" customHeight="1">
      <c r="B43" s="1293" t="s">
        <v>172</v>
      </c>
      <c r="C43" s="813" t="s">
        <v>191</v>
      </c>
      <c r="D43" s="805">
        <f>'1. T1 INVESTOINTISUUN.'!D55/1000</f>
        <v>0</v>
      </c>
      <c r="E43" s="805">
        <f>'1. T1 INVESTOINTISUUN.'!E55/1000</f>
        <v>0</v>
      </c>
      <c r="F43" s="805">
        <f>'1. T1 INVESTOINTISUUN.'!F55/1000</f>
        <v>0</v>
      </c>
      <c r="G43" s="805">
        <f>'1. T1 INVESTOINTISUUN.'!G55/1000</f>
        <v>0</v>
      </c>
      <c r="H43" s="805">
        <f>'1. T1 INVESTOINTISUUN.'!H55/1000</f>
        <v>0</v>
      </c>
      <c r="I43" s="2171"/>
      <c r="J43" s="2172"/>
      <c r="K43" s="2135"/>
      <c r="L43" s="2135"/>
      <c r="M43" s="2128"/>
      <c r="N43" s="2129"/>
      <c r="O43" s="2130"/>
      <c r="Q43" s="807" t="s">
        <v>0</v>
      </c>
      <c r="R43" s="817" t="s">
        <v>226</v>
      </c>
      <c r="S43" s="826"/>
      <c r="T43" s="832">
        <f>'3. T3 TASE '!F76/1000</f>
        <v>0</v>
      </c>
      <c r="U43" s="818">
        <f>'3. T3 TASE '!G76/1000</f>
        <v>0</v>
      </c>
      <c r="V43" s="818">
        <f>'3. T3 TASE '!H76/1000</f>
        <v>0</v>
      </c>
      <c r="W43" s="818">
        <f>'3. T3 TASE '!I76/1000</f>
        <v>0</v>
      </c>
      <c r="X43" s="818">
        <f>'3. T3 TASE '!J76/1000</f>
        <v>0</v>
      </c>
      <c r="Y43" s="818">
        <f>'3. T3 TASE '!K76/1000</f>
        <v>0</v>
      </c>
      <c r="AA43" s="1589" t="str">
        <f>'4. T7 LAINAT '!B23</f>
        <v xml:space="preserve"> 1. vuonna nostettavat lainat</v>
      </c>
      <c r="AB43" s="1590"/>
      <c r="AC43" s="1590"/>
      <c r="AD43" s="1590"/>
      <c r="AE43" s="1591" t="s">
        <v>0</v>
      </c>
      <c r="AF43" s="1591"/>
      <c r="AG43" s="1591"/>
      <c r="AH43" s="1591" t="s">
        <v>0</v>
      </c>
      <c r="AI43" s="1591"/>
      <c r="AJ43" s="1591"/>
      <c r="AK43" s="1591"/>
      <c r="AL43" s="1591"/>
      <c r="AM43" s="1591"/>
      <c r="AN43" s="1591" t="s">
        <v>0</v>
      </c>
      <c r="AO43" s="1591"/>
      <c r="AP43" s="1591"/>
    </row>
    <row r="44" spans="2:54" ht="11.25" customHeight="1">
      <c r="B44" s="1292" t="s">
        <v>173</v>
      </c>
      <c r="C44" s="815" t="s">
        <v>348</v>
      </c>
      <c r="D44" s="805">
        <f>'1. T1 INVESTOINTISUUN.'!D56/1000</f>
        <v>0</v>
      </c>
      <c r="E44" s="805">
        <f>'1. T1 INVESTOINTISUUN.'!E56/1000</f>
        <v>0</v>
      </c>
      <c r="F44" s="805">
        <f>'1. T1 INVESTOINTISUUN.'!F56/1000</f>
        <v>0</v>
      </c>
      <c r="G44" s="805">
        <f>'1. T1 INVESTOINTISUUN.'!G56/1000</f>
        <v>0</v>
      </c>
      <c r="H44" s="805">
        <f>'1. T1 INVESTOINTISUUN.'!H56/1000</f>
        <v>0</v>
      </c>
      <c r="I44" s="2125" t="str">
        <f>'1. T1 INVESTOINTISUUN.'!J56</f>
        <v xml:space="preserve"> Pankki</v>
      </c>
      <c r="J44" s="2173"/>
      <c r="K44" s="2134">
        <f>'1. T1 INVESTOINTISUUN.'!L56</f>
        <v>0</v>
      </c>
      <c r="L44" s="2137">
        <f>'1. T1 INVESTOINTISUUN.'!M56</f>
        <v>0</v>
      </c>
      <c r="M44" s="2125">
        <f>'1. T1 INVESTOINTISUUN.'!N56</f>
        <v>0</v>
      </c>
      <c r="N44" s="2126"/>
      <c r="O44" s="2127"/>
      <c r="Q44" s="807">
        <v>0</v>
      </c>
      <c r="R44" s="817" t="s">
        <v>241</v>
      </c>
      <c r="S44" s="826"/>
      <c r="T44" s="832">
        <f>'3. T3 TASE '!F79/1000</f>
        <v>0</v>
      </c>
      <c r="U44" s="818">
        <f>'3. T3 TASE '!G79/1000</f>
        <v>0</v>
      </c>
      <c r="V44" s="818">
        <f>'3. T3 TASE '!H79/1000</f>
        <v>0</v>
      </c>
      <c r="W44" s="818">
        <f>'3. T3 TASE '!I79/1000</f>
        <v>0</v>
      </c>
      <c r="X44" s="818">
        <f>'3. T3 TASE '!J79/1000</f>
        <v>0</v>
      </c>
      <c r="Y44" s="818">
        <f>'3. T3 TASE '!K79/1000</f>
        <v>0</v>
      </c>
      <c r="AA44" s="1541" t="str">
        <f>'4. T7 LAINAT '!B24</f>
        <v xml:space="preserve"> Rahoittaja/rahoitettava kohde</v>
      </c>
      <c r="AB44" s="1554">
        <f>'4. T7 LAINAT '!C24/1000</f>
        <v>0</v>
      </c>
      <c r="AC44" s="1555">
        <f>'4. T7 LAINAT '!D24</f>
        <v>0</v>
      </c>
      <c r="AD44" s="1556">
        <f>'4. T7 LAINAT '!E24*100</f>
        <v>0</v>
      </c>
      <c r="AE44" s="1554">
        <f>'4. T7 LAINAT '!F24/1000</f>
        <v>0</v>
      </c>
      <c r="AF44" s="1557">
        <f>'4. T7 LAINAT '!G24/1000</f>
        <v>0</v>
      </c>
      <c r="AG44" s="1558">
        <f>'4. T7 LAINAT '!H24/1000</f>
        <v>0</v>
      </c>
      <c r="AH44" s="1554"/>
      <c r="AI44" s="1557">
        <f>'4. T7 LAINAT '!J24/1000</f>
        <v>0</v>
      </c>
      <c r="AJ44" s="1558">
        <f>'4. T7 LAINAT '!K24/1000</f>
        <v>0</v>
      </c>
      <c r="AK44" s="1554"/>
      <c r="AL44" s="1557">
        <f>'4. T7 LAINAT '!M24/1000</f>
        <v>0</v>
      </c>
      <c r="AM44" s="1558">
        <f>'4. T7 LAINAT '!N24/1000</f>
        <v>0</v>
      </c>
      <c r="AN44" s="1554"/>
      <c r="AO44" s="1557">
        <f>'4. T7 LAINAT '!P24/1000</f>
        <v>0</v>
      </c>
      <c r="AP44" s="1623">
        <f>'4. T7 LAINAT '!Q24/1000</f>
        <v>0</v>
      </c>
    </row>
    <row r="45" spans="2:54" ht="11.25" customHeight="1">
      <c r="B45" s="1292" t="s">
        <v>174</v>
      </c>
      <c r="C45" s="815" t="str">
        <f>'1. T1 INVESTOINTISUUN.'!C57</f>
        <v>Osamaksurahoitus, eläkelaina tms.</v>
      </c>
      <c r="D45" s="805">
        <f>'1. T1 INVESTOINTISUUN.'!D57/1000</f>
        <v>0</v>
      </c>
      <c r="E45" s="805">
        <f>'1. T1 INVESTOINTISUUN.'!E57/1000</f>
        <v>0</v>
      </c>
      <c r="F45" s="805">
        <f>'1. T1 INVESTOINTISUUN.'!F57/1000</f>
        <v>0</v>
      </c>
      <c r="G45" s="805">
        <f>'1. T1 INVESTOINTISUUN.'!G57/1000</f>
        <v>0</v>
      </c>
      <c r="H45" s="805">
        <f>'1. T1 INVESTOINTISUUN.'!H57/1000</f>
        <v>0</v>
      </c>
      <c r="I45" s="2128"/>
      <c r="J45" s="2174"/>
      <c r="K45" s="2135"/>
      <c r="L45" s="2135"/>
      <c r="M45" s="2128"/>
      <c r="N45" s="2129"/>
      <c r="O45" s="2130"/>
      <c r="Q45" s="807">
        <v>0</v>
      </c>
      <c r="R45" s="817" t="s">
        <v>239</v>
      </c>
      <c r="S45" s="826"/>
      <c r="T45" s="832">
        <f>'3. T3 TASE '!F80/1000</f>
        <v>0</v>
      </c>
      <c r="U45" s="818">
        <f>'3. T3 TASE '!G80/1000</f>
        <v>0</v>
      </c>
      <c r="V45" s="818">
        <f>'3. T3 TASE '!H80/1000</f>
        <v>0</v>
      </c>
      <c r="W45" s="818">
        <f>'3. T3 TASE '!I80/1000</f>
        <v>0</v>
      </c>
      <c r="X45" s="818">
        <f>'3. T3 TASE '!J80/1000</f>
        <v>0</v>
      </c>
      <c r="Y45" s="818">
        <f>'3. T3 TASE '!K80/1000</f>
        <v>0</v>
      </c>
      <c r="AA45" s="1542">
        <f>'4. T7 LAINAT '!B25</f>
        <v>0</v>
      </c>
      <c r="AB45" s="1532">
        <f>'4. T7 LAINAT '!C25/1000</f>
        <v>0</v>
      </c>
      <c r="AC45" s="861">
        <f>'4. T7 LAINAT '!D25</f>
        <v>0</v>
      </c>
      <c r="AD45" s="1545">
        <f>'4. T7 LAINAT '!E25*100</f>
        <v>0</v>
      </c>
      <c r="AE45" s="1532">
        <f>'4. T7 LAINAT '!F25/1000</f>
        <v>0</v>
      </c>
      <c r="AF45" s="818">
        <f>'4. T7 LAINAT '!G25/1000</f>
        <v>0</v>
      </c>
      <c r="AG45" s="1533">
        <f>'4. T7 LAINAT '!H25/1000</f>
        <v>0</v>
      </c>
      <c r="AH45" s="1532"/>
      <c r="AI45" s="818">
        <f>'4. T7 LAINAT '!J25/1000</f>
        <v>0</v>
      </c>
      <c r="AJ45" s="1533">
        <f>'4. T7 LAINAT '!K25/1000</f>
        <v>0</v>
      </c>
      <c r="AK45" s="1532"/>
      <c r="AL45" s="818">
        <f>'4. T7 LAINAT '!M25/1000</f>
        <v>0</v>
      </c>
      <c r="AM45" s="1533">
        <f>'4. T7 LAINAT '!N25/1000</f>
        <v>0</v>
      </c>
      <c r="AN45" s="1532"/>
      <c r="AO45" s="818">
        <f>'4. T7 LAINAT '!P25/1000</f>
        <v>0</v>
      </c>
      <c r="AP45" s="1613">
        <f>'4. T7 LAINAT '!Q25/1000</f>
        <v>0</v>
      </c>
    </row>
    <row r="46" spans="2:54" ht="11.25" customHeight="1">
      <c r="B46" s="1292" t="s">
        <v>175</v>
      </c>
      <c r="C46" s="815" t="s">
        <v>468</v>
      </c>
      <c r="D46" s="805">
        <f>('1. T1 INVESTOINTISUUN.'!D58+'1. T1 INVESTOINTISUUN.'!D59)/1000</f>
        <v>0</v>
      </c>
      <c r="E46" s="805">
        <f>('1. T1 INVESTOINTISUUN.'!E58+'1. T1 INVESTOINTISUUN.'!E59)/1000</f>
        <v>0</v>
      </c>
      <c r="F46" s="805">
        <f>('1. T1 INVESTOINTISUUN.'!F58+'1. T1 INVESTOINTISUUN.'!F59)/1000</f>
        <v>0</v>
      </c>
      <c r="G46" s="805">
        <f>('1. T1 INVESTOINTISUUN.'!G58+'1. T1 INVESTOINTISUUN.'!G59)/1000</f>
        <v>0</v>
      </c>
      <c r="H46" s="805">
        <f>('1. T1 INVESTOINTISUUN.'!H58+'1. T1 INVESTOINTISUUN.'!H59)/1000</f>
        <v>0</v>
      </c>
      <c r="I46" s="2125" t="str">
        <f>'1. T1 INVESTOINTISUUN.'!J58</f>
        <v xml:space="preserve"> Osamaksu</v>
      </c>
      <c r="J46" s="2173"/>
      <c r="K46" s="2134">
        <f>'1. T1 INVESTOINTISUUN.'!L58</f>
        <v>0</v>
      </c>
      <c r="L46" s="2137">
        <f>'1. T1 INVESTOINTISUUN.'!M58</f>
        <v>0</v>
      </c>
      <c r="M46" s="2125">
        <f>'1. T1 INVESTOINTISUUN.'!N58</f>
        <v>0</v>
      </c>
      <c r="N46" s="2126"/>
      <c r="O46" s="2127"/>
      <c r="R46" s="817" t="s">
        <v>242</v>
      </c>
      <c r="S46" s="826"/>
      <c r="T46" s="832">
        <f>'3. T3 TASE '!F84/1000</f>
        <v>0</v>
      </c>
      <c r="U46" s="818">
        <f>'3. T3 TASE '!G84/1000</f>
        <v>0</v>
      </c>
      <c r="V46" s="818">
        <f>'3. T3 TASE '!H84/1000</f>
        <v>0</v>
      </c>
      <c r="W46" s="818">
        <f>'3. T3 TASE '!I84/1000</f>
        <v>0</v>
      </c>
      <c r="X46" s="818">
        <f>'3. T3 TASE '!J84/1000</f>
        <v>0</v>
      </c>
      <c r="Y46" s="818">
        <f>'3. T3 TASE '!K84/1000</f>
        <v>0</v>
      </c>
      <c r="AA46" s="1549">
        <f>'4. T7 LAINAT '!B26</f>
        <v>0</v>
      </c>
      <c r="AB46" s="1550">
        <f>'4. T7 LAINAT '!C26/1000</f>
        <v>0</v>
      </c>
      <c r="AC46" s="1551">
        <f>'4. T7 LAINAT '!D26</f>
        <v>0</v>
      </c>
      <c r="AD46" s="1552">
        <f>'4. T7 LAINAT '!E26*100</f>
        <v>0</v>
      </c>
      <c r="AE46" s="1550">
        <f>'4. T7 LAINAT '!F26/1000</f>
        <v>0</v>
      </c>
      <c r="AF46" s="868">
        <f>'4. T7 LAINAT '!G26/1000</f>
        <v>0</v>
      </c>
      <c r="AG46" s="1553">
        <f>'4. T7 LAINAT '!H26/1000</f>
        <v>0</v>
      </c>
      <c r="AH46" s="1550"/>
      <c r="AI46" s="868">
        <f>'4. T7 LAINAT '!J26/1000</f>
        <v>0</v>
      </c>
      <c r="AJ46" s="1553">
        <f>'4. T7 LAINAT '!K26/1000</f>
        <v>0</v>
      </c>
      <c r="AK46" s="1550"/>
      <c r="AL46" s="868">
        <f>'4. T7 LAINAT '!M26/1000</f>
        <v>0</v>
      </c>
      <c r="AM46" s="1553">
        <f>'4. T7 LAINAT '!N26/1000</f>
        <v>0</v>
      </c>
      <c r="AN46" s="1550"/>
      <c r="AO46" s="868">
        <f>'4. T7 LAINAT '!P26/1000</f>
        <v>0</v>
      </c>
      <c r="AP46" s="1624">
        <f>'4. T7 LAINAT '!Q26/1000</f>
        <v>0</v>
      </c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</row>
    <row r="47" spans="2:54" ht="11.25" customHeight="1">
      <c r="B47" s="1292" t="s">
        <v>439</v>
      </c>
      <c r="C47" s="814" t="s">
        <v>318</v>
      </c>
      <c r="D47" s="805">
        <f>'1. T1 INVESTOINTISUUN.'!D60/1000</f>
        <v>0</v>
      </c>
      <c r="E47" s="805">
        <f>'1. T1 INVESTOINTISUUN.'!E60/1000</f>
        <v>0</v>
      </c>
      <c r="F47" s="805">
        <f>'1. T1 INVESTOINTISUUN.'!F60/1000</f>
        <v>0</v>
      </c>
      <c r="G47" s="805">
        <f>'1. T1 INVESTOINTISUUN.'!G60/1000</f>
        <v>0</v>
      </c>
      <c r="H47" s="805">
        <f>'1. T1 INVESTOINTISUUN.'!H60/1000</f>
        <v>0</v>
      </c>
      <c r="I47" s="2128"/>
      <c r="J47" s="2174"/>
      <c r="K47" s="2135"/>
      <c r="L47" s="2135"/>
      <c r="M47" s="2128"/>
      <c r="N47" s="2129"/>
      <c r="O47" s="2130"/>
      <c r="R47" s="817" t="s">
        <v>243</v>
      </c>
      <c r="S47" s="826"/>
      <c r="T47" s="832">
        <f>'3. T3 TASE '!F91/1000</f>
        <v>0</v>
      </c>
      <c r="U47" s="818">
        <f>'3. T3 TASE '!G91/1000</f>
        <v>0</v>
      </c>
      <c r="V47" s="818">
        <f>'3. T3 TASE '!H91/1000</f>
        <v>0</v>
      </c>
      <c r="W47" s="818">
        <f>'3. T3 TASE '!I91/1000</f>
        <v>0</v>
      </c>
      <c r="X47" s="818">
        <f>'3. T3 TASE '!J91/1000</f>
        <v>0</v>
      </c>
      <c r="Y47" s="818">
        <f>'3. T3 TASE '!K91/1000</f>
        <v>0</v>
      </c>
      <c r="AA47" s="1592" t="str">
        <f>'4. T7 LAINAT '!B27</f>
        <v xml:space="preserve"> 2. vuonna nostettavat lainat</v>
      </c>
      <c r="AB47" s="1593"/>
      <c r="AC47" s="1594"/>
      <c r="AD47" s="1595"/>
      <c r="AE47" s="1593"/>
      <c r="AF47" s="1593"/>
      <c r="AG47" s="1596"/>
      <c r="AH47" s="1593"/>
      <c r="AI47" s="1593"/>
      <c r="AJ47" s="1593"/>
      <c r="AK47" s="1593"/>
      <c r="AL47" s="1593"/>
      <c r="AM47" s="1593"/>
      <c r="AN47" s="1593"/>
      <c r="AO47" s="1593"/>
      <c r="AP47" s="1595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</row>
    <row r="48" spans="2:54" ht="11.25" customHeight="1">
      <c r="B48" s="1295" t="s">
        <v>467</v>
      </c>
      <c r="C48" s="814" t="s">
        <v>319</v>
      </c>
      <c r="D48" s="805">
        <f>'1. T1 INVESTOINTISUUN.'!D61/1000</f>
        <v>0</v>
      </c>
      <c r="E48" s="805">
        <f>'1. T1 INVESTOINTISUUN.'!E61/1000</f>
        <v>0</v>
      </c>
      <c r="F48" s="805">
        <f>'1. T1 INVESTOINTISUUN.'!F61/1000</f>
        <v>0</v>
      </c>
      <c r="G48" s="805">
        <f>'1. T1 INVESTOINTISUUN.'!G61/1000</f>
        <v>0</v>
      </c>
      <c r="H48" s="805">
        <f>'1. T1 INVESTOINTISUUN.'!H61/1000</f>
        <v>0</v>
      </c>
      <c r="I48" s="2125" t="str">
        <f>'1. T1 INVESTOINTISUUN.'!J60</f>
        <v xml:space="preserve"> Eläkelainat</v>
      </c>
      <c r="J48" s="2173"/>
      <c r="K48" s="2134">
        <f>'1. T1 INVESTOINTISUUN.'!L60</f>
        <v>0</v>
      </c>
      <c r="L48" s="2137">
        <f>'1. T1 INVESTOINTISUUN.'!M60</f>
        <v>0</v>
      </c>
      <c r="M48" s="2125">
        <f>'1. T1 INVESTOINTISUUN.'!N60</f>
        <v>0</v>
      </c>
      <c r="N48" s="2126"/>
      <c r="O48" s="2127"/>
      <c r="Q48" s="807"/>
      <c r="R48" s="817" t="s">
        <v>250</v>
      </c>
      <c r="S48" s="826"/>
      <c r="T48" s="832">
        <f>'3. T3 TASE '!F96/1000</f>
        <v>0</v>
      </c>
      <c r="U48" s="818">
        <f>'3. T3 TASE '!G96/1000</f>
        <v>0</v>
      </c>
      <c r="V48" s="818">
        <f>'3. T3 TASE '!H96/1000</f>
        <v>0</v>
      </c>
      <c r="W48" s="818">
        <f>'3. T3 TASE '!I96/1000</f>
        <v>0</v>
      </c>
      <c r="X48" s="818">
        <f>'3. T3 TASE '!J96/1000</f>
        <v>0</v>
      </c>
      <c r="Y48" s="818">
        <f>'3. T3 TASE '!K96/1000</f>
        <v>0</v>
      </c>
      <c r="AA48" s="1541" t="str">
        <f>'4. T7 LAINAT '!B28</f>
        <v xml:space="preserve"> Rahoittaja/rahoitettava kohde</v>
      </c>
      <c r="AB48" s="1554">
        <f>'4. T7 LAINAT '!C28/1000</f>
        <v>0</v>
      </c>
      <c r="AC48" s="1555">
        <f>'4. T7 LAINAT '!D28</f>
        <v>0</v>
      </c>
      <c r="AD48" s="1556">
        <f>'4. T7 LAINAT '!E28*100</f>
        <v>0</v>
      </c>
      <c r="AE48" s="1554"/>
      <c r="AF48" s="1557"/>
      <c r="AG48" s="1558"/>
      <c r="AH48" s="1554">
        <f>'4. T7 LAINAT '!I28/1000</f>
        <v>0</v>
      </c>
      <c r="AI48" s="1557">
        <f>'4. T7 LAINAT '!J28/1000</f>
        <v>0</v>
      </c>
      <c r="AJ48" s="1558">
        <f>'4. T7 LAINAT '!K28/1000</f>
        <v>0</v>
      </c>
      <c r="AK48" s="1554"/>
      <c r="AL48" s="1557">
        <f>'4. T7 LAINAT '!M28/1000</f>
        <v>0</v>
      </c>
      <c r="AM48" s="1558">
        <f>'4. T7 LAINAT '!N28/1000</f>
        <v>0</v>
      </c>
      <c r="AN48" s="1554"/>
      <c r="AO48" s="1557">
        <f>'4. T7 LAINAT '!P28/1000</f>
        <v>0</v>
      </c>
      <c r="AP48" s="1625">
        <f>'4. T7 LAINAT '!Q28/1000</f>
        <v>0</v>
      </c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</row>
    <row r="49" spans="2:54" ht="10.95" customHeight="1">
      <c r="B49" s="1295" t="s">
        <v>478</v>
      </c>
      <c r="C49" s="1296" t="s">
        <v>320</v>
      </c>
      <c r="D49" s="1297">
        <f>'1. T1 INVESTOINTISUUN.'!D62/1000</f>
        <v>0</v>
      </c>
      <c r="E49" s="1297">
        <f>'1. T1 INVESTOINTISUUN.'!E62/1000</f>
        <v>0</v>
      </c>
      <c r="F49" s="1297">
        <f>'1. T1 INVESTOINTISUUN.'!F62/1000</f>
        <v>0</v>
      </c>
      <c r="G49" s="1297">
        <f>'1. T1 INVESTOINTISUUN.'!G62/1000</f>
        <v>0</v>
      </c>
      <c r="H49" s="1297">
        <f>'1. T1 INVESTOINTISUUN.'!H62/1000</f>
        <v>0</v>
      </c>
      <c r="I49" s="2131"/>
      <c r="J49" s="2175"/>
      <c r="K49" s="2136"/>
      <c r="L49" s="2136"/>
      <c r="M49" s="2131"/>
      <c r="N49" s="2132"/>
      <c r="O49" s="2133"/>
      <c r="Q49" s="807" t="s">
        <v>0</v>
      </c>
      <c r="R49" s="2226" t="s">
        <v>259</v>
      </c>
      <c r="S49" s="2227"/>
      <c r="T49" s="831">
        <f>'3. T3 TASE '!F98/1000</f>
        <v>0</v>
      </c>
      <c r="U49" s="829">
        <f>'3. T3 TASE '!G98/1000</f>
        <v>0</v>
      </c>
      <c r="V49" s="829">
        <f>'3. T3 TASE '!H98/1000</f>
        <v>0</v>
      </c>
      <c r="W49" s="829">
        <f>'3. T3 TASE '!I98/1000</f>
        <v>0</v>
      </c>
      <c r="X49" s="829">
        <f>'3. T3 TASE '!J98/1000</f>
        <v>0</v>
      </c>
      <c r="Y49" s="829">
        <f>'3. T3 TASE '!K98/1000</f>
        <v>0</v>
      </c>
      <c r="AA49" s="1542">
        <f>'4. T7 LAINAT '!B29</f>
        <v>0</v>
      </c>
      <c r="AB49" s="1532">
        <f>'4. T7 LAINAT '!C29/1000</f>
        <v>0</v>
      </c>
      <c r="AC49" s="861">
        <f>'4. T7 LAINAT '!D29</f>
        <v>0</v>
      </c>
      <c r="AD49" s="1545">
        <f>'4. T7 LAINAT '!E29*100</f>
        <v>0</v>
      </c>
      <c r="AE49" s="1532"/>
      <c r="AF49" s="818"/>
      <c r="AG49" s="1533"/>
      <c r="AH49" s="1532">
        <f>'4. T7 LAINAT '!I29/1000</f>
        <v>0</v>
      </c>
      <c r="AI49" s="818">
        <f>'4. T7 LAINAT '!J29/1000</f>
        <v>0</v>
      </c>
      <c r="AJ49" s="1533">
        <f>'4. T7 LAINAT '!K29/1000</f>
        <v>0</v>
      </c>
      <c r="AK49" s="1532"/>
      <c r="AL49" s="818">
        <f>'4. T7 LAINAT '!M29/1000</f>
        <v>0</v>
      </c>
      <c r="AM49" s="1533">
        <f>'4. T7 LAINAT '!N29/1000</f>
        <v>0</v>
      </c>
      <c r="AN49" s="1532"/>
      <c r="AO49" s="818">
        <f>'4. T7 LAINAT '!P29/1000</f>
        <v>0</v>
      </c>
      <c r="AP49" s="1613">
        <f>'4. T7 LAINAT '!Q29/1000</f>
        <v>0</v>
      </c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</row>
    <row r="50" spans="2:54" ht="11.25" customHeight="1">
      <c r="Q50" s="865" t="s">
        <v>342</v>
      </c>
      <c r="R50" s="865"/>
      <c r="S50" s="865"/>
      <c r="T50" s="866"/>
      <c r="U50" s="866"/>
      <c r="V50" s="830"/>
      <c r="W50" s="830"/>
      <c r="X50" s="830"/>
      <c r="Y50" s="830"/>
      <c r="AA50" s="1549">
        <f>'4. T7 LAINAT '!B30</f>
        <v>0</v>
      </c>
      <c r="AB50" s="1550">
        <f>'4. T7 LAINAT '!C30/1000</f>
        <v>0</v>
      </c>
      <c r="AC50" s="1551">
        <f>'4. T7 LAINAT '!D30</f>
        <v>0</v>
      </c>
      <c r="AD50" s="1552">
        <f>'4. T7 LAINAT '!E30*100</f>
        <v>0</v>
      </c>
      <c r="AE50" s="1550"/>
      <c r="AF50" s="868"/>
      <c r="AG50" s="1553"/>
      <c r="AH50" s="1550">
        <f>'4. T7 LAINAT '!I30/1000</f>
        <v>0</v>
      </c>
      <c r="AI50" s="868">
        <f>'4. T7 LAINAT '!J30/1000</f>
        <v>0</v>
      </c>
      <c r="AJ50" s="1553">
        <f>'4. T7 LAINAT '!K30/1000</f>
        <v>0</v>
      </c>
      <c r="AK50" s="1550"/>
      <c r="AL50" s="868">
        <f>'4. T7 LAINAT '!M30/1000</f>
        <v>0</v>
      </c>
      <c r="AM50" s="1553">
        <f>'4. T7 LAINAT '!N30/1000</f>
        <v>0</v>
      </c>
      <c r="AN50" s="1550"/>
      <c r="AO50" s="868">
        <f>'4. T7 LAINAT '!P30/1000</f>
        <v>0</v>
      </c>
      <c r="AP50" s="1624">
        <f>'4. T7 LAINAT '!Q30/1000</f>
        <v>0</v>
      </c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</row>
    <row r="51" spans="2:54" ht="11.25" customHeight="1">
      <c r="B51" s="2248" t="s">
        <v>434</v>
      </c>
      <c r="C51" s="2249"/>
      <c r="D51" s="2218" t="s">
        <v>107</v>
      </c>
      <c r="E51" s="2218"/>
      <c r="F51" s="2218" t="s">
        <v>107</v>
      </c>
      <c r="G51" s="2218"/>
      <c r="H51" s="2218" t="s">
        <v>110</v>
      </c>
      <c r="I51" s="2218"/>
      <c r="J51" s="2218" t="s">
        <v>98</v>
      </c>
      <c r="K51" s="2218"/>
      <c r="L51" s="2218" t="s">
        <v>100</v>
      </c>
      <c r="M51" s="2218"/>
      <c r="N51" s="2218" t="s">
        <v>257</v>
      </c>
      <c r="O51" s="2258"/>
      <c r="Q51" s="2222" t="s">
        <v>573</v>
      </c>
      <c r="R51" s="2222"/>
      <c r="S51" s="2222"/>
      <c r="T51" s="1276"/>
      <c r="U51" s="1276"/>
      <c r="V51" s="1269" t="str">
        <f t="shared" ref="V51:Y52" si="2">V5</f>
        <v>Ennuste 1</v>
      </c>
      <c r="W51" s="1269" t="str">
        <f t="shared" si="2"/>
        <v>Ennuste 2</v>
      </c>
      <c r="X51" s="1269" t="str">
        <f t="shared" si="2"/>
        <v>Ennuste 3</v>
      </c>
      <c r="Y51" s="1269" t="str">
        <f t="shared" si="2"/>
        <v>Ennuste 4</v>
      </c>
      <c r="AA51" s="1597" t="str">
        <f>'4. T7 LAINAT '!B31</f>
        <v xml:space="preserve"> 3. vuonna nostettavat lainat</v>
      </c>
      <c r="AB51" s="1598"/>
      <c r="AC51" s="1599"/>
      <c r="AD51" s="1600"/>
      <c r="AE51" s="1598"/>
      <c r="AF51" s="1598"/>
      <c r="AG51" s="1601"/>
      <c r="AH51" s="1598"/>
      <c r="AI51" s="1598"/>
      <c r="AJ51" s="1601"/>
      <c r="AK51" s="1598"/>
      <c r="AL51" s="1598"/>
      <c r="AM51" s="1598"/>
      <c r="AN51" s="1598"/>
      <c r="AO51" s="1598"/>
      <c r="AP51" s="1600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</row>
    <row r="52" spans="2:54" ht="12" customHeight="1">
      <c r="B52" s="2250"/>
      <c r="C52" s="2251"/>
      <c r="D52" s="2177">
        <f>'2. &amp; 7. T2 TULOSSUUN. '!E8</f>
        <v>2023</v>
      </c>
      <c r="E52" s="2177"/>
      <c r="F52" s="2177">
        <f>'2. &amp; 7. T2 TULOSSUUN. '!G8</f>
        <v>2024</v>
      </c>
      <c r="G52" s="2177"/>
      <c r="H52" s="2176">
        <f>'2. &amp; 7. T2 TULOSSUUN. '!I8</f>
        <v>2025</v>
      </c>
      <c r="I52" s="2176"/>
      <c r="J52" s="2177">
        <f>'2. &amp; 7. T2 TULOSSUUN. '!K8</f>
        <v>2026</v>
      </c>
      <c r="K52" s="2177"/>
      <c r="L52" s="2177">
        <f>'2. &amp; 7. T2 TULOSSUUN. '!M8</f>
        <v>2027</v>
      </c>
      <c r="M52" s="2177"/>
      <c r="N52" s="2177">
        <f>'2. &amp; 7. T2 TULOSSUUN. '!O8</f>
        <v>2028</v>
      </c>
      <c r="O52" s="2178"/>
      <c r="Q52" s="2222"/>
      <c r="R52" s="2222"/>
      <c r="S52" s="2222"/>
      <c r="T52" s="1191"/>
      <c r="U52" s="1191"/>
      <c r="V52" s="1275">
        <f t="shared" si="2"/>
        <v>2025</v>
      </c>
      <c r="W52" s="1275">
        <f t="shared" si="2"/>
        <v>2026</v>
      </c>
      <c r="X52" s="1275">
        <f t="shared" si="2"/>
        <v>2027</v>
      </c>
      <c r="Y52" s="1275">
        <f t="shared" si="2"/>
        <v>2028</v>
      </c>
      <c r="AA52" s="1541" t="str">
        <f>'4. T7 LAINAT '!B32</f>
        <v xml:space="preserve"> Rahoittaja/rahoitettava kohde</v>
      </c>
      <c r="AB52" s="1554">
        <f>'4. T7 LAINAT '!C32/1000</f>
        <v>0</v>
      </c>
      <c r="AC52" s="1555">
        <f>'4. T7 LAINAT '!D32</f>
        <v>0</v>
      </c>
      <c r="AD52" s="1556">
        <f>'4. T7 LAINAT '!E32*100</f>
        <v>0</v>
      </c>
      <c r="AE52" s="1554"/>
      <c r="AF52" s="1557"/>
      <c r="AG52" s="1558"/>
      <c r="AH52" s="1554"/>
      <c r="AI52" s="1557"/>
      <c r="AJ52" s="1558"/>
      <c r="AK52" s="1554">
        <f>'4. T7 LAINAT '!L32/1000</f>
        <v>0</v>
      </c>
      <c r="AL52" s="1557">
        <f>'4. T7 LAINAT '!M32/1000</f>
        <v>0</v>
      </c>
      <c r="AM52" s="1558">
        <f>'4. T7 LAINAT '!N32/1000</f>
        <v>0</v>
      </c>
      <c r="AN52" s="1554"/>
      <c r="AO52" s="1557">
        <f>'4. T7 LAINAT '!P32/1000</f>
        <v>0</v>
      </c>
      <c r="AP52" s="1623">
        <f>'4. T7 LAINAT '!Q32/1000</f>
        <v>0</v>
      </c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</row>
    <row r="53" spans="2:54" ht="11.25" customHeight="1">
      <c r="B53" s="2250"/>
      <c r="C53" s="2251"/>
      <c r="D53" s="1272" t="s">
        <v>429</v>
      </c>
      <c r="E53" s="1273" t="s">
        <v>14</v>
      </c>
      <c r="F53" s="1272" t="s">
        <v>429</v>
      </c>
      <c r="G53" s="1273" t="s">
        <v>14</v>
      </c>
      <c r="H53" s="1272" t="s">
        <v>429</v>
      </c>
      <c r="I53" s="1273" t="s">
        <v>14</v>
      </c>
      <c r="J53" s="1272" t="s">
        <v>429</v>
      </c>
      <c r="K53" s="1273" t="s">
        <v>14</v>
      </c>
      <c r="L53" s="1272" t="s">
        <v>429</v>
      </c>
      <c r="M53" s="1273" t="s">
        <v>14</v>
      </c>
      <c r="N53" s="1272" t="s">
        <v>429</v>
      </c>
      <c r="O53" s="1298" t="s">
        <v>14</v>
      </c>
      <c r="Q53" s="783" t="s">
        <v>346</v>
      </c>
      <c r="R53" s="709"/>
      <c r="S53" s="709"/>
      <c r="T53" s="806"/>
      <c r="U53" s="397"/>
      <c r="V53" s="838"/>
      <c r="W53" s="838"/>
      <c r="X53" s="838"/>
      <c r="Y53" s="838"/>
      <c r="AA53" s="1542">
        <f>'4. T7 LAINAT '!B33</f>
        <v>0</v>
      </c>
      <c r="AB53" s="1532">
        <f>'4. T7 LAINAT '!C33/1000</f>
        <v>0</v>
      </c>
      <c r="AC53" s="861">
        <f>'4. T7 LAINAT '!D33</f>
        <v>0</v>
      </c>
      <c r="AD53" s="1545">
        <f>'4. T7 LAINAT '!E33*100</f>
        <v>0</v>
      </c>
      <c r="AE53" s="1532"/>
      <c r="AF53" s="818"/>
      <c r="AG53" s="1533"/>
      <c r="AH53" s="1532"/>
      <c r="AI53" s="818"/>
      <c r="AJ53" s="1533"/>
      <c r="AK53" s="1532">
        <f>'4. T7 LAINAT '!L33/1000</f>
        <v>0</v>
      </c>
      <c r="AL53" s="818">
        <f>'4. T7 LAINAT '!M33/1000</f>
        <v>0</v>
      </c>
      <c r="AM53" s="1533">
        <f>'4. T7 LAINAT '!N33/1000</f>
        <v>0</v>
      </c>
      <c r="AN53" s="1532"/>
      <c r="AO53" s="818">
        <f>'4. T7 LAINAT '!P33/1000</f>
        <v>0</v>
      </c>
      <c r="AP53" s="1613">
        <f>'4. T7 LAINAT '!Q33/1000</f>
        <v>0</v>
      </c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</row>
    <row r="54" spans="2:54" ht="12" customHeight="1">
      <c r="B54" s="1299"/>
      <c r="C54" s="824" t="s">
        <v>392</v>
      </c>
      <c r="D54" s="1695">
        <f>'2. &amp; 7. T2 TULOSSUUN. '!E10</f>
        <v>12</v>
      </c>
      <c r="E54" s="1696"/>
      <c r="F54" s="1695" t="str">
        <f>'2. &amp; 7. T2 TULOSSUUN. '!G10</f>
        <v>12</v>
      </c>
      <c r="G54" s="1696"/>
      <c r="H54" s="1695">
        <f>'2. &amp; 7. T2 TULOSSUUN. '!I10</f>
        <v>12</v>
      </c>
      <c r="I54" s="1696"/>
      <c r="J54" s="1695" t="str">
        <f>'2. &amp; 7. T2 TULOSSUUN. '!K10</f>
        <v>12</v>
      </c>
      <c r="K54" s="1696"/>
      <c r="L54" s="1695" t="str">
        <f>'2. &amp; 7. T2 TULOSSUUN. '!M10</f>
        <v>12</v>
      </c>
      <c r="M54" s="1696"/>
      <c r="N54" s="1695" t="str">
        <f>'2. &amp; 7. T2 TULOSSUUN. '!O10</f>
        <v>12</v>
      </c>
      <c r="O54" s="1697"/>
      <c r="Q54" s="807"/>
      <c r="R54" s="844" t="s">
        <v>575</v>
      </c>
      <c r="S54" s="844"/>
      <c r="T54" s="844"/>
      <c r="U54" s="834"/>
      <c r="V54" s="818">
        <f>'8. T4 RAHOITUSSUUN. '!H15/1000</f>
        <v>0</v>
      </c>
      <c r="W54" s="818">
        <f>'8. T4 RAHOITUSSUUN. '!I15/1000</f>
        <v>0</v>
      </c>
      <c r="X54" s="818">
        <f>'8. T4 RAHOITUSSUUN. '!J15/1000</f>
        <v>0</v>
      </c>
      <c r="Y54" s="818">
        <f>'8. T4 RAHOITUSSUUN. '!K15/1000</f>
        <v>0</v>
      </c>
      <c r="AA54" s="1549">
        <f>'4. T7 LAINAT '!B34</f>
        <v>0</v>
      </c>
      <c r="AB54" s="1550">
        <f>'4. T7 LAINAT '!C34/1000</f>
        <v>0</v>
      </c>
      <c r="AC54" s="1551">
        <f>'4. T7 LAINAT '!D34</f>
        <v>0</v>
      </c>
      <c r="AD54" s="1552">
        <f>'4. T7 LAINAT '!E34*100</f>
        <v>0</v>
      </c>
      <c r="AE54" s="1550"/>
      <c r="AF54" s="868"/>
      <c r="AG54" s="1553"/>
      <c r="AH54" s="1550"/>
      <c r="AI54" s="868"/>
      <c r="AJ54" s="1553"/>
      <c r="AK54" s="1550">
        <f>'4. T7 LAINAT '!L34/1000</f>
        <v>0</v>
      </c>
      <c r="AL54" s="868">
        <f>'4. T7 LAINAT '!M34/1000</f>
        <v>0</v>
      </c>
      <c r="AM54" s="1553">
        <f>'4. T7 LAINAT '!N34/1000</f>
        <v>0</v>
      </c>
      <c r="AN54" s="1550"/>
      <c r="AO54" s="868">
        <f>'4. T7 LAINAT '!P34/1000</f>
        <v>0</v>
      </c>
      <c r="AP54" s="1624">
        <f>'4. T7 LAINAT '!Q34/1000</f>
        <v>0</v>
      </c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</row>
    <row r="55" spans="2:54" ht="11.25" customHeight="1">
      <c r="B55" s="1283" t="s">
        <v>2</v>
      </c>
      <c r="C55" s="825" t="s">
        <v>77</v>
      </c>
      <c r="D55" s="829">
        <f>'2. &amp; 7. T2 TULOSSUUN. '!E11/1000</f>
        <v>0</v>
      </c>
      <c r="E55" s="821">
        <v>0</v>
      </c>
      <c r="F55" s="829">
        <f>'2. &amp; 7. T2 TULOSSUUN. '!G11/1000</f>
        <v>0</v>
      </c>
      <c r="G55" s="821">
        <v>0</v>
      </c>
      <c r="H55" s="829">
        <f>'2. &amp; 7. T2 TULOSSUUN. '!I11/1000</f>
        <v>0</v>
      </c>
      <c r="I55" s="821">
        <v>0</v>
      </c>
      <c r="J55" s="829">
        <f>'2. &amp; 7. T2 TULOSSUUN. '!K11/1000</f>
        <v>0</v>
      </c>
      <c r="K55" s="821">
        <v>0</v>
      </c>
      <c r="L55" s="829">
        <f>'2. &amp; 7. T2 TULOSSUUN. '!M11/1000</f>
        <v>0</v>
      </c>
      <c r="M55" s="821">
        <v>0</v>
      </c>
      <c r="N55" s="829">
        <f>'2. &amp; 7. T2 TULOSSUUN. '!O11/1000</f>
        <v>0</v>
      </c>
      <c r="O55" s="1300">
        <v>0</v>
      </c>
      <c r="Q55" s="807"/>
      <c r="R55" s="863" t="s">
        <v>576</v>
      </c>
      <c r="S55" s="863"/>
      <c r="T55" s="863"/>
      <c r="U55" s="826"/>
      <c r="V55" s="818">
        <f>'8. T4 RAHOITUSSUUN. '!H16/1000</f>
        <v>0</v>
      </c>
      <c r="W55" s="818">
        <f>'8. T4 RAHOITUSSUUN. '!I16/1000</f>
        <v>0</v>
      </c>
      <c r="X55" s="818">
        <f>'8. T4 RAHOITUSSUUN. '!J16/1000</f>
        <v>0</v>
      </c>
      <c r="Y55" s="818">
        <f>'8. T4 RAHOITUSSUUN. '!K16/1000</f>
        <v>0</v>
      </c>
      <c r="AA55" s="1592" t="str">
        <f>'4. T7 LAINAT '!B35</f>
        <v xml:space="preserve"> 4. vuonna nostettavat lainat</v>
      </c>
      <c r="AB55" s="1593"/>
      <c r="AC55" s="1594"/>
      <c r="AD55" s="1595"/>
      <c r="AE55" s="1593"/>
      <c r="AF55" s="1593"/>
      <c r="AG55" s="1596"/>
      <c r="AH55" s="1593"/>
      <c r="AI55" s="1593"/>
      <c r="AJ55" s="1596"/>
      <c r="AK55" s="1593"/>
      <c r="AL55" s="1593"/>
      <c r="AM55" s="1596"/>
      <c r="AN55" s="1593"/>
      <c r="AO55" s="1593"/>
      <c r="AP55" s="1595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</row>
    <row r="56" spans="2:54" ht="11.25" customHeight="1">
      <c r="B56" s="1285" t="s">
        <v>3</v>
      </c>
      <c r="C56" s="826" t="s">
        <v>80</v>
      </c>
      <c r="D56" s="818">
        <f>'2. &amp; 7. T2 TULOSSUUN. '!E12/1000</f>
        <v>0</v>
      </c>
      <c r="E56" s="822">
        <v>0</v>
      </c>
      <c r="F56" s="818">
        <f>'2. &amp; 7. T2 TULOSSUUN. '!G12/1000</f>
        <v>0</v>
      </c>
      <c r="G56" s="822">
        <v>0</v>
      </c>
      <c r="H56" s="818">
        <f>'2. &amp; 7. T2 TULOSSUUN. '!I12/1000</f>
        <v>0</v>
      </c>
      <c r="I56" s="822"/>
      <c r="J56" s="818">
        <f>'2. &amp; 7. T2 TULOSSUUN. '!K12/1000</f>
        <v>0</v>
      </c>
      <c r="K56" s="822"/>
      <c r="L56" s="818">
        <f>'2. &amp; 7. T2 TULOSSUUN. '!M12/1000</f>
        <v>0</v>
      </c>
      <c r="M56" s="822"/>
      <c r="N56" s="818">
        <f>'2. &amp; 7. T2 TULOSSUUN. '!O12/1000</f>
        <v>0</v>
      </c>
      <c r="O56" s="1301"/>
      <c r="Q56" s="807"/>
      <c r="R56" s="863" t="s">
        <v>577</v>
      </c>
      <c r="S56" s="863"/>
      <c r="T56" s="863"/>
      <c r="U56" s="826"/>
      <c r="V56" s="818">
        <f>'8. T4 RAHOITUSSUUN. '!H17/1000</f>
        <v>0</v>
      </c>
      <c r="W56" s="818">
        <f>'8. T4 RAHOITUSSUUN. '!I17/1000</f>
        <v>0</v>
      </c>
      <c r="X56" s="818">
        <f>'8. T4 RAHOITUSSUUN. '!J17/1000</f>
        <v>0</v>
      </c>
      <c r="Y56" s="818">
        <f>'8. T4 RAHOITUSSUUN. '!K17/1000</f>
        <v>0</v>
      </c>
      <c r="AA56" s="1541" t="str">
        <f>'4. T7 LAINAT '!B36</f>
        <v xml:space="preserve"> Rahoittaja/rahoitettava kohde</v>
      </c>
      <c r="AB56" s="1554">
        <f>'4. T7 LAINAT '!C36/1000</f>
        <v>0</v>
      </c>
      <c r="AC56" s="1555">
        <f>'4. T7 LAINAT '!D36</f>
        <v>0</v>
      </c>
      <c r="AD56" s="1556">
        <f>'4. T7 LAINAT '!E36*100</f>
        <v>0</v>
      </c>
      <c r="AE56" s="1554"/>
      <c r="AF56" s="1557"/>
      <c r="AG56" s="1558"/>
      <c r="AH56" s="1554"/>
      <c r="AI56" s="1557"/>
      <c r="AJ56" s="1558"/>
      <c r="AK56" s="1554"/>
      <c r="AL56" s="1557"/>
      <c r="AM56" s="1558"/>
      <c r="AN56" s="1554">
        <f>'4. T7 LAINAT '!O36/1000</f>
        <v>0</v>
      </c>
      <c r="AO56" s="1557">
        <f>'4. T7 LAINAT '!P36/1000</f>
        <v>0</v>
      </c>
      <c r="AP56" s="1625">
        <f>'4. T7 LAINAT '!Q36/1000</f>
        <v>0</v>
      </c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</row>
    <row r="57" spans="2:54" ht="11.25" customHeight="1">
      <c r="B57" s="1285" t="s">
        <v>4</v>
      </c>
      <c r="C57" s="826" t="s">
        <v>421</v>
      </c>
      <c r="D57" s="818">
        <f>'2. &amp; 7. T2 TULOSSUUN. '!E13/1000</f>
        <v>0</v>
      </c>
      <c r="E57" s="822"/>
      <c r="F57" s="818">
        <f>'2. &amp; 7. T2 TULOSSUUN. '!G13/1000</f>
        <v>0</v>
      </c>
      <c r="G57" s="822"/>
      <c r="H57" s="818">
        <f>'2. &amp; 7. T2 TULOSSUUN. '!I13/1000</f>
        <v>0</v>
      </c>
      <c r="I57" s="822"/>
      <c r="J57" s="818">
        <f>'2. &amp; 7. T2 TULOSSUUN. '!K13/1000</f>
        <v>0</v>
      </c>
      <c r="K57" s="822"/>
      <c r="L57" s="818">
        <f>'2. &amp; 7. T2 TULOSSUUN. '!M13/1000</f>
        <v>0</v>
      </c>
      <c r="M57" s="822"/>
      <c r="N57" s="818">
        <f>'2. &amp; 7. T2 TULOSSUUN. '!O13/1000</f>
        <v>0</v>
      </c>
      <c r="O57" s="1301"/>
      <c r="Q57" s="807"/>
      <c r="R57" s="2123" t="s">
        <v>578</v>
      </c>
      <c r="S57" s="2123"/>
      <c r="T57" s="2123"/>
      <c r="U57" s="2124"/>
      <c r="V57" s="818">
        <f>'8. T4 RAHOITUSSUUN. '!H18/1000</f>
        <v>0</v>
      </c>
      <c r="W57" s="818">
        <f>'8. T4 RAHOITUSSUUN. '!I18/1000</f>
        <v>0</v>
      </c>
      <c r="X57" s="818">
        <f>'8. T4 RAHOITUSSUUN. '!J18/1000</f>
        <v>0</v>
      </c>
      <c r="Y57" s="818">
        <f>'8. T4 RAHOITUSSUUN. '!K18/1000</f>
        <v>0</v>
      </c>
      <c r="AA57" s="1542">
        <f>'4. T7 LAINAT '!B37</f>
        <v>0</v>
      </c>
      <c r="AB57" s="1532">
        <f>'4. T7 LAINAT '!C37/1000</f>
        <v>0</v>
      </c>
      <c r="AC57" s="861">
        <f>'4. T7 LAINAT '!D37</f>
        <v>0</v>
      </c>
      <c r="AD57" s="1545">
        <f>'4. T7 LAINAT '!E37*100</f>
        <v>0</v>
      </c>
      <c r="AE57" s="1532"/>
      <c r="AF57" s="818"/>
      <c r="AG57" s="1533"/>
      <c r="AH57" s="1532"/>
      <c r="AI57" s="818"/>
      <c r="AJ57" s="1533"/>
      <c r="AK57" s="1532"/>
      <c r="AL57" s="818"/>
      <c r="AM57" s="1533"/>
      <c r="AN57" s="1532">
        <f>'4. T7 LAINAT '!O37/1000</f>
        <v>0</v>
      </c>
      <c r="AO57" s="818">
        <f>'4. T7 LAINAT '!P37/1000</f>
        <v>0</v>
      </c>
      <c r="AP57" s="1613">
        <f>'4. T7 LAINAT '!Q37/1000</f>
        <v>0</v>
      </c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</row>
    <row r="58" spans="2:54" ht="11.25" customHeight="1" thickBot="1">
      <c r="B58" s="1285" t="s">
        <v>5</v>
      </c>
      <c r="C58" s="827" t="s">
        <v>84</v>
      </c>
      <c r="D58" s="829">
        <f>'2. &amp; 7. T2 TULOSSUUN. '!E14/1000</f>
        <v>0</v>
      </c>
      <c r="E58" s="823">
        <v>100</v>
      </c>
      <c r="F58" s="829">
        <f>'2. &amp; 7. T2 TULOSSUUN. '!G14/1000</f>
        <v>0</v>
      </c>
      <c r="G58" s="823">
        <v>100</v>
      </c>
      <c r="H58" s="829">
        <f>'2. &amp; 7. T2 TULOSSUUN. '!I14/1000</f>
        <v>0</v>
      </c>
      <c r="I58" s="823">
        <v>100</v>
      </c>
      <c r="J58" s="829">
        <f>'2. &amp; 7. T2 TULOSSUUN. '!K14/1000</f>
        <v>0</v>
      </c>
      <c r="K58" s="823">
        <v>100</v>
      </c>
      <c r="L58" s="829">
        <f>'2. &amp; 7. T2 TULOSSUUN. '!M14/1000</f>
        <v>0</v>
      </c>
      <c r="M58" s="823">
        <v>100</v>
      </c>
      <c r="N58" s="829">
        <f>'2. &amp; 7. T2 TULOSSUUN. '!O14/1000</f>
        <v>0</v>
      </c>
      <c r="O58" s="1302">
        <v>100</v>
      </c>
      <c r="Q58" s="807"/>
      <c r="R58" s="2123" t="s">
        <v>579</v>
      </c>
      <c r="S58" s="2123"/>
      <c r="T58" s="2123"/>
      <c r="U58" s="2124"/>
      <c r="V58" s="818">
        <f>'8. T4 RAHOITUSSUUN. '!H19/1000</f>
        <v>0</v>
      </c>
      <c r="W58" s="818">
        <f>'8. T4 RAHOITUSSUUN. '!I19/1000</f>
        <v>0</v>
      </c>
      <c r="X58" s="818">
        <f>'8. T4 RAHOITUSSUUN. '!J19/1000</f>
        <v>0</v>
      </c>
      <c r="Y58" s="818">
        <f>'8. T4 RAHOITUSSUUN. '!K19/1000</f>
        <v>0</v>
      </c>
      <c r="AA58" s="1543">
        <f>'4. T7 LAINAT '!B38</f>
        <v>0</v>
      </c>
      <c r="AB58" s="1534">
        <f>'4. T7 LAINAT '!C38/1000</f>
        <v>0</v>
      </c>
      <c r="AC58" s="1175">
        <f>'4. T7 LAINAT '!D38</f>
        <v>0</v>
      </c>
      <c r="AD58" s="1546">
        <f>'4. T7 LAINAT '!E38*100</f>
        <v>0</v>
      </c>
      <c r="AE58" s="1534"/>
      <c r="AF58" s="1176"/>
      <c r="AG58" s="1535"/>
      <c r="AH58" s="1534"/>
      <c r="AI58" s="1176"/>
      <c r="AJ58" s="1535"/>
      <c r="AK58" s="1534"/>
      <c r="AL58" s="1176"/>
      <c r="AM58" s="1535"/>
      <c r="AN58" s="1534">
        <f>'4. T7 LAINAT '!O38/1000</f>
        <v>0</v>
      </c>
      <c r="AO58" s="1176">
        <f>'4. T7 LAINAT '!P38/1000</f>
        <v>0</v>
      </c>
      <c r="AP58" s="1614">
        <f>'4. T7 LAINAT '!Q38/1000</f>
        <v>0</v>
      </c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</row>
    <row r="59" spans="2:54" ht="11.25" customHeight="1" thickTop="1">
      <c r="B59" s="1285" t="s">
        <v>6</v>
      </c>
      <c r="C59" s="826" t="s">
        <v>81</v>
      </c>
      <c r="D59" s="818">
        <f>'2. &amp; 7. T2 TULOSSUUN. '!E15/1000</f>
        <v>0</v>
      </c>
      <c r="E59" s="822">
        <f>'2. &amp; 7. T2 TULOSSUUN. '!F15</f>
        <v>0</v>
      </c>
      <c r="F59" s="818">
        <f>'2. &amp; 7. T2 TULOSSUUN. '!G15/1000</f>
        <v>0</v>
      </c>
      <c r="G59" s="822">
        <f>'2. &amp; 7. T2 TULOSSUUN. '!H15</f>
        <v>0</v>
      </c>
      <c r="H59" s="818">
        <f>'2. &amp; 7. T2 TULOSSUUN. '!I15/1000</f>
        <v>0</v>
      </c>
      <c r="I59" s="822">
        <f>'2. &amp; 7. T2 TULOSSUUN. '!J15</f>
        <v>0</v>
      </c>
      <c r="J59" s="818">
        <f>'2. &amp; 7. T2 TULOSSUUN. '!K15/1000</f>
        <v>0</v>
      </c>
      <c r="K59" s="822">
        <f>'2. &amp; 7. T2 TULOSSUUN. '!L15</f>
        <v>0</v>
      </c>
      <c r="L59" s="818">
        <f>'2. &amp; 7. T2 TULOSSUUN. '!M15/1000</f>
        <v>0</v>
      </c>
      <c r="M59" s="822">
        <f>'2. &amp; 7. T2 TULOSSUUN. '!N15</f>
        <v>0</v>
      </c>
      <c r="N59" s="818">
        <f>'2. &amp; 7. T2 TULOSSUUN. '!O15/1000</f>
        <v>0</v>
      </c>
      <c r="O59" s="1301">
        <f>'2. &amp; 7. T2 TULOSSUUN. '!P15</f>
        <v>0</v>
      </c>
      <c r="Q59" s="807"/>
      <c r="R59" s="2157" t="s">
        <v>580</v>
      </c>
      <c r="S59" s="2157"/>
      <c r="T59" s="2157"/>
      <c r="U59" s="2158"/>
      <c r="V59" s="818">
        <f>'8. T4 RAHOITUSSUUN. '!H20/1000</f>
        <v>0</v>
      </c>
      <c r="W59" s="818">
        <f>'8. T4 RAHOITUSSUUN. '!I20/1000</f>
        <v>0</v>
      </c>
      <c r="X59" s="818">
        <f>'8. T4 RAHOITUSSUUN. '!J20/1000</f>
        <v>0</v>
      </c>
      <c r="Y59" s="818">
        <f>'8. T4 RAHOITUSSUUN. '!K20/1000</f>
        <v>0</v>
      </c>
      <c r="AA59" s="1544" t="str">
        <f>'4. T7 LAINAT '!B39</f>
        <v xml:space="preserve"> Uudet lainat yhteensä</v>
      </c>
      <c r="AB59" s="1547">
        <f>SUM(AB44:AB58)</f>
        <v>0</v>
      </c>
      <c r="AC59" s="1378">
        <v>0</v>
      </c>
      <c r="AD59" s="1530">
        <v>0</v>
      </c>
      <c r="AE59" s="1547">
        <f t="shared" ref="AE59:AM59" si="3">SUM(AE44:AE58)</f>
        <v>0</v>
      </c>
      <c r="AF59" s="1379">
        <f t="shared" si="3"/>
        <v>0</v>
      </c>
      <c r="AG59" s="1548">
        <f t="shared" si="3"/>
        <v>0</v>
      </c>
      <c r="AH59" s="1547">
        <f t="shared" si="3"/>
        <v>0</v>
      </c>
      <c r="AI59" s="1379">
        <f t="shared" si="3"/>
        <v>0</v>
      </c>
      <c r="AJ59" s="1548">
        <f t="shared" si="3"/>
        <v>0</v>
      </c>
      <c r="AK59" s="1547">
        <f t="shared" si="3"/>
        <v>0</v>
      </c>
      <c r="AL59" s="1379">
        <f t="shared" si="3"/>
        <v>0</v>
      </c>
      <c r="AM59" s="1548">
        <f t="shared" si="3"/>
        <v>0</v>
      </c>
      <c r="AN59" s="1547">
        <f>SUM(AN44:AN58)</f>
        <v>0</v>
      </c>
      <c r="AO59" s="1379">
        <f>SUM(AO44:AO58)</f>
        <v>0</v>
      </c>
      <c r="AP59" s="1626">
        <f>SUM(AP44:AP58)</f>
        <v>0</v>
      </c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</row>
    <row r="60" spans="2:54" ht="11.25" customHeight="1">
      <c r="B60" s="1285" t="s">
        <v>7</v>
      </c>
      <c r="C60" s="826" t="s">
        <v>82</v>
      </c>
      <c r="D60" s="818">
        <f>'2. &amp; 7. T2 TULOSSUUN. '!E16/1000</f>
        <v>0</v>
      </c>
      <c r="E60" s="822">
        <f>'2. &amp; 7. T2 TULOSSUUN. '!F16</f>
        <v>0</v>
      </c>
      <c r="F60" s="818">
        <f>'2. &amp; 7. T2 TULOSSUUN. '!G16/1000</f>
        <v>0</v>
      </c>
      <c r="G60" s="822">
        <f>'2. &amp; 7. T2 TULOSSUUN. '!H16</f>
        <v>0</v>
      </c>
      <c r="H60" s="818">
        <f>'2. &amp; 7. T2 TULOSSUUN. '!I16/1000</f>
        <v>0</v>
      </c>
      <c r="I60" s="822">
        <f>'2. &amp; 7. T2 TULOSSUUN. '!J16</f>
        <v>0</v>
      </c>
      <c r="J60" s="818">
        <f>'2. &amp; 7. T2 TULOSSUUN. '!K16/1000</f>
        <v>0</v>
      </c>
      <c r="K60" s="822">
        <f>'2. &amp; 7. T2 TULOSSUUN. '!L16</f>
        <v>0</v>
      </c>
      <c r="L60" s="818">
        <f>'2. &amp; 7. T2 TULOSSUUN. '!M16/1000</f>
        <v>0</v>
      </c>
      <c r="M60" s="822">
        <f>'2. &amp; 7. T2 TULOSSUUN. '!N16</f>
        <v>0</v>
      </c>
      <c r="N60" s="818">
        <f>'2. &amp; 7. T2 TULOSSUUN. '!O16/1000</f>
        <v>0</v>
      </c>
      <c r="O60" s="1301">
        <f>'2. &amp; 7. T2 TULOSSUUN. '!P16</f>
        <v>0</v>
      </c>
      <c r="Q60" s="830"/>
      <c r="R60" s="845" t="s">
        <v>581</v>
      </c>
      <c r="S60" s="845"/>
      <c r="T60" s="846"/>
      <c r="U60" s="827"/>
      <c r="V60" s="829">
        <f>'8. T4 RAHOITUSSUUN. '!H21/1000</f>
        <v>0</v>
      </c>
      <c r="W60" s="829">
        <f>'8. T4 RAHOITUSSUUN. '!I21/1000</f>
        <v>0</v>
      </c>
      <c r="X60" s="829">
        <f>'8. T4 RAHOITUSSUUN. '!J21/1000</f>
        <v>0</v>
      </c>
      <c r="Y60" s="829">
        <f>'8. T4 RAHOITUSSUUN. '!K21/1000</f>
        <v>0</v>
      </c>
      <c r="AA60" s="806"/>
      <c r="AB60" s="708"/>
      <c r="AC60" s="709"/>
      <c r="AD60" s="709"/>
      <c r="AE60" s="710"/>
      <c r="AF60" s="710"/>
      <c r="AG60" s="710"/>
      <c r="AH60" s="710"/>
      <c r="AI60" s="710"/>
      <c r="AJ60" s="710"/>
      <c r="AK60" s="710"/>
      <c r="AL60" s="710"/>
      <c r="AM60" s="710"/>
      <c r="AN60" s="710"/>
      <c r="AO60" s="710"/>
      <c r="AP60" s="710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</row>
    <row r="61" spans="2:54" ht="11.25" customHeight="1">
      <c r="B61" s="1285" t="s">
        <v>8</v>
      </c>
      <c r="C61" s="826" t="s">
        <v>13</v>
      </c>
      <c r="D61" s="818">
        <f>'2. &amp; 7. T2 TULOSSUUN. '!E17/1000</f>
        <v>0</v>
      </c>
      <c r="E61" s="822">
        <f>'2. &amp; 7. T2 TULOSSUUN. '!F17</f>
        <v>0</v>
      </c>
      <c r="F61" s="818">
        <f>'2. &amp; 7. T2 TULOSSUUN. '!G17/1000</f>
        <v>0</v>
      </c>
      <c r="G61" s="822">
        <f>'2. &amp; 7. T2 TULOSSUUN. '!H17</f>
        <v>0</v>
      </c>
      <c r="H61" s="818">
        <f>'2. &amp; 7. T2 TULOSSUUN. '!I17/1000</f>
        <v>0</v>
      </c>
      <c r="I61" s="822">
        <f>'2. &amp; 7. T2 TULOSSUUN. '!J17</f>
        <v>0</v>
      </c>
      <c r="J61" s="818">
        <f>'2. &amp; 7. T2 TULOSSUUN. '!K17/1000</f>
        <v>0</v>
      </c>
      <c r="K61" s="822">
        <f>'2. &amp; 7. T2 TULOSSUUN. '!L17</f>
        <v>0</v>
      </c>
      <c r="L61" s="818">
        <f>'2. &amp; 7. T2 TULOSSUUN. '!M17/1000</f>
        <v>0</v>
      </c>
      <c r="M61" s="822">
        <f>'2. &amp; 7. T2 TULOSSUUN. '!N17</f>
        <v>0</v>
      </c>
      <c r="N61" s="818">
        <f>'2. &amp; 7. T2 TULOSSUUN. '!O17/1000</f>
        <v>0</v>
      </c>
      <c r="O61" s="1301">
        <f>'2. &amp; 7. T2 TULOSSUUN. '!P17</f>
        <v>0</v>
      </c>
      <c r="Q61" s="783" t="s">
        <v>345</v>
      </c>
      <c r="R61" s="709"/>
      <c r="S61" s="709"/>
      <c r="T61" s="806"/>
      <c r="U61" s="806"/>
      <c r="V61" s="839"/>
      <c r="W61" s="839"/>
      <c r="X61" s="839"/>
      <c r="Y61" s="839"/>
      <c r="AA61" s="2221" t="str">
        <f>'4. T7 LAINAT '!B40</f>
        <v xml:space="preserve"> UUDET OSAMAKSUVELAT</v>
      </c>
      <c r="AB61" s="2196" t="s">
        <v>545</v>
      </c>
      <c r="AC61" s="2197" t="s">
        <v>598</v>
      </c>
      <c r="AD61" s="2198" t="s">
        <v>123</v>
      </c>
      <c r="AE61" s="2139">
        <f>AE41</f>
        <v>2025</v>
      </c>
      <c r="AF61" s="2139"/>
      <c r="AG61" s="2140"/>
      <c r="AH61" s="2138">
        <f>AH41</f>
        <v>2026</v>
      </c>
      <c r="AI61" s="2139"/>
      <c r="AJ61" s="2140"/>
      <c r="AK61" s="2138">
        <f>AK41</f>
        <v>2027</v>
      </c>
      <c r="AL61" s="2139"/>
      <c r="AM61" s="2140"/>
      <c r="AN61" s="2139">
        <f>AN41</f>
        <v>2028</v>
      </c>
      <c r="AO61" s="2139"/>
      <c r="AP61" s="2139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</row>
    <row r="62" spans="2:54" ht="11.25" customHeight="1">
      <c r="B62" s="1285" t="s">
        <v>9</v>
      </c>
      <c r="C62" s="864" t="s">
        <v>83</v>
      </c>
      <c r="D62" s="818">
        <f>'2. &amp; 7. T2 TULOSSUUN. '!E18/1000</f>
        <v>0</v>
      </c>
      <c r="E62" s="822">
        <f>'2. &amp; 7. T2 TULOSSUUN. '!F18</f>
        <v>0</v>
      </c>
      <c r="F62" s="818">
        <f>'2. &amp; 7. T2 TULOSSUUN. '!G18/1000</f>
        <v>0</v>
      </c>
      <c r="G62" s="822">
        <f>'2. &amp; 7. T2 TULOSSUUN. '!H18</f>
        <v>0</v>
      </c>
      <c r="H62" s="818">
        <f>'2. &amp; 7. T2 TULOSSUUN. '!I18/1000</f>
        <v>0</v>
      </c>
      <c r="I62" s="822">
        <f>'2. &amp; 7. T2 TULOSSUUN. '!J18</f>
        <v>0</v>
      </c>
      <c r="J62" s="818">
        <f>'2. &amp; 7. T2 TULOSSUUN. '!K18/1000</f>
        <v>0</v>
      </c>
      <c r="K62" s="822">
        <f>'2. &amp; 7. T2 TULOSSUUN. '!L18</f>
        <v>0</v>
      </c>
      <c r="L62" s="818">
        <f>'2. &amp; 7. T2 TULOSSUUN. '!M18/1000</f>
        <v>0</v>
      </c>
      <c r="M62" s="822">
        <f>'2. &amp; 7. T2 TULOSSUUN. '!N18</f>
        <v>0</v>
      </c>
      <c r="N62" s="818">
        <f>'2. &amp; 7. T2 TULOSSUUN. '!O18/1000</f>
        <v>0</v>
      </c>
      <c r="O62" s="1301">
        <f>'2. &amp; 7. T2 TULOSSUUN. '!P18</f>
        <v>0</v>
      </c>
      <c r="Q62" s="807"/>
      <c r="R62" s="2207" t="s">
        <v>582</v>
      </c>
      <c r="S62" s="2207"/>
      <c r="T62" s="2207"/>
      <c r="U62" s="2208"/>
      <c r="V62" s="818">
        <f>('8. T4 RAHOITUSSUUN. '!H24+'8. T4 RAHOITUSSUUN. '!H25+'8. T4 RAHOITUSSUUN. '!H26+'8. T4 RAHOITUSSUUN. '!H27)/1000</f>
        <v>0</v>
      </c>
      <c r="W62" s="818">
        <f>('8. T4 RAHOITUSSUUN. '!I24+'8. T4 RAHOITUSSUUN. '!I25+'8. T4 RAHOITUSSUUN. '!I26+'8. T4 RAHOITUSSUUN. '!I27)/1000</f>
        <v>0</v>
      </c>
      <c r="X62" s="818">
        <f>('8. T4 RAHOITUSSUUN. '!J24+'8. T4 RAHOITUSSUUN. '!J25+'8. T4 RAHOITUSSUUN. '!J26+'8. T4 RAHOITUSSUUN. '!J27)/1000</f>
        <v>0</v>
      </c>
      <c r="Y62" s="818">
        <f>('8. T4 RAHOITUSSUUN. '!K24+'8. T4 RAHOITUSSUUN. '!K25+'8. T4 RAHOITUSSUUN. '!K26+'8. T4 RAHOITUSSUUN. '!K27)/1000</f>
        <v>0</v>
      </c>
      <c r="AA62" s="2221"/>
      <c r="AB62" s="2196"/>
      <c r="AC62" s="2197"/>
      <c r="AD62" s="2198"/>
      <c r="AE62" s="1278" t="s">
        <v>129</v>
      </c>
      <c r="AF62" s="1277" t="s">
        <v>134</v>
      </c>
      <c r="AG62" s="1566" t="s">
        <v>126</v>
      </c>
      <c r="AH62" s="1573" t="s">
        <v>129</v>
      </c>
      <c r="AI62" s="1277" t="s">
        <v>134</v>
      </c>
      <c r="AJ62" s="1566" t="s">
        <v>126</v>
      </c>
      <c r="AK62" s="1573" t="s">
        <v>129</v>
      </c>
      <c r="AL62" s="1277" t="s">
        <v>134</v>
      </c>
      <c r="AM62" s="1566" t="s">
        <v>126</v>
      </c>
      <c r="AN62" s="1278" t="s">
        <v>129</v>
      </c>
      <c r="AO62" s="1278" t="s">
        <v>134</v>
      </c>
      <c r="AP62" s="1279" t="s">
        <v>126</v>
      </c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</row>
    <row r="63" spans="2:54" ht="11.25" customHeight="1">
      <c r="B63" s="1285" t="s">
        <v>10</v>
      </c>
      <c r="C63" s="864" t="s">
        <v>95</v>
      </c>
      <c r="D63" s="818">
        <f>'2. &amp; 7. T2 TULOSSUUN. '!E19/1000</f>
        <v>0</v>
      </c>
      <c r="E63" s="822">
        <f>'2. &amp; 7. T2 TULOSSUUN. '!F19</f>
        <v>0</v>
      </c>
      <c r="F63" s="818">
        <f>'2. &amp; 7. T2 TULOSSUUN. '!G19/1000</f>
        <v>0</v>
      </c>
      <c r="G63" s="822">
        <f>'2. &amp; 7. T2 TULOSSUUN. '!H19</f>
        <v>0</v>
      </c>
      <c r="H63" s="818">
        <f>'2. &amp; 7. T2 TULOSSUUN. '!I19/1000</f>
        <v>0</v>
      </c>
      <c r="I63" s="822">
        <f>'2. &amp; 7. T2 TULOSSUUN. '!J19</f>
        <v>0</v>
      </c>
      <c r="J63" s="818">
        <f>'2. &amp; 7. T2 TULOSSUUN. '!K19/1000</f>
        <v>0</v>
      </c>
      <c r="K63" s="822">
        <f>'2. &amp; 7. T2 TULOSSUUN. '!L19</f>
        <v>0</v>
      </c>
      <c r="L63" s="818">
        <f>'2. &amp; 7. T2 TULOSSUUN. '!M19/1000</f>
        <v>0</v>
      </c>
      <c r="M63" s="822">
        <f>'2. &amp; 7. T2 TULOSSUUN. '!N19</f>
        <v>0</v>
      </c>
      <c r="N63" s="818">
        <f>'2. &amp; 7. T2 TULOSSUUN. '!O19/1000</f>
        <v>0</v>
      </c>
      <c r="O63" s="1301">
        <f>'2. &amp; 7. T2 TULOSSUUN. '!P19</f>
        <v>0</v>
      </c>
      <c r="Q63" s="807"/>
      <c r="R63" s="2123" t="s">
        <v>583</v>
      </c>
      <c r="S63" s="2123"/>
      <c r="T63" s="2123"/>
      <c r="U63" s="2124"/>
      <c r="V63" s="818">
        <f>'8. T4 RAHOITUSSUUN. '!H28/1000</f>
        <v>0</v>
      </c>
      <c r="W63" s="818">
        <f>'8. T4 RAHOITUSSUUN. '!I28/1000</f>
        <v>0</v>
      </c>
      <c r="X63" s="818">
        <f>'8. T4 RAHOITUSSUUN. '!J28/1000</f>
        <v>0</v>
      </c>
      <c r="Y63" s="818">
        <f>'8. T4 RAHOITUSSUUN. '!K28/1000</f>
        <v>0</v>
      </c>
      <c r="AA63" s="1541" t="str">
        <f>'4. T7 LAINAT '!B41</f>
        <v xml:space="preserve"> Rahoittaja/rahoitettava kohde 1. vuosi</v>
      </c>
      <c r="AB63" s="1562">
        <f>'4. T7 LAINAT '!C41/1000</f>
        <v>0</v>
      </c>
      <c r="AC63" s="860">
        <f>'4. T7 LAINAT '!D41</f>
        <v>0</v>
      </c>
      <c r="AD63" s="1528">
        <f>'4. T7 LAINAT '!E41*100</f>
        <v>0</v>
      </c>
      <c r="AE63" s="1372">
        <f>'4. T7 LAINAT '!F41/1000</f>
        <v>0</v>
      </c>
      <c r="AF63" s="818">
        <f>'4. T7 LAINAT '!G41/1000</f>
        <v>0</v>
      </c>
      <c r="AG63" s="1567">
        <f>'4. T7 LAINAT '!H41/1000</f>
        <v>0</v>
      </c>
      <c r="AH63" s="1574"/>
      <c r="AI63" s="818">
        <f>'4. T7 LAINAT '!J41/1000</f>
        <v>0</v>
      </c>
      <c r="AJ63" s="1567">
        <f>'4. T7 LAINAT '!K41/1000</f>
        <v>0</v>
      </c>
      <c r="AK63" s="1574"/>
      <c r="AL63" s="818">
        <f>'4. T7 LAINAT '!M41/1000</f>
        <v>0</v>
      </c>
      <c r="AM63" s="1567">
        <f>'4. T7 LAINAT '!N41/1000</f>
        <v>0</v>
      </c>
      <c r="AN63" s="1372"/>
      <c r="AO63" s="818">
        <f>'4. T7 LAINAT '!P41/1000</f>
        <v>0</v>
      </c>
      <c r="AP63" s="818">
        <f>'4. T7 LAINAT '!Q41/1000</f>
        <v>0</v>
      </c>
      <c r="AQ63" s="74"/>
      <c r="AT63" s="989"/>
      <c r="AU63" s="989"/>
      <c r="AV63" s="989"/>
      <c r="AW63" s="989"/>
      <c r="AX63" s="989"/>
      <c r="AY63" s="989"/>
      <c r="AZ63" s="989"/>
      <c r="BB63" s="152"/>
    </row>
    <row r="64" spans="2:54" ht="11.25" customHeight="1">
      <c r="B64" s="1285" t="s">
        <v>11</v>
      </c>
      <c r="C64" s="828" t="s">
        <v>85</v>
      </c>
      <c r="D64" s="829">
        <f>'2. &amp; 7. T2 TULOSSUUN. '!E20/1000</f>
        <v>0</v>
      </c>
      <c r="E64" s="1281">
        <f>'2. &amp; 7. T2 TULOSSUUN. '!F20</f>
        <v>0</v>
      </c>
      <c r="F64" s="829">
        <f>'2. &amp; 7. T2 TULOSSUUN. '!G20/1000</f>
        <v>0</v>
      </c>
      <c r="G64" s="1281">
        <f>'2. &amp; 7. T2 TULOSSUUN. '!H20</f>
        <v>0</v>
      </c>
      <c r="H64" s="829">
        <f>'2. &amp; 7. T2 TULOSSUUN. '!I20/1000</f>
        <v>0</v>
      </c>
      <c r="I64" s="1281">
        <f>'2. &amp; 7. T2 TULOSSUUN. '!J20</f>
        <v>0</v>
      </c>
      <c r="J64" s="829">
        <f>'2. &amp; 7. T2 TULOSSUUN. '!K20/1000</f>
        <v>0</v>
      </c>
      <c r="K64" s="1281">
        <f>'2. &amp; 7. T2 TULOSSUUN. '!L20</f>
        <v>0</v>
      </c>
      <c r="L64" s="829">
        <f>'2. &amp; 7. T2 TULOSSUUN. '!M20/1000</f>
        <v>0</v>
      </c>
      <c r="M64" s="1281">
        <f>'2. &amp; 7. T2 TULOSSUUN. '!N20</f>
        <v>0</v>
      </c>
      <c r="N64" s="829">
        <f>'2. &amp; 7. T2 TULOSSUUN. '!O20/1000</f>
        <v>0</v>
      </c>
      <c r="O64" s="1303">
        <f>'2. &amp; 7. T2 TULOSSUUN. '!P20</f>
        <v>0</v>
      </c>
      <c r="Q64" s="807"/>
      <c r="R64" s="2123" t="s">
        <v>584</v>
      </c>
      <c r="S64" s="2123"/>
      <c r="T64" s="2123"/>
      <c r="U64" s="2124"/>
      <c r="V64" s="818">
        <f>'8. T4 RAHOITUSSUUN. '!H29/1000</f>
        <v>0</v>
      </c>
      <c r="W64" s="818">
        <f>'8. T4 RAHOITUSSUUN. '!I29/1000</f>
        <v>0</v>
      </c>
      <c r="X64" s="818">
        <f>'8. T4 RAHOITUSSUUN. '!J29/1000</f>
        <v>0</v>
      </c>
      <c r="Y64" s="818">
        <f>'8. T4 RAHOITUSSUUN. '!K29/1000</f>
        <v>0</v>
      </c>
      <c r="AA64" s="1542" t="str">
        <f>'4. T7 LAINAT '!B42</f>
        <v xml:space="preserve"> Rahoittaja/rahoitettava kohde 2. vuosi</v>
      </c>
      <c r="AB64" s="1562">
        <f>'4. T7 LAINAT '!C42/1000</f>
        <v>0</v>
      </c>
      <c r="AC64" s="860">
        <f>'4. T7 LAINAT '!D42</f>
        <v>0</v>
      </c>
      <c r="AD64" s="1528">
        <f>'4. T7 LAINAT '!E42*100</f>
        <v>0</v>
      </c>
      <c r="AE64" s="1372"/>
      <c r="AF64" s="818"/>
      <c r="AG64" s="1567"/>
      <c r="AH64" s="1574">
        <f>'4. T7 LAINAT '!I42/1000</f>
        <v>0</v>
      </c>
      <c r="AI64" s="818">
        <f>'4. T7 LAINAT '!J42/1000</f>
        <v>0</v>
      </c>
      <c r="AJ64" s="1567">
        <f>'4. T7 LAINAT '!K42/1000</f>
        <v>0</v>
      </c>
      <c r="AK64" s="1574"/>
      <c r="AL64" s="818">
        <f>'4. T7 LAINAT '!M42/1000</f>
        <v>0</v>
      </c>
      <c r="AM64" s="1567">
        <f>'4. T7 LAINAT '!N42/1000</f>
        <v>0</v>
      </c>
      <c r="AN64" s="1372"/>
      <c r="AO64" s="818">
        <f>'4. T7 LAINAT '!P42/1000</f>
        <v>0</v>
      </c>
      <c r="AP64" s="818">
        <f>'4. T7 LAINAT '!Q42/1000</f>
        <v>0</v>
      </c>
    </row>
    <row r="65" spans="2:61" ht="11.25" customHeight="1">
      <c r="B65" s="1285" t="s">
        <v>168</v>
      </c>
      <c r="C65" s="864" t="s">
        <v>362</v>
      </c>
      <c r="D65" s="818">
        <f>'2. &amp; 7. T2 TULOSSUUN. '!E21/1000</f>
        <v>0</v>
      </c>
      <c r="E65" s="822">
        <f>'2. &amp; 7. T2 TULOSSUUN. '!F21</f>
        <v>0</v>
      </c>
      <c r="F65" s="818">
        <f>'2. &amp; 7. T2 TULOSSUUN. '!G21/1000</f>
        <v>0</v>
      </c>
      <c r="G65" s="822">
        <f>'2. &amp; 7. T2 TULOSSUUN. '!H21</f>
        <v>0</v>
      </c>
      <c r="H65" s="818">
        <f>'2. &amp; 7. T2 TULOSSUUN. '!I21/1000</f>
        <v>0</v>
      </c>
      <c r="I65" s="822">
        <f>'2. &amp; 7. T2 TULOSSUUN. '!J21</f>
        <v>0</v>
      </c>
      <c r="J65" s="818">
        <f>'2. &amp; 7. T2 TULOSSUUN. '!K21/1000</f>
        <v>0</v>
      </c>
      <c r="K65" s="822">
        <f>'2. &amp; 7. T2 TULOSSUUN. '!L21</f>
        <v>0</v>
      </c>
      <c r="L65" s="818">
        <f>'2. &amp; 7. T2 TULOSSUUN. '!M21/1000</f>
        <v>0</v>
      </c>
      <c r="M65" s="822">
        <f>'2. &amp; 7. T2 TULOSSUUN. '!N21</f>
        <v>0</v>
      </c>
      <c r="N65" s="818">
        <f>'2. &amp; 7. T2 TULOSSUUN. '!O21/1000</f>
        <v>0</v>
      </c>
      <c r="O65" s="1301">
        <f>'2. &amp; 7. T2 TULOSSUUN. '!P21</f>
        <v>0</v>
      </c>
      <c r="Q65" s="807"/>
      <c r="R65" s="2157" t="s">
        <v>585</v>
      </c>
      <c r="S65" s="2157"/>
      <c r="T65" s="2157"/>
      <c r="U65" s="2158"/>
      <c r="V65" s="818">
        <f>'8. T4 RAHOITUSSUUN. '!H30/1000</f>
        <v>0</v>
      </c>
      <c r="W65" s="818">
        <f>'8. T4 RAHOITUSSUUN. '!I30/1000</f>
        <v>0</v>
      </c>
      <c r="X65" s="818">
        <f>'8. T4 RAHOITUSSUUN. '!J30/1000</f>
        <v>0</v>
      </c>
      <c r="Y65" s="818">
        <f>'8. T4 RAHOITUSSUUN. '!K30/1000</f>
        <v>0</v>
      </c>
      <c r="AA65" s="1559" t="str">
        <f>'4. T7 LAINAT '!B43</f>
        <v xml:space="preserve"> Rahoittaja/rahoitettava kohde 3. vuosi</v>
      </c>
      <c r="AB65" s="1562">
        <f>'4. T7 LAINAT '!C43/1000</f>
        <v>0</v>
      </c>
      <c r="AC65" s="860">
        <f>'4. T7 LAINAT '!D43</f>
        <v>0</v>
      </c>
      <c r="AD65" s="1528">
        <f>'4. T7 LAINAT '!E43*100</f>
        <v>0</v>
      </c>
      <c r="AE65" s="1372"/>
      <c r="AF65" s="818"/>
      <c r="AG65" s="1567"/>
      <c r="AH65" s="1574"/>
      <c r="AI65" s="818"/>
      <c r="AJ65" s="1567"/>
      <c r="AK65" s="1574">
        <f>'4. T7 LAINAT '!L43/1000</f>
        <v>0</v>
      </c>
      <c r="AL65" s="818">
        <f>'4. T7 LAINAT '!M43/1000</f>
        <v>0</v>
      </c>
      <c r="AM65" s="1567">
        <f>'4. T7 LAINAT '!N43/1000</f>
        <v>0</v>
      </c>
      <c r="AN65" s="1372"/>
      <c r="AO65" s="818">
        <f>'4. T7 LAINAT '!P43/1000</f>
        <v>0</v>
      </c>
      <c r="AP65" s="818">
        <f>'4. T7 LAINAT '!Q43/1000</f>
        <v>0</v>
      </c>
    </row>
    <row r="66" spans="2:61" ht="11.25" customHeight="1" thickBot="1">
      <c r="B66" s="1285" t="s">
        <v>169</v>
      </c>
      <c r="C66" s="828" t="s">
        <v>363</v>
      </c>
      <c r="D66" s="829">
        <f>'2. &amp; 7. T2 TULOSSUUN. '!E22/1000</f>
        <v>0</v>
      </c>
      <c r="E66" s="1281">
        <f>'2. &amp; 7. T2 TULOSSUUN. '!F22</f>
        <v>0</v>
      </c>
      <c r="F66" s="829">
        <f>'2. &amp; 7. T2 TULOSSUUN. '!G22/1000</f>
        <v>0</v>
      </c>
      <c r="G66" s="1281">
        <f>'2. &amp; 7. T2 TULOSSUUN. '!H22</f>
        <v>0</v>
      </c>
      <c r="H66" s="829">
        <f>'2. &amp; 7. T2 TULOSSUUN. '!I22/1000</f>
        <v>0</v>
      </c>
      <c r="I66" s="1281">
        <f>'2. &amp; 7. T2 TULOSSUUN. '!J22</f>
        <v>0</v>
      </c>
      <c r="J66" s="829">
        <f>'2. &amp; 7. T2 TULOSSUUN. '!K22/1000</f>
        <v>0</v>
      </c>
      <c r="K66" s="1281">
        <f>'2. &amp; 7. T2 TULOSSUUN. '!L22</f>
        <v>0</v>
      </c>
      <c r="L66" s="829">
        <f>'2. &amp; 7. T2 TULOSSUUN. '!M22/1000</f>
        <v>0</v>
      </c>
      <c r="M66" s="1281">
        <f>'2. &amp; 7. T2 TULOSSUUN. '!N22</f>
        <v>0</v>
      </c>
      <c r="N66" s="829">
        <f>'2. &amp; 7. T2 TULOSSUUN. '!O22/1000</f>
        <v>0</v>
      </c>
      <c r="O66" s="1303">
        <f>'2. &amp; 7. T2 TULOSSUUN. '!P22</f>
        <v>0</v>
      </c>
      <c r="Q66" s="807"/>
      <c r="R66" s="2157" t="s">
        <v>586</v>
      </c>
      <c r="S66" s="2157"/>
      <c r="T66" s="2157"/>
      <c r="U66" s="2158"/>
      <c r="V66" s="818">
        <f>'8. T4 RAHOITUSSUUN. '!H31/1000+'8. T4 RAHOITUSSUUN. '!H32/1000</f>
        <v>0</v>
      </c>
      <c r="W66" s="818">
        <f>'8. T4 RAHOITUSSUUN. '!I31/1000+'8. T4 RAHOITUSSUUN. '!I32/1000</f>
        <v>0</v>
      </c>
      <c r="X66" s="818">
        <f>'8. T4 RAHOITUSSUUN. '!J31/1000+'8. T4 RAHOITUSSUUN. '!J32/1000</f>
        <v>0</v>
      </c>
      <c r="Y66" s="818">
        <f>'8. T4 RAHOITUSSUUN. '!K31/1000+'8. T4 RAHOITUSSUUN. '!K32/1000</f>
        <v>0</v>
      </c>
      <c r="AA66" s="1560" t="str">
        <f>'4. T7 LAINAT '!B44</f>
        <v xml:space="preserve"> Rahoittaja/rahoitettava kohde 4. vuosi</v>
      </c>
      <c r="AB66" s="1563">
        <f>'4. T7 LAINAT '!C44/1000</f>
        <v>0</v>
      </c>
      <c r="AC66" s="1175">
        <f>'4. T7 LAINAT '!D44</f>
        <v>0</v>
      </c>
      <c r="AD66" s="1529">
        <f>'4. T7 LAINAT '!E44*100</f>
        <v>0</v>
      </c>
      <c r="AE66" s="1373"/>
      <c r="AF66" s="1176"/>
      <c r="AG66" s="1568"/>
      <c r="AH66" s="1575"/>
      <c r="AI66" s="1176"/>
      <c r="AJ66" s="1568"/>
      <c r="AK66" s="1575"/>
      <c r="AL66" s="1176"/>
      <c r="AM66" s="1568"/>
      <c r="AN66" s="1373">
        <f>'4. T7 LAINAT '!O44/1000</f>
        <v>0</v>
      </c>
      <c r="AO66" s="1176">
        <f>'4. T7 LAINAT '!P44/1000</f>
        <v>0</v>
      </c>
      <c r="AP66" s="1176">
        <f>'4. T7 LAINAT '!Q44/1000</f>
        <v>0</v>
      </c>
    </row>
    <row r="67" spans="2:61" ht="11.25" customHeight="1" thickTop="1">
      <c r="B67" s="1285" t="s">
        <v>366</v>
      </c>
      <c r="C67" s="864" t="s">
        <v>97</v>
      </c>
      <c r="D67" s="818">
        <f>'2. &amp; 7. T2 TULOSSUUN. '!E23/1000</f>
        <v>0</v>
      </c>
      <c r="E67" s="822">
        <f>'2. &amp; 7. T2 TULOSSUUN. '!F23</f>
        <v>0</v>
      </c>
      <c r="F67" s="818">
        <f>'2. &amp; 7. T2 TULOSSUUN. '!G23/1000</f>
        <v>0</v>
      </c>
      <c r="G67" s="822">
        <f>'2. &amp; 7. T2 TULOSSUUN. '!H23</f>
        <v>0</v>
      </c>
      <c r="H67" s="818">
        <f>'2. &amp; 7. T2 TULOSSUUN. '!I23/1000</f>
        <v>0</v>
      </c>
      <c r="I67" s="822">
        <f>'2. &amp; 7. T2 TULOSSUUN. '!J23</f>
        <v>0</v>
      </c>
      <c r="J67" s="818">
        <f>'2. &amp; 7. T2 TULOSSUUN. '!K23/1000</f>
        <v>0</v>
      </c>
      <c r="K67" s="822">
        <f>'2. &amp; 7. T2 TULOSSUUN. '!L23</f>
        <v>0</v>
      </c>
      <c r="L67" s="818">
        <f>'2. &amp; 7. T2 TULOSSUUN. '!M23/1000</f>
        <v>0</v>
      </c>
      <c r="M67" s="822">
        <f>'2. &amp; 7. T2 TULOSSUUN. '!N23</f>
        <v>0</v>
      </c>
      <c r="N67" s="818">
        <f>'2. &amp; 7. T2 TULOSSUUN. '!O23/1000</f>
        <v>0</v>
      </c>
      <c r="O67" s="1301">
        <f>'2. &amp; 7. T2 TULOSSUUN. '!P23</f>
        <v>0</v>
      </c>
      <c r="Q67" s="807"/>
      <c r="R67" s="2123" t="s">
        <v>587</v>
      </c>
      <c r="S67" s="2123"/>
      <c r="T67" s="2123"/>
      <c r="U67" s="2124"/>
      <c r="V67" s="818">
        <f>'8. T4 RAHOITUSSUUN. '!H34/1000+'8. T4 RAHOITUSSUUN. '!H33/1000</f>
        <v>0</v>
      </c>
      <c r="W67" s="818">
        <f>'8. T4 RAHOITUSSUUN. '!I34/1000+'8. T4 RAHOITUSSUUN. '!I33/1000</f>
        <v>0</v>
      </c>
      <c r="X67" s="818">
        <f>'8. T4 RAHOITUSSUUN. '!J34/1000+'8. T4 RAHOITUSSUUN. '!J33/1000</f>
        <v>0</v>
      </c>
      <c r="Y67" s="818">
        <f>'8. T4 RAHOITUSSUUN. '!K34/1000+'8. T4 RAHOITUSSUUN. '!K33/1000</f>
        <v>0</v>
      </c>
      <c r="AA67" s="1561" t="str">
        <f>'4. T7 LAINAT '!B45</f>
        <v>Uudet osamaksuvelat yht.</v>
      </c>
      <c r="AB67" s="1564">
        <f>SUM(AB63:AB66)</f>
        <v>0</v>
      </c>
      <c r="AC67" s="1313">
        <v>0</v>
      </c>
      <c r="AD67" s="1565">
        <v>0</v>
      </c>
      <c r="AE67" s="1374">
        <f>'4. T7 LAINAT '!F45/1000</f>
        <v>0</v>
      </c>
      <c r="AF67" s="1314">
        <f t="shared" ref="AF67:AO67" si="4">SUM(AF63:AF66)</f>
        <v>0</v>
      </c>
      <c r="AG67" s="1569">
        <f t="shared" si="4"/>
        <v>0</v>
      </c>
      <c r="AH67" s="1576">
        <f t="shared" si="4"/>
        <v>0</v>
      </c>
      <c r="AI67" s="1314">
        <f t="shared" si="4"/>
        <v>0</v>
      </c>
      <c r="AJ67" s="1569">
        <f t="shared" si="4"/>
        <v>0</v>
      </c>
      <c r="AK67" s="1576">
        <f t="shared" si="4"/>
        <v>0</v>
      </c>
      <c r="AL67" s="1314">
        <f t="shared" si="4"/>
        <v>0</v>
      </c>
      <c r="AM67" s="1569">
        <f t="shared" si="4"/>
        <v>0</v>
      </c>
      <c r="AN67" s="1374">
        <f t="shared" si="4"/>
        <v>0</v>
      </c>
      <c r="AO67" s="1314">
        <f t="shared" si="4"/>
        <v>0</v>
      </c>
      <c r="AP67" s="1314">
        <f t="shared" ref="AP67" si="5">SUM(AP63:AP66)</f>
        <v>0</v>
      </c>
    </row>
    <row r="68" spans="2:61" ht="11.25" customHeight="1">
      <c r="B68" s="1285" t="s">
        <v>170</v>
      </c>
      <c r="C68" s="826" t="s">
        <v>364</v>
      </c>
      <c r="D68" s="818">
        <f>'2. &amp; 7. T2 TULOSSUUN. '!E24/1000</f>
        <v>0</v>
      </c>
      <c r="E68" s="822">
        <f>'2. &amp; 7. T2 TULOSSUUN. '!F24</f>
        <v>0</v>
      </c>
      <c r="F68" s="818">
        <f>'2. &amp; 7. T2 TULOSSUUN. '!G24/1000</f>
        <v>0</v>
      </c>
      <c r="G68" s="822">
        <f>'2. &amp; 7. T2 TULOSSUUN. '!H24</f>
        <v>0</v>
      </c>
      <c r="H68" s="818">
        <f>'2. &amp; 7. T2 TULOSSUUN. '!I24/1000</f>
        <v>0</v>
      </c>
      <c r="I68" s="822">
        <f>'2. &amp; 7. T2 TULOSSUUN. '!J24</f>
        <v>0</v>
      </c>
      <c r="J68" s="818">
        <f>'2. &amp; 7. T2 TULOSSUUN. '!K24/1000</f>
        <v>0</v>
      </c>
      <c r="K68" s="822">
        <f>'2. &amp; 7. T2 TULOSSUUN. '!L24</f>
        <v>0</v>
      </c>
      <c r="L68" s="818">
        <f>'2. &amp; 7. T2 TULOSSUUN. '!M24/1000</f>
        <v>0</v>
      </c>
      <c r="M68" s="822">
        <f>'2. &amp; 7. T2 TULOSSUUN. '!N24</f>
        <v>0</v>
      </c>
      <c r="N68" s="818">
        <f>'2. &amp; 7. T2 TULOSSUUN. '!O24/1000</f>
        <v>0</v>
      </c>
      <c r="O68" s="1301">
        <f>'2. &amp; 7. T2 TULOSSUUN. '!P24</f>
        <v>0</v>
      </c>
      <c r="Q68" s="807"/>
      <c r="R68" s="2123" t="s">
        <v>588</v>
      </c>
      <c r="S68" s="2123"/>
      <c r="T68" s="2123"/>
      <c r="U68" s="2124"/>
      <c r="V68" s="818">
        <f>'8. T4 RAHOITUSSUUN. '!H35/1000</f>
        <v>0</v>
      </c>
      <c r="W68" s="818">
        <f>'8. T4 RAHOITUSSUUN. '!I35/1000</f>
        <v>0</v>
      </c>
      <c r="X68" s="818">
        <f>'8. T4 RAHOITUSSUUN. '!J35/1000</f>
        <v>0</v>
      </c>
      <c r="Y68" s="818">
        <f>'8. T4 RAHOITUSSUUN. '!K35/1000</f>
        <v>0</v>
      </c>
      <c r="AA68" s="1585" t="str">
        <f>'4. T7 LAINAT '!B46</f>
        <v>Lyhytaikaisten lainojen korot</v>
      </c>
      <c r="AB68" s="1586">
        <f>'4. T7 LAINAT '!C46/1000</f>
        <v>0</v>
      </c>
      <c r="AC68" s="1585"/>
      <c r="AD68" s="1587">
        <f>'4. T7 LAINAT '!E46*100</f>
        <v>10</v>
      </c>
      <c r="AE68" s="859"/>
      <c r="AF68" s="859"/>
      <c r="AG68" s="1570">
        <f>'4. T7 LAINAT '!H46/1000</f>
        <v>0</v>
      </c>
      <c r="AH68" s="1577"/>
      <c r="AI68" s="859"/>
      <c r="AJ68" s="1570">
        <f>'4. T7 LAINAT '!K46/1000</f>
        <v>0</v>
      </c>
      <c r="AK68" s="1577"/>
      <c r="AL68" s="859"/>
      <c r="AM68" s="1570">
        <f>'4. T7 LAINAT '!N46/1000</f>
        <v>0</v>
      </c>
      <c r="AN68" s="859"/>
      <c r="AO68" s="859"/>
      <c r="AP68" s="1174">
        <f>'4. T7 LAINAT '!Q46/1000</f>
        <v>0</v>
      </c>
    </row>
    <row r="69" spans="2:61" ht="10.95" customHeight="1">
      <c r="B69" s="1285" t="s">
        <v>171</v>
      </c>
      <c r="C69" s="826" t="s">
        <v>365</v>
      </c>
      <c r="D69" s="818">
        <f>'2. &amp; 7. T2 TULOSSUUN. '!E25/1000</f>
        <v>0</v>
      </c>
      <c r="E69" s="822">
        <f>'2. &amp; 7. T2 TULOSSUUN. '!F25</f>
        <v>0</v>
      </c>
      <c r="F69" s="818">
        <f>'2. &amp; 7. T2 TULOSSUUN. '!G25/1000</f>
        <v>0</v>
      </c>
      <c r="G69" s="822">
        <f>'2. &amp; 7. T2 TULOSSUUN. '!H25</f>
        <v>0</v>
      </c>
      <c r="H69" s="818">
        <f>'2. &amp; 7. T2 TULOSSUUN. '!I25/1000</f>
        <v>0</v>
      </c>
      <c r="I69" s="822">
        <f>'2. &amp; 7. T2 TULOSSUUN. '!J25</f>
        <v>0</v>
      </c>
      <c r="J69" s="818">
        <f>'2. &amp; 7. T2 TULOSSUUN. '!K25/1000</f>
        <v>0</v>
      </c>
      <c r="K69" s="822">
        <f>'2. &amp; 7. T2 TULOSSUUN. '!L25</f>
        <v>0</v>
      </c>
      <c r="L69" s="818">
        <f>'2. &amp; 7. T2 TULOSSUUN. '!M25/1000</f>
        <v>0</v>
      </c>
      <c r="M69" s="822">
        <f>'2. &amp; 7. T2 TULOSSUUN. '!N25</f>
        <v>0</v>
      </c>
      <c r="N69" s="818">
        <f>'2. &amp; 7. T2 TULOSSUUN. '!O25/1000</f>
        <v>0</v>
      </c>
      <c r="O69" s="1301">
        <f>'2. &amp; 7. T2 TULOSSUUN. '!P25</f>
        <v>0</v>
      </c>
      <c r="Q69" s="807"/>
      <c r="R69" s="2123" t="s">
        <v>589</v>
      </c>
      <c r="S69" s="2123"/>
      <c r="T69" s="2123"/>
      <c r="U69" s="2124"/>
      <c r="V69" s="818">
        <f>'8. T4 RAHOITUSSUUN. '!H36/1000</f>
        <v>0</v>
      </c>
      <c r="W69" s="818">
        <f>'8. T4 RAHOITUSSUUN. '!I36/1000</f>
        <v>0</v>
      </c>
      <c r="X69" s="818">
        <f>'8. T4 RAHOITUSSUUN. '!J36/1000</f>
        <v>0</v>
      </c>
      <c r="Y69" s="818">
        <f>'8. T4 RAHOITUSSUUN. '!K36/1000</f>
        <v>0</v>
      </c>
      <c r="AA69" s="2161" t="str">
        <f>'4. T7 LAINAT '!B48</f>
        <v>Korot pitkäaikaisista veloista, ei velkakirjaa</v>
      </c>
      <c r="AB69" s="2161"/>
      <c r="AC69" s="2161"/>
      <c r="AD69" s="2162"/>
      <c r="AE69" s="859"/>
      <c r="AF69" s="859"/>
      <c r="AG69" s="1571">
        <f>'4. T7 LAINAT '!H48/1000</f>
        <v>0</v>
      </c>
      <c r="AH69" s="1577"/>
      <c r="AI69" s="859"/>
      <c r="AJ69" s="1571">
        <f>'4. T7 LAINAT '!K48/1000</f>
        <v>0</v>
      </c>
      <c r="AK69" s="1577"/>
      <c r="AL69" s="859"/>
      <c r="AM69" s="1571">
        <f>'4. T7 LAINAT '!N48/1000</f>
        <v>0</v>
      </c>
      <c r="AN69" s="859"/>
      <c r="AO69" s="859"/>
      <c r="AP69" s="829">
        <f>'4. T7 LAINAT '!Q48/1000</f>
        <v>0</v>
      </c>
    </row>
    <row r="70" spans="2:61" ht="11.25" customHeight="1">
      <c r="B70" s="2165" t="s">
        <v>172</v>
      </c>
      <c r="C70" s="2163" t="s">
        <v>86</v>
      </c>
      <c r="D70" s="829">
        <f>'2. &amp; 7. T2 TULOSSUUN. '!E26/1000</f>
        <v>0</v>
      </c>
      <c r="E70" s="1281">
        <f>'2. &amp; 7. T2 TULOSSUUN. '!F26</f>
        <v>0</v>
      </c>
      <c r="F70" s="829">
        <f>'2. &amp; 7. T2 TULOSSUUN. '!G26/1000</f>
        <v>0</v>
      </c>
      <c r="G70" s="1281">
        <f>'2. &amp; 7. T2 TULOSSUUN. '!H26</f>
        <v>0</v>
      </c>
      <c r="H70" s="829">
        <f>'2. &amp; 7. T2 TULOSSUUN. '!I26/1000</f>
        <v>0</v>
      </c>
      <c r="I70" s="1281">
        <f>'2. &amp; 7. T2 TULOSSUUN. '!J26</f>
        <v>0</v>
      </c>
      <c r="J70" s="829">
        <f>'2. &amp; 7. T2 TULOSSUUN. '!K26/1000</f>
        <v>0</v>
      </c>
      <c r="K70" s="1281">
        <f>'2. &amp; 7. T2 TULOSSUUN. '!L26</f>
        <v>0</v>
      </c>
      <c r="L70" s="829">
        <f>'2. &amp; 7. T2 TULOSSUUN. '!M26/1000</f>
        <v>0</v>
      </c>
      <c r="M70" s="1281">
        <f>'2. &amp; 7. T2 TULOSSUUN. '!N26</f>
        <v>0</v>
      </c>
      <c r="N70" s="829">
        <f>'2. &amp; 7. T2 TULOSSUUN. '!O26/1000</f>
        <v>0</v>
      </c>
      <c r="O70" s="1303">
        <f>'2. &amp; 7. T2 TULOSSUUN. '!P26</f>
        <v>0</v>
      </c>
      <c r="Q70" s="807"/>
      <c r="R70" s="2123" t="s">
        <v>590</v>
      </c>
      <c r="S70" s="2123"/>
      <c r="T70" s="2123"/>
      <c r="U70" s="2124"/>
      <c r="V70" s="818">
        <f>'8. T4 RAHOITUSSUUN. '!H37/1000</f>
        <v>0</v>
      </c>
      <c r="W70" s="818">
        <f>'8. T4 RAHOITUSSUUN. '!I37/1000</f>
        <v>0</v>
      </c>
      <c r="X70" s="818">
        <f>'8. T4 RAHOITUSSUUN. '!J37/1000</f>
        <v>0</v>
      </c>
      <c r="Y70" s="818">
        <f>'8. T4 RAHOITUSSUUN. '!K37/1000</f>
        <v>0</v>
      </c>
      <c r="AA70" s="1309" t="str">
        <f>'4. T7 LAINAT '!B49</f>
        <v>Lainojen toimitusmaksut, pankkitakausmaksut</v>
      </c>
      <c r="AB70" s="1310"/>
      <c r="AC70" s="1309"/>
      <c r="AD70" s="1588"/>
      <c r="AE70" s="1311"/>
      <c r="AF70" s="1311"/>
      <c r="AG70" s="1572">
        <f>'4. T7 LAINAT '!H49/1000</f>
        <v>0</v>
      </c>
      <c r="AH70" s="1578"/>
      <c r="AI70" s="1311"/>
      <c r="AJ70" s="1572">
        <f>'4. T7 LAINAT '!K49/1000</f>
        <v>0</v>
      </c>
      <c r="AK70" s="1578"/>
      <c r="AL70" s="1311"/>
      <c r="AM70" s="1572">
        <f>'4. T7 LAINAT '!N49/1000</f>
        <v>0</v>
      </c>
      <c r="AN70" s="1311"/>
      <c r="AO70" s="1311"/>
      <c r="AP70" s="1312">
        <f>'4. T7 LAINAT '!Q49/1000</f>
        <v>0</v>
      </c>
    </row>
    <row r="71" spans="2:61" ht="11.25" customHeight="1">
      <c r="B71" s="2166"/>
      <c r="C71" s="2164"/>
      <c r="D71" s="829"/>
      <c r="E71" s="1281"/>
      <c r="F71" s="829"/>
      <c r="G71" s="1281"/>
      <c r="H71" s="829"/>
      <c r="I71" s="1281"/>
      <c r="J71" s="829"/>
      <c r="K71" s="1281"/>
      <c r="L71" s="829"/>
      <c r="M71" s="1281"/>
      <c r="N71" s="829"/>
      <c r="O71" s="1303"/>
      <c r="Q71" s="807"/>
      <c r="R71" s="2123" t="s">
        <v>591</v>
      </c>
      <c r="S71" s="2123"/>
      <c r="T71" s="2123"/>
      <c r="U71" s="2124"/>
      <c r="V71" s="818">
        <f>'8. T4 RAHOITUSSUUN. '!H38/1000</f>
        <v>0</v>
      </c>
      <c r="W71" s="818">
        <f>'8. T4 RAHOITUSSUUN. '!I38/1000</f>
        <v>0</v>
      </c>
      <c r="X71" s="818">
        <f>'8. T4 RAHOITUSSUUN. '!J38/1000</f>
        <v>0</v>
      </c>
      <c r="Y71" s="818">
        <f>'8. T4 RAHOITUSSUUN. '!K38/1000</f>
        <v>0</v>
      </c>
      <c r="AA71" s="711"/>
      <c r="AB71" s="712"/>
      <c r="AC71" s="710"/>
      <c r="AD71" s="713"/>
      <c r="AE71" s="714"/>
      <c r="AF71" s="714"/>
      <c r="AG71" s="712"/>
      <c r="AH71" s="714"/>
      <c r="AI71" s="714"/>
      <c r="AJ71" s="712"/>
      <c r="AK71" s="714"/>
      <c r="AL71" s="714"/>
      <c r="AM71" s="712"/>
      <c r="AN71" s="714"/>
      <c r="AO71" s="714"/>
      <c r="AP71" s="712"/>
    </row>
    <row r="72" spans="2:61" ht="11.25" customHeight="1">
      <c r="B72" s="1285" t="s">
        <v>173</v>
      </c>
      <c r="C72" s="826" t="s">
        <v>87</v>
      </c>
      <c r="D72" s="818">
        <f>'2. &amp; 7. T2 TULOSSUUN. '!E27/1000</f>
        <v>0</v>
      </c>
      <c r="E72" s="822">
        <f>'2. &amp; 7. T2 TULOSSUUN. '!F27</f>
        <v>0</v>
      </c>
      <c r="F72" s="818">
        <f>'2. &amp; 7. T2 TULOSSUUN. '!G27/1000</f>
        <v>0</v>
      </c>
      <c r="G72" s="822">
        <f>'2. &amp; 7. T2 TULOSSUUN. '!H27</f>
        <v>0</v>
      </c>
      <c r="H72" s="818">
        <f>'2. &amp; 7. T2 TULOSSUUN. '!I27/1000</f>
        <v>0</v>
      </c>
      <c r="I72" s="822">
        <f>'2. &amp; 7. T2 TULOSSUUN. '!J27</f>
        <v>0</v>
      </c>
      <c r="J72" s="818">
        <f>'2. &amp; 7. T2 TULOSSUUN. '!K27/1000</f>
        <v>0</v>
      </c>
      <c r="K72" s="822">
        <f>'2. &amp; 7. T2 TULOSSUUN. '!L27</f>
        <v>0</v>
      </c>
      <c r="L72" s="818">
        <f>'2. &amp; 7. T2 TULOSSUUN. '!M27/1000</f>
        <v>0</v>
      </c>
      <c r="M72" s="822">
        <f>'2. &amp; 7. T2 TULOSSUUN. '!N27</f>
        <v>0</v>
      </c>
      <c r="N72" s="818">
        <f>'2. &amp; 7. T2 TULOSSUUN. '!O27/1000</f>
        <v>0</v>
      </c>
      <c r="O72" s="1301">
        <f>'2. &amp; 7. T2 TULOSSUUN. '!P27</f>
        <v>0</v>
      </c>
      <c r="Q72" s="807"/>
      <c r="R72" s="2123" t="s">
        <v>592</v>
      </c>
      <c r="S72" s="2123"/>
      <c r="T72" s="2123"/>
      <c r="U72" s="2124"/>
      <c r="V72" s="818">
        <f>'8. T4 RAHOITUSSUUN. '!H39/1000</f>
        <v>0</v>
      </c>
      <c r="W72" s="818">
        <f>'8. T4 RAHOITUSSUUN. '!I39/1000</f>
        <v>0</v>
      </c>
      <c r="X72" s="818">
        <f>'8. T4 RAHOITUSSUUN. '!J39/1000</f>
        <v>0</v>
      </c>
      <c r="Y72" s="818">
        <f>'8. T4 RAHOITUSSUUN. '!K39/1000</f>
        <v>0</v>
      </c>
      <c r="AA72" s="1628" t="str">
        <f>'4. T7 LAINAT '!B50</f>
        <v>KAIKKI YHTEENSÄ</v>
      </c>
      <c r="AB72" s="1377">
        <f>'4. T7 LAINAT '!C50/1000</f>
        <v>0</v>
      </c>
      <c r="AC72" s="1375"/>
      <c r="AD72" s="1580"/>
      <c r="AE72" s="1579">
        <f>'4. T7 LAINAT '!F50/1000</f>
        <v>0</v>
      </c>
      <c r="AF72" s="1376">
        <f>'4. T7 LAINAT '!G50/1000</f>
        <v>0</v>
      </c>
      <c r="AG72" s="1581">
        <f>'4. T7 LAINAT '!H50/1000</f>
        <v>0</v>
      </c>
      <c r="AH72" s="1377">
        <f>'4. T7 LAINAT '!I50/1000</f>
        <v>0</v>
      </c>
      <c r="AI72" s="1376">
        <f>'4. T7 LAINAT '!J50/1000</f>
        <v>0</v>
      </c>
      <c r="AJ72" s="1581">
        <f>'4. T7 LAINAT '!K50/1000</f>
        <v>0</v>
      </c>
      <c r="AK72" s="1377">
        <f>'4. T7 LAINAT '!L50/1000</f>
        <v>0</v>
      </c>
      <c r="AL72" s="1376">
        <f>'4. T7 LAINAT '!M50/1000</f>
        <v>0</v>
      </c>
      <c r="AM72" s="1582">
        <f>'4. T7 LAINAT '!N50/1000</f>
        <v>0</v>
      </c>
      <c r="AN72" s="1377">
        <f>'4. T7 LAINAT '!O50/1000</f>
        <v>0</v>
      </c>
      <c r="AO72" s="1376">
        <f>'4. T7 LAINAT '!P50/1000</f>
        <v>0</v>
      </c>
      <c r="AP72" s="1627">
        <f>'4. T7 LAINAT '!Q50/1000</f>
        <v>0</v>
      </c>
    </row>
    <row r="73" spans="2:61" ht="11.25" customHeight="1">
      <c r="B73" s="1285" t="s">
        <v>174</v>
      </c>
      <c r="C73" s="826" t="s">
        <v>106</v>
      </c>
      <c r="D73" s="818">
        <f>'2. &amp; 7. T2 TULOSSUUN. '!E29/1000</f>
        <v>0</v>
      </c>
      <c r="E73" s="822">
        <f>'2. &amp; 7. T2 TULOSSUUN. '!F28</f>
        <v>0</v>
      </c>
      <c r="F73" s="818">
        <f>'2. &amp; 7. T2 TULOSSUUN. '!G29/1000</f>
        <v>0</v>
      </c>
      <c r="G73" s="822">
        <f>'2. &amp; 7. T2 TULOSSUUN. '!H28</f>
        <v>0</v>
      </c>
      <c r="H73" s="818">
        <f>'2. &amp; 7. T2 TULOSSUUN. '!I29/1000</f>
        <v>0</v>
      </c>
      <c r="I73" s="822">
        <f>'2. &amp; 7. T2 TULOSSUUN. '!J28</f>
        <v>0</v>
      </c>
      <c r="J73" s="818">
        <f>'2. &amp; 7. T2 TULOSSUUN. '!K29/1000</f>
        <v>0</v>
      </c>
      <c r="K73" s="822">
        <f>'2. &amp; 7. T2 TULOSSUUN. '!L28</f>
        <v>0</v>
      </c>
      <c r="L73" s="818">
        <f>'2. &amp; 7. T2 TULOSSUUN. '!M29/1000</f>
        <v>0</v>
      </c>
      <c r="M73" s="822">
        <f>'2. &amp; 7. T2 TULOSSUUN. '!N28</f>
        <v>0</v>
      </c>
      <c r="N73" s="818">
        <f>'2. &amp; 7. T2 TULOSSUUN. '!O29/1000</f>
        <v>0</v>
      </c>
      <c r="O73" s="1301">
        <f>'2. &amp; 7. T2 TULOSSUUN. '!P28</f>
        <v>0</v>
      </c>
      <c r="Q73" s="807"/>
      <c r="R73" s="2123" t="s">
        <v>593</v>
      </c>
      <c r="S73" s="2123"/>
      <c r="T73" s="2123"/>
      <c r="U73" s="2124"/>
      <c r="V73" s="818">
        <f>'8. T4 RAHOITUSSUUN. '!H40/1000</f>
        <v>0</v>
      </c>
      <c r="W73" s="818">
        <f>'8. T4 RAHOITUSSUUN. '!I40/1000</f>
        <v>0</v>
      </c>
      <c r="X73" s="818">
        <f>'8. T4 RAHOITUSSUUN. '!J40/1000</f>
        <v>0</v>
      </c>
      <c r="Y73" s="818">
        <f>'8. T4 RAHOITUSSUUN. '!K40/1000</f>
        <v>0</v>
      </c>
    </row>
    <row r="74" spans="2:61" ht="11.25" customHeight="1">
      <c r="B74" s="1285" t="s">
        <v>175</v>
      </c>
      <c r="C74" s="826" t="s">
        <v>430</v>
      </c>
      <c r="D74" s="818">
        <f>'2. &amp; 7. T2 TULOSSUUN. '!E30/1000</f>
        <v>0</v>
      </c>
      <c r="E74" s="822">
        <f>'2. &amp; 7. T2 TULOSSUUN. '!F29</f>
        <v>0</v>
      </c>
      <c r="F74" s="818">
        <f>'2. &amp; 7. T2 TULOSSUUN. '!G30/1000</f>
        <v>0</v>
      </c>
      <c r="G74" s="822">
        <f>'2. &amp; 7. T2 TULOSSUUN. '!H29</f>
        <v>0</v>
      </c>
      <c r="H74" s="818">
        <f>'2. &amp; 7. T2 TULOSSUUN. '!I30/1000</f>
        <v>0</v>
      </c>
      <c r="I74" s="822">
        <f>'2. &amp; 7. T2 TULOSSUUN. '!J29</f>
        <v>0</v>
      </c>
      <c r="J74" s="818">
        <f>'2. &amp; 7. T2 TULOSSUUN. '!K30/1000</f>
        <v>0</v>
      </c>
      <c r="K74" s="822">
        <f>'2. &amp; 7. T2 TULOSSUUN. '!L29</f>
        <v>0</v>
      </c>
      <c r="L74" s="818">
        <f>'2. &amp; 7. T2 TULOSSUUN. '!M30/1000</f>
        <v>0</v>
      </c>
      <c r="M74" s="822">
        <f>'2. &amp; 7. T2 TULOSSUUN. '!N29</f>
        <v>0</v>
      </c>
      <c r="N74" s="818">
        <f>'2. &amp; 7. T2 TULOSSUUN. '!O30/1000</f>
        <v>0</v>
      </c>
      <c r="O74" s="1301">
        <f>'2. &amp; 7. T2 TULOSSUUN. '!P29</f>
        <v>0</v>
      </c>
      <c r="Q74" s="807"/>
      <c r="R74" s="2123" t="s">
        <v>594</v>
      </c>
      <c r="S74" s="2123"/>
      <c r="T74" s="2123"/>
      <c r="U74" s="2124"/>
      <c r="V74" s="818">
        <f>'8. T4 RAHOITUSSUUN. '!H41/1000</f>
        <v>0</v>
      </c>
      <c r="W74" s="818">
        <f>'8. T4 RAHOITUSSUUN. '!I41/1000</f>
        <v>0</v>
      </c>
      <c r="X74" s="818">
        <f>'8. T4 RAHOITUSSUUN. '!J41/1000</f>
        <v>0</v>
      </c>
      <c r="Y74" s="818">
        <f>'8. T4 RAHOITUSSUUN. '!K41/1000</f>
        <v>0</v>
      </c>
      <c r="AG74" s="37"/>
    </row>
    <row r="75" spans="2:61" ht="11.25" customHeight="1">
      <c r="B75" s="1285" t="s">
        <v>439</v>
      </c>
      <c r="C75" s="828" t="s">
        <v>91</v>
      </c>
      <c r="D75" s="829">
        <f>'2. &amp; 7. T2 TULOSSUUN. '!E31/1000</f>
        <v>0</v>
      </c>
      <c r="E75" s="1281">
        <f>'2. &amp; 7. T2 TULOSSUUN. '!F30</f>
        <v>0</v>
      </c>
      <c r="F75" s="829">
        <f>'2. &amp; 7. T2 TULOSSUUN. '!G31/1000</f>
        <v>0</v>
      </c>
      <c r="G75" s="1281">
        <f>'2. &amp; 7. T2 TULOSSUUN. '!H30</f>
        <v>0</v>
      </c>
      <c r="H75" s="829">
        <f>'2. &amp; 7. T2 TULOSSUUN. '!I31/1000</f>
        <v>0</v>
      </c>
      <c r="I75" s="1281">
        <f>'2. &amp; 7. T2 TULOSSUUN. '!J30</f>
        <v>0</v>
      </c>
      <c r="J75" s="829">
        <f>'2. &amp; 7. T2 TULOSSUUN. '!K31/1000</f>
        <v>0</v>
      </c>
      <c r="K75" s="822">
        <f>'2. &amp; 7. T2 TULOSSUUN. '!L30</f>
        <v>0</v>
      </c>
      <c r="L75" s="829">
        <f>'2. &amp; 7. T2 TULOSSUUN. '!M31/1000</f>
        <v>0</v>
      </c>
      <c r="M75" s="1281">
        <f>'2. &amp; 7. T2 TULOSSUUN. '!N30</f>
        <v>0</v>
      </c>
      <c r="N75" s="829">
        <f>'2. &amp; 7. T2 TULOSSUUN. '!O31/1000</f>
        <v>0</v>
      </c>
      <c r="O75" s="1303">
        <f>'2. &amp; 7. T2 TULOSSUUN. '!P30</f>
        <v>0</v>
      </c>
      <c r="Q75" s="807"/>
      <c r="R75" s="2123" t="s">
        <v>595</v>
      </c>
      <c r="S75" s="2123"/>
      <c r="T75" s="2123"/>
      <c r="U75" s="2124"/>
      <c r="V75" s="818">
        <f>'8. T4 RAHOITUSSUUN. '!H42/1000</f>
        <v>0</v>
      </c>
      <c r="W75" s="818">
        <f>'8. T4 RAHOITUSSUUN. '!I42/1000</f>
        <v>0</v>
      </c>
      <c r="X75" s="818">
        <f>'8. T4 RAHOITUSSUUN. '!J42/1000</f>
        <v>0</v>
      </c>
      <c r="Y75" s="818">
        <f>'8. T4 RAHOITUSSUUN. '!K42/1000</f>
        <v>0</v>
      </c>
    </row>
    <row r="76" spans="2:61" ht="10.95" customHeight="1">
      <c r="B76" s="1291"/>
      <c r="C76" s="826" t="s">
        <v>102</v>
      </c>
      <c r="D76" s="2115">
        <f>'2. &amp; 7. T2 TULOSSUUN. '!E33</f>
        <v>1</v>
      </c>
      <c r="E76" s="2116"/>
      <c r="F76" s="2115">
        <f>'2. &amp; 7. T2 TULOSSUUN. '!G33</f>
        <v>1</v>
      </c>
      <c r="G76" s="2116"/>
      <c r="H76" s="2115">
        <f>'2. &amp; 7. T2 TULOSSUUN. '!I33</f>
        <v>1</v>
      </c>
      <c r="I76" s="2116"/>
      <c r="J76" s="2115">
        <f>'2. &amp; 7. T2 TULOSSUUN. '!K33</f>
        <v>1</v>
      </c>
      <c r="K76" s="2116"/>
      <c r="L76" s="2115">
        <f>'2. &amp; 7. T2 TULOSSUUN. '!M33</f>
        <v>1</v>
      </c>
      <c r="M76" s="2116"/>
      <c r="N76" s="2115">
        <f>'2. &amp; 7. T2 TULOSSUUN. '!O33</f>
        <v>1</v>
      </c>
      <c r="O76" s="2117"/>
      <c r="Q76" s="830"/>
      <c r="R76" s="835" t="s">
        <v>596</v>
      </c>
      <c r="S76" s="835"/>
      <c r="T76" s="847">
        <v>0</v>
      </c>
      <c r="U76" s="827"/>
      <c r="V76" s="829">
        <f>'8. T4 RAHOITUSSUUN. '!H43/1000</f>
        <v>0</v>
      </c>
      <c r="W76" s="829">
        <f>'8. T4 RAHOITUSSUUN. '!I43/1000</f>
        <v>0</v>
      </c>
      <c r="X76" s="829">
        <f>'8. T4 RAHOITUSSUUN. '!J43/1000</f>
        <v>0</v>
      </c>
      <c r="Y76" s="829">
        <f>'8. T4 RAHOITUSSUUN. '!K43/1000</f>
        <v>0</v>
      </c>
    </row>
    <row r="77" spans="2:61" ht="12" customHeight="1">
      <c r="B77" s="1286"/>
      <c r="C77" s="1304" t="s">
        <v>525</v>
      </c>
      <c r="D77" s="2118">
        <f>'8. T4 RAHOITUSSUUN. '!P14</f>
        <v>0</v>
      </c>
      <c r="E77" s="2119"/>
      <c r="F77" s="2118">
        <f>'8. T4 RAHOITUSSUUN. '!Q14</f>
        <v>0</v>
      </c>
      <c r="G77" s="2119"/>
      <c r="H77" s="2118">
        <f>'8. T4 RAHOITUSSUUN. '!R14</f>
        <v>0</v>
      </c>
      <c r="I77" s="2119"/>
      <c r="J77" s="2118">
        <f>'8. T4 RAHOITUSSUUN. '!S14</f>
        <v>0</v>
      </c>
      <c r="K77" s="2119"/>
      <c r="L77" s="2118">
        <f>'8. T4 RAHOITUSSUUN. '!T14</f>
        <v>0</v>
      </c>
      <c r="M77" s="2119"/>
      <c r="N77" s="2118">
        <f>'8. T4 RAHOITUSSUUN. '!U14</f>
        <v>0</v>
      </c>
      <c r="O77" s="2120"/>
      <c r="Q77" s="862"/>
      <c r="R77" s="2167" t="str">
        <f>'8. T4 RAHOITUSSUUN. '!C44</f>
        <v>Kassan riittävyys / Muut kiinteät kulut (pv)</v>
      </c>
      <c r="S77" s="2167"/>
      <c r="T77" s="2167"/>
      <c r="U77" s="2168"/>
      <c r="V77" s="840">
        <f>'8. T4 RAHOITUSSUUN. '!H44</f>
        <v>0</v>
      </c>
      <c r="W77" s="840">
        <f>'8. T4 RAHOITUSSUUN. '!I44</f>
        <v>0</v>
      </c>
      <c r="X77" s="840">
        <f>'8. T4 RAHOITUSSUUN. '!J44</f>
        <v>0</v>
      </c>
      <c r="Y77" s="840">
        <f>'8. T4 RAHOITUSSUUN. '!K44</f>
        <v>0</v>
      </c>
      <c r="AA77" s="43"/>
    </row>
    <row r="78" spans="2:61" ht="12.75" customHeight="1">
      <c r="Q78" s="2150"/>
      <c r="R78" s="2150"/>
      <c r="S78" s="2150"/>
      <c r="AA78" s="2201"/>
      <c r="AB78" s="2201"/>
      <c r="AC78" s="2201"/>
      <c r="AD78" s="2201"/>
    </row>
    <row r="79" spans="2:61" ht="11.25" customHeight="1">
      <c r="BF79" s="2188" t="s">
        <v>0</v>
      </c>
      <c r="BG79" s="2188"/>
      <c r="BH79" s="2188"/>
      <c r="BI79" s="2188"/>
    </row>
    <row r="80" spans="2:61" ht="11.25" customHeight="1">
      <c r="B80" s="1750" t="str">
        <f>OHJE!I5</f>
        <v>Yritystulkin tarjoaa</v>
      </c>
      <c r="C80" s="1750"/>
      <c r="I80" s="1746"/>
      <c r="J80" s="1746"/>
      <c r="K80" s="1746"/>
      <c r="L80" s="1746"/>
      <c r="M80" s="1746"/>
      <c r="N80" s="1746"/>
      <c r="O80" s="1746"/>
      <c r="P80" s="720"/>
      <c r="Q80" s="1383"/>
      <c r="R80" s="1385" t="str">
        <f>OHJE!I5</f>
        <v>Yritystulkin tarjoaa</v>
      </c>
      <c r="S80" s="1383"/>
      <c r="T80" s="717"/>
      <c r="U80" s="717"/>
      <c r="V80" s="718"/>
      <c r="W80" s="2159"/>
      <c r="X80" s="2159"/>
      <c r="Y80" s="2159"/>
      <c r="Z80" s="719"/>
      <c r="AA80" s="1750" t="str">
        <f>OHJE!I5</f>
        <v>Yritystulkin tarjoaa</v>
      </c>
      <c r="AB80" s="1750"/>
      <c r="AK80" s="1746"/>
      <c r="AL80" s="1746"/>
      <c r="AM80" s="1746"/>
      <c r="AN80" s="1746"/>
      <c r="AO80" s="1746"/>
      <c r="AP80" s="1746"/>
      <c r="AR80" s="50" t="str">
        <f>OHJE!I5</f>
        <v>Yritystulkin tarjoaa</v>
      </c>
      <c r="AW80" s="1743"/>
      <c r="AX80" s="1743"/>
      <c r="AY80" s="1743"/>
      <c r="AZ80" s="721"/>
      <c r="BA80" s="721"/>
      <c r="BB80" s="721"/>
      <c r="BC80" s="721"/>
      <c r="BD80" s="721"/>
      <c r="BE80" s="721"/>
      <c r="BF80" s="721"/>
      <c r="BG80" s="721"/>
      <c r="BH80" s="721"/>
      <c r="BI80" s="721"/>
    </row>
    <row r="81" spans="2:61" ht="10.95" customHeight="1">
      <c r="B81" s="976" t="str">
        <f>OHJE!H7</f>
        <v>Invest Lapua</v>
      </c>
      <c r="C81" s="260"/>
      <c r="D81" s="260"/>
      <c r="E81" s="260"/>
      <c r="F81" s="1382"/>
      <c r="G81" s="1382"/>
      <c r="H81" s="1382"/>
      <c r="I81" s="1382"/>
      <c r="J81" s="2179" t="str">
        <f>OHJE!G24</f>
        <v>YT22 Toimivan yrityksen tulossuunnitelma</v>
      </c>
      <c r="K81" s="2179"/>
      <c r="L81" s="2179"/>
      <c r="M81" s="2179"/>
      <c r="N81" s="2179"/>
      <c r="O81" s="2179"/>
      <c r="Q81" s="709"/>
      <c r="R81" s="2149" t="str">
        <f>OHJE!H7</f>
        <v>Invest Lapua</v>
      </c>
      <c r="S81" s="2149"/>
      <c r="T81" s="2149"/>
      <c r="U81" s="2149"/>
      <c r="V81" s="2149"/>
      <c r="W81" s="2179" t="str">
        <f>OHJE!G24</f>
        <v>YT22 Toimivan yrityksen tulossuunnitelma</v>
      </c>
      <c r="X81" s="2179"/>
      <c r="Y81" s="2179"/>
      <c r="AA81" s="2149" t="str">
        <f>OHJE!H7</f>
        <v>Invest Lapua</v>
      </c>
      <c r="AB81" s="2149"/>
      <c r="AC81" s="2149"/>
      <c r="AD81" s="2149"/>
      <c r="AE81" s="2149"/>
      <c r="AF81" s="2149"/>
      <c r="AG81" s="2149"/>
      <c r="AH81" s="2149"/>
      <c r="AI81" s="2149"/>
      <c r="AJ81" s="2149"/>
      <c r="AK81" s="1743" t="str">
        <f>OHJE!G24</f>
        <v>YT22 Toimivan yrityksen tulossuunnitelma</v>
      </c>
      <c r="AL81" s="1743"/>
      <c r="AM81" s="1743"/>
      <c r="AN81" s="1743"/>
      <c r="AO81" s="1743"/>
      <c r="AP81" s="1743"/>
      <c r="AR81" s="2150" t="str">
        <f>OHJE!H7</f>
        <v>Invest Lapua</v>
      </c>
      <c r="AS81" s="2150"/>
      <c r="AT81" s="2150"/>
      <c r="AU81" s="2150"/>
      <c r="AV81" s="2150"/>
      <c r="AW81" s="1743" t="str">
        <f>OHJE!G24</f>
        <v>YT22 Toimivan yrityksen tulossuunnitelma</v>
      </c>
      <c r="AX81" s="1743"/>
      <c r="AY81" s="1743"/>
      <c r="AZ81" s="721"/>
      <c r="BA81" s="721"/>
      <c r="BB81" s="721"/>
      <c r="BC81" s="721"/>
      <c r="BD81" s="721"/>
      <c r="BE81" s="721"/>
      <c r="BF81" s="721"/>
      <c r="BG81" s="721"/>
      <c r="BH81" s="721"/>
      <c r="BI81" s="721"/>
    </row>
    <row r="82" spans="2:61" ht="11.25" customHeight="1">
      <c r="AY82" s="721">
        <f>AM82</f>
        <v>0</v>
      </c>
      <c r="AZ82" s="721"/>
      <c r="BA82" s="721"/>
      <c r="BB82" s="721"/>
      <c r="BC82" s="721"/>
      <c r="BD82" s="721"/>
      <c r="BE82" s="721"/>
      <c r="BF82" s="721"/>
      <c r="BG82" s="721"/>
      <c r="BH82" s="721"/>
      <c r="BI82" s="721"/>
    </row>
    <row r="83" spans="2:61" ht="11.25" customHeight="1"/>
    <row r="84" spans="2:61" ht="11.25" customHeight="1"/>
    <row r="85" spans="2:61" ht="11.25" customHeight="1"/>
    <row r="86" spans="2:61" ht="11.25" customHeight="1">
      <c r="U86">
        <v>0</v>
      </c>
    </row>
    <row r="87" spans="2:61" ht="11.25" customHeight="1"/>
    <row r="88" spans="2:61" ht="11.25" customHeight="1"/>
    <row r="89" spans="2:61" ht="11.25" customHeight="1"/>
    <row r="90" spans="2:61" ht="11.25" customHeight="1"/>
    <row r="91" spans="2:61" ht="11.25" customHeight="1"/>
    <row r="92" spans="2:61" ht="11.25" customHeight="1"/>
    <row r="93" spans="2:61" ht="11.25" customHeight="1"/>
    <row r="94" spans="2:61" s="50" customFormat="1" ht="11.25" customHeight="1">
      <c r="AQ94"/>
      <c r="AR94"/>
      <c r="AS94"/>
      <c r="AT94"/>
      <c r="AU94"/>
      <c r="AV94"/>
      <c r="AW94"/>
      <c r="AX94"/>
      <c r="AY94"/>
      <c r="AZ94"/>
      <c r="BA94"/>
      <c r="BB94"/>
    </row>
    <row r="95" spans="2:61" ht="11.25" customHeight="1"/>
    <row r="96" spans="2:61" ht="11.25" customHeight="1"/>
    <row r="97" spans="43:54" s="50" customFormat="1" ht="11.25" customHeight="1">
      <c r="AQ97"/>
      <c r="AR97"/>
      <c r="AS97"/>
      <c r="AT97"/>
      <c r="AU97"/>
      <c r="AV97"/>
      <c r="AW97"/>
      <c r="AX97"/>
      <c r="AY97"/>
      <c r="AZ97"/>
      <c r="BA97"/>
      <c r="BB97"/>
    </row>
    <row r="98" spans="43:54" ht="11.25" customHeight="1"/>
    <row r="99" spans="43:54" ht="11.25" customHeight="1"/>
    <row r="100" spans="43:54" ht="11.25" customHeight="1"/>
    <row r="101" spans="43:54" ht="11.25" customHeight="1"/>
    <row r="102" spans="43:54" ht="11.25" customHeight="1"/>
    <row r="103" spans="43:54" ht="11.25" customHeight="1"/>
    <row r="104" spans="43:54" ht="11.25" customHeight="1"/>
    <row r="105" spans="43:54" ht="11.25" customHeight="1"/>
    <row r="106" spans="43:54" ht="11.25" customHeight="1"/>
    <row r="107" spans="43:54" ht="11.25" customHeight="1"/>
    <row r="108" spans="43:54" ht="11.25" customHeight="1"/>
    <row r="109" spans="43:54" ht="11.25" customHeight="1"/>
    <row r="110" spans="43:54" ht="11.25" customHeight="1"/>
    <row r="111" spans="43:54" ht="11.25" customHeight="1"/>
    <row r="112" spans="43:54" ht="11.25" customHeight="1">
      <c r="AQ112" s="50" t="s">
        <v>519</v>
      </c>
      <c r="AT112" s="152" t="str">
        <f>OHJE!H7</f>
        <v>Invest Lapua</v>
      </c>
      <c r="AU112" s="152"/>
      <c r="AV112" s="152"/>
      <c r="AW112" s="152"/>
      <c r="AX112" s="152"/>
      <c r="AY112" s="152"/>
      <c r="AZ112" s="152"/>
      <c r="BA112" s="152"/>
      <c r="BB112" s="152"/>
    </row>
    <row r="113" ht="11.25" customHeight="1"/>
    <row r="114" ht="11.25" customHeight="1"/>
    <row r="115" ht="11.25" customHeight="1"/>
    <row r="116" ht="11.25" customHeight="1"/>
    <row r="117" ht="11.25" customHeight="1"/>
    <row r="118" ht="11.25" customHeight="1"/>
    <row r="119" ht="11.25" customHeight="1"/>
    <row r="120" ht="11.25" customHeight="1"/>
    <row r="121" ht="11.25" customHeight="1"/>
    <row r="122" ht="11.25" customHeight="1"/>
    <row r="123" ht="11.25" customHeight="1"/>
    <row r="124" s="50" customFormat="1" ht="11.25" customHeight="1"/>
    <row r="125" ht="11.25" customHeight="1"/>
    <row r="126" ht="11.25" customHeight="1"/>
    <row r="127" ht="11.25" customHeight="1"/>
    <row r="128" ht="11.25" customHeight="1"/>
    <row r="129" ht="4.5" customHeight="1"/>
    <row r="130" ht="10.5" customHeight="1"/>
    <row r="131" ht="10.5" customHeight="1"/>
    <row r="132" ht="11.25" customHeight="1"/>
    <row r="133" ht="11.25" customHeight="1"/>
    <row r="134" ht="11.25" customHeight="1"/>
    <row r="135" ht="11.25" customHeight="1"/>
    <row r="136" ht="11.25" customHeight="1"/>
    <row r="137" ht="11.25" customHeight="1"/>
    <row r="138" ht="11.25" customHeight="1"/>
    <row r="139" ht="11.25" customHeight="1"/>
    <row r="140" ht="11.25" customHeight="1"/>
    <row r="141" ht="11.25" customHeight="1"/>
    <row r="142" ht="11.25" customHeight="1"/>
    <row r="143" ht="11.25" customHeight="1"/>
    <row r="144" ht="11.25" customHeight="1"/>
    <row r="145" ht="11.25" customHeight="1"/>
    <row r="146" ht="11.25" customHeight="1"/>
    <row r="147" ht="11.25" customHeight="1"/>
    <row r="148" ht="11.25" customHeight="1"/>
    <row r="149" ht="11.25" customHeight="1"/>
    <row r="150" ht="11.25" customHeight="1"/>
    <row r="151" ht="11.25" customHeight="1"/>
    <row r="152" ht="11.25" customHeight="1"/>
    <row r="153" ht="11.25" customHeight="1"/>
    <row r="154" ht="11.25" customHeight="1"/>
    <row r="155" ht="11.25" customHeight="1"/>
    <row r="156" ht="5.25" customHeight="1"/>
    <row r="157" ht="11.25" customHeight="1"/>
    <row r="158" ht="12" customHeight="1"/>
    <row r="159" ht="12" customHeight="1"/>
    <row r="160" ht="13.2" customHeight="1"/>
    <row r="161" spans="18:19" ht="12" customHeight="1"/>
    <row r="162" spans="18:19" ht="11.25" customHeight="1"/>
    <row r="163" spans="18:19" ht="9.75" customHeight="1"/>
    <row r="164" spans="18:19">
      <c r="R164" s="37"/>
      <c r="S164" s="37"/>
    </row>
    <row r="177" ht="10.95" customHeight="1"/>
    <row r="181" ht="11.7" customHeight="1"/>
    <row r="196" spans="17:21" ht="4.2" customHeight="1"/>
    <row r="197" spans="17:21" ht="12" customHeight="1"/>
    <row r="198" spans="17:21" ht="12" customHeight="1"/>
    <row r="199" spans="17:21" ht="15" customHeight="1">
      <c r="Q199" s="38"/>
      <c r="R199" s="38">
        <f>'8. T4 RAHOITUSSUUN. '!AB43</f>
        <v>0</v>
      </c>
      <c r="S199" s="38"/>
      <c r="T199" s="38"/>
      <c r="U199" s="38"/>
    </row>
    <row r="200" spans="17:21" ht="15" customHeight="1"/>
    <row r="201" spans="17:21" ht="15" customHeight="1"/>
    <row r="202" spans="17:21" ht="15" customHeight="1"/>
    <row r="203" spans="17:21" ht="15" customHeight="1"/>
    <row r="204" spans="17:21" ht="15" customHeight="1"/>
    <row r="205" spans="17:21" ht="15" customHeight="1"/>
    <row r="206" spans="17:21" ht="15" customHeight="1"/>
    <row r="207" spans="17:21" ht="15" customHeight="1"/>
    <row r="208" spans="17:21" ht="15" customHeight="1"/>
    <row r="209" ht="15" customHeight="1"/>
    <row r="210" ht="15" customHeight="1"/>
    <row r="211" ht="15" customHeight="1"/>
  </sheetData>
  <sheetProtection algorithmName="SHA-512" hashValue="EyvSdL//ZoK3x8BqnqVbZRgwzm1kYJzhWej6QNNFDH0DtVxqj0RB530rWdXHb6jE7qad/KUhJYSouc37CH5Alg==" saltValue="ZPusydcW8sCxgqYDKwD8Tw==" spinCount="100000" sheet="1" objects="1" scenarios="1" selectLockedCells="1"/>
  <mergeCells count="287">
    <mergeCell ref="B33:C34"/>
    <mergeCell ref="M41:O41"/>
    <mergeCell ref="K40:K41"/>
    <mergeCell ref="B42:C42"/>
    <mergeCell ref="D51:E51"/>
    <mergeCell ref="F51:G51"/>
    <mergeCell ref="L51:M51"/>
    <mergeCell ref="N51:O51"/>
    <mergeCell ref="B51:C53"/>
    <mergeCell ref="D52:E52"/>
    <mergeCell ref="F52:G52"/>
    <mergeCell ref="J51:K51"/>
    <mergeCell ref="I33:O34"/>
    <mergeCell ref="AN28:AO28"/>
    <mergeCell ref="AI10:AJ10"/>
    <mergeCell ref="AK28:AL28"/>
    <mergeCell ref="AH29:AI29"/>
    <mergeCell ref="AH30:AI30"/>
    <mergeCell ref="AH31:AI31"/>
    <mergeCell ref="AN32:AO32"/>
    <mergeCell ref="AM17:AN17"/>
    <mergeCell ref="AM18:AN18"/>
    <mergeCell ref="AO18:AP18"/>
    <mergeCell ref="AG10:AH10"/>
    <mergeCell ref="AG11:AH11"/>
    <mergeCell ref="AG12:AH12"/>
    <mergeCell ref="AG19:AH19"/>
    <mergeCell ref="AH26:AJ26"/>
    <mergeCell ref="AH27:AJ27"/>
    <mergeCell ref="AI18:AJ18"/>
    <mergeCell ref="AN30:AO30"/>
    <mergeCell ref="AN31:AO31"/>
    <mergeCell ref="AN27:AP27"/>
    <mergeCell ref="AK12:AL12"/>
    <mergeCell ref="AK18:AL18"/>
    <mergeCell ref="AK27:AM27"/>
    <mergeCell ref="AW5:AW6"/>
    <mergeCell ref="AX5:AX6"/>
    <mergeCell ref="AY5:AY6"/>
    <mergeCell ref="AA8:AD8"/>
    <mergeCell ref="AE5:AF5"/>
    <mergeCell ref="AG5:AH5"/>
    <mergeCell ref="AI5:AJ5"/>
    <mergeCell ref="AK5:AL5"/>
    <mergeCell ref="AM5:AN5"/>
    <mergeCell ref="AO5:AP5"/>
    <mergeCell ref="AA5:AD6"/>
    <mergeCell ref="AO7:AP7"/>
    <mergeCell ref="AM7:AN7"/>
    <mergeCell ref="AK7:AL7"/>
    <mergeCell ref="AI7:AJ7"/>
    <mergeCell ref="AO6:AP6"/>
    <mergeCell ref="AM6:AN6"/>
    <mergeCell ref="AK6:AL6"/>
    <mergeCell ref="AO8:AP8"/>
    <mergeCell ref="AG8:AH8"/>
    <mergeCell ref="AI8:AJ8"/>
    <mergeCell ref="AU5:AU6"/>
    <mergeCell ref="AR5:AS7"/>
    <mergeCell ref="AV5:AV6"/>
    <mergeCell ref="AT5:AT6"/>
    <mergeCell ref="B2:C2"/>
    <mergeCell ref="H14:H15"/>
    <mergeCell ref="I14:O15"/>
    <mergeCell ref="I6:O6"/>
    <mergeCell ref="I7:O7"/>
    <mergeCell ref="G6:H6"/>
    <mergeCell ref="E4:F4"/>
    <mergeCell ref="I5:O5"/>
    <mergeCell ref="B6:F6"/>
    <mergeCell ref="B8:H8"/>
    <mergeCell ref="B14:C15"/>
    <mergeCell ref="AM10:AN10"/>
    <mergeCell ref="AO12:AP12"/>
    <mergeCell ref="AI11:AJ11"/>
    <mergeCell ref="AO13:AP13"/>
    <mergeCell ref="AM15:AN15"/>
    <mergeCell ref="B9:D9"/>
    <mergeCell ref="AI9:AJ9"/>
    <mergeCell ref="AI6:AJ6"/>
    <mergeCell ref="AE8:AF8"/>
    <mergeCell ref="Q2:R2"/>
    <mergeCell ref="AA2:AB2"/>
    <mergeCell ref="Q4:S4"/>
    <mergeCell ref="AE10:AF10"/>
    <mergeCell ref="Q5:R6"/>
    <mergeCell ref="AI12:AJ12"/>
    <mergeCell ref="AI19:AJ19"/>
    <mergeCell ref="AA23:AB23"/>
    <mergeCell ref="AA61:AA62"/>
    <mergeCell ref="AH32:AI32"/>
    <mergeCell ref="AH33:AI33"/>
    <mergeCell ref="AH34:AI34"/>
    <mergeCell ref="AC40:AC42"/>
    <mergeCell ref="R57:U57"/>
    <mergeCell ref="Q51:S52"/>
    <mergeCell ref="AG14:AH14"/>
    <mergeCell ref="Q24:S24"/>
    <mergeCell ref="AA25:AA27"/>
    <mergeCell ref="Q26:S27"/>
    <mergeCell ref="R49:S49"/>
    <mergeCell ref="Q3:S3"/>
    <mergeCell ref="AE29:AF29"/>
    <mergeCell ref="AE24:AP25"/>
    <mergeCell ref="AM8:AN8"/>
    <mergeCell ref="AK36:AL36"/>
    <mergeCell ref="R62:U62"/>
    <mergeCell ref="R64:U64"/>
    <mergeCell ref="R65:U65"/>
    <mergeCell ref="I8:O8"/>
    <mergeCell ref="I9:O9"/>
    <mergeCell ref="I10:O10"/>
    <mergeCell ref="AK8:AL8"/>
    <mergeCell ref="AK9:AL9"/>
    <mergeCell ref="AE11:AF11"/>
    <mergeCell ref="AE12:AF12"/>
    <mergeCell ref="AE13:AF13"/>
    <mergeCell ref="AE14:AF14"/>
    <mergeCell ref="AA17:AD17"/>
    <mergeCell ref="AA15:AD15"/>
    <mergeCell ref="AA13:AD13"/>
    <mergeCell ref="I11:O11"/>
    <mergeCell ref="I12:O12"/>
    <mergeCell ref="AN38:AO38"/>
    <mergeCell ref="H51:I51"/>
    <mergeCell ref="AW80:AY80"/>
    <mergeCell ref="AK81:AP81"/>
    <mergeCell ref="AW81:AY81"/>
    <mergeCell ref="BF79:BI79"/>
    <mergeCell ref="AB25:AB28"/>
    <mergeCell ref="AC25:AC28"/>
    <mergeCell ref="AD25:AD28"/>
    <mergeCell ref="AB40:AB42"/>
    <mergeCell ref="AH28:AI28"/>
    <mergeCell ref="AE40:AG40"/>
    <mergeCell ref="AH40:AJ40"/>
    <mergeCell ref="AB61:AB62"/>
    <mergeCell ref="AC61:AC62"/>
    <mergeCell ref="AD61:AD62"/>
    <mergeCell ref="AE61:AG61"/>
    <mergeCell ref="AH61:AJ61"/>
    <mergeCell ref="AK61:AM61"/>
    <mergeCell ref="AN61:AP61"/>
    <mergeCell ref="AN26:AP26"/>
    <mergeCell ref="AK26:AM26"/>
    <mergeCell ref="AE28:AF28"/>
    <mergeCell ref="AA78:AD78"/>
    <mergeCell ref="AN29:AO29"/>
    <mergeCell ref="AD40:AD42"/>
    <mergeCell ref="AK41:AM41"/>
    <mergeCell ref="AE31:AF31"/>
    <mergeCell ref="AE32:AF32"/>
    <mergeCell ref="AE33:AF33"/>
    <mergeCell ref="AE34:AF34"/>
    <mergeCell ref="AK33:AL33"/>
    <mergeCell ref="AK34:AL34"/>
    <mergeCell ref="AE27:AG27"/>
    <mergeCell ref="AI15:AJ15"/>
    <mergeCell ref="AE26:AG26"/>
    <mergeCell ref="AE30:AF30"/>
    <mergeCell ref="AK15:AL15"/>
    <mergeCell ref="AE36:AF36"/>
    <mergeCell ref="AH36:AI36"/>
    <mergeCell ref="AE35:AF35"/>
    <mergeCell ref="AH35:AI35"/>
    <mergeCell ref="AK35:AL35"/>
    <mergeCell ref="AK17:AL17"/>
    <mergeCell ref="AI17:AJ17"/>
    <mergeCell ref="AE19:AF19"/>
    <mergeCell ref="AI16:AJ16"/>
    <mergeCell ref="J81:O81"/>
    <mergeCell ref="W81:Y81"/>
    <mergeCell ref="AO10:AP10"/>
    <mergeCell ref="AM19:AN19"/>
    <mergeCell ref="AO19:AP19"/>
    <mergeCell ref="AI13:AJ13"/>
    <mergeCell ref="AK13:AL13"/>
    <mergeCell ref="AM13:AN13"/>
    <mergeCell ref="AO17:AP17"/>
    <mergeCell ref="AK19:AL19"/>
    <mergeCell ref="AO11:AP11"/>
    <mergeCell ref="AK11:AL11"/>
    <mergeCell ref="AM11:AN11"/>
    <mergeCell ref="AI14:AJ14"/>
    <mergeCell ref="AK14:AL14"/>
    <mergeCell ref="AM14:AN14"/>
    <mergeCell ref="AO14:AP14"/>
    <mergeCell ref="AM12:AN12"/>
    <mergeCell ref="AO16:AP16"/>
    <mergeCell ref="AK10:AL10"/>
    <mergeCell ref="AK16:AL16"/>
    <mergeCell ref="AM16:AN16"/>
    <mergeCell ref="AA10:AD10"/>
    <mergeCell ref="R68:U68"/>
    <mergeCell ref="R63:U63"/>
    <mergeCell ref="R70:U70"/>
    <mergeCell ref="R71:U71"/>
    <mergeCell ref="R72:U72"/>
    <mergeCell ref="R73:U73"/>
    <mergeCell ref="H52:I52"/>
    <mergeCell ref="J52:K52"/>
    <mergeCell ref="L52:M52"/>
    <mergeCell ref="N52:O52"/>
    <mergeCell ref="AN41:AP41"/>
    <mergeCell ref="AK40:AM40"/>
    <mergeCell ref="AN40:AP40"/>
    <mergeCell ref="B80:C80"/>
    <mergeCell ref="AA80:AB80"/>
    <mergeCell ref="R74:U74"/>
    <mergeCell ref="R75:U75"/>
    <mergeCell ref="R59:U59"/>
    <mergeCell ref="I80:O80"/>
    <mergeCell ref="W80:Y80"/>
    <mergeCell ref="AH41:AJ41"/>
    <mergeCell ref="AK80:AP80"/>
    <mergeCell ref="Q78:S78"/>
    <mergeCell ref="AA69:AD69"/>
    <mergeCell ref="C70:C71"/>
    <mergeCell ref="B70:B71"/>
    <mergeCell ref="R77:U77"/>
    <mergeCell ref="R58:U58"/>
    <mergeCell ref="I42:J43"/>
    <mergeCell ref="I44:J45"/>
    <mergeCell ref="I46:J47"/>
    <mergeCell ref="I48:J49"/>
    <mergeCell ref="R66:U66"/>
    <mergeCell ref="R69:U69"/>
    <mergeCell ref="R81:V81"/>
    <mergeCell ref="AA81:AJ81"/>
    <mergeCell ref="AR81:AV81"/>
    <mergeCell ref="B10:H12"/>
    <mergeCell ref="AR2:AR3"/>
    <mergeCell ref="AE15:AF15"/>
    <mergeCell ref="AG15:AH15"/>
    <mergeCell ref="AE16:AF16"/>
    <mergeCell ref="AG16:AH16"/>
    <mergeCell ref="AE17:AF17"/>
    <mergeCell ref="AG17:AH17"/>
    <mergeCell ref="AE18:AF18"/>
    <mergeCell ref="AG18:AH18"/>
    <mergeCell ref="AE6:AF6"/>
    <mergeCell ref="AG6:AH6"/>
    <mergeCell ref="AE7:AF7"/>
    <mergeCell ref="AG7:AH7"/>
    <mergeCell ref="AE9:AF9"/>
    <mergeCell ref="AG9:AH9"/>
    <mergeCell ref="AO15:AP15"/>
    <mergeCell ref="AN33:AO33"/>
    <mergeCell ref="AN34:AO34"/>
    <mergeCell ref="AK29:AL29"/>
    <mergeCell ref="AK30:AL30"/>
    <mergeCell ref="AO9:AP9"/>
    <mergeCell ref="AM9:AN9"/>
    <mergeCell ref="AG13:AH13"/>
    <mergeCell ref="R67:U67"/>
    <mergeCell ref="M42:O43"/>
    <mergeCell ref="M44:O45"/>
    <mergeCell ref="M46:O47"/>
    <mergeCell ref="M48:O49"/>
    <mergeCell ref="K42:K43"/>
    <mergeCell ref="K44:K45"/>
    <mergeCell ref="K46:K47"/>
    <mergeCell ref="K48:K49"/>
    <mergeCell ref="L42:L43"/>
    <mergeCell ref="L44:L45"/>
    <mergeCell ref="L46:L47"/>
    <mergeCell ref="L48:L49"/>
    <mergeCell ref="AE41:AG41"/>
    <mergeCell ref="AE38:AF38"/>
    <mergeCell ref="AH38:AI38"/>
    <mergeCell ref="AK38:AL38"/>
    <mergeCell ref="AK31:AL31"/>
    <mergeCell ref="AK32:AL32"/>
    <mergeCell ref="AN35:AO35"/>
    <mergeCell ref="AN36:AO36"/>
    <mergeCell ref="D76:E76"/>
    <mergeCell ref="F76:G76"/>
    <mergeCell ref="H76:I76"/>
    <mergeCell ref="J76:K76"/>
    <mergeCell ref="L76:M76"/>
    <mergeCell ref="N76:O76"/>
    <mergeCell ref="D77:E77"/>
    <mergeCell ref="F77:G77"/>
    <mergeCell ref="H77:I77"/>
    <mergeCell ref="J77:K77"/>
    <mergeCell ref="L77:M77"/>
    <mergeCell ref="N77:O77"/>
  </mergeCells>
  <conditionalFormatting sqref="AT10:AY10">
    <cfRule type="containsText" dxfId="27" priority="33" operator="containsText" text="Hyvä">
      <formula>NOT(ISERROR(SEARCH("Hyvä",AT10)))</formula>
    </cfRule>
    <cfRule type="containsText" dxfId="26" priority="34" operator="containsText" text="Tyydyttävä">
      <formula>NOT(ISERROR(SEARCH("Tyydyttävä",AT10)))</formula>
    </cfRule>
    <cfRule type="containsText" dxfId="25" priority="35" operator="containsText" text="Heikko">
      <formula>NOT(ISERROR(SEARCH("Heikko",AT10)))</formula>
    </cfRule>
    <cfRule type="containsText" dxfId="24" priority="45" operator="containsText" text="Hyvä">
      <formula>NOT(ISERROR(SEARCH("Hyvä",AT10)))</formula>
    </cfRule>
    <cfRule type="containsText" dxfId="23" priority="46" operator="containsText" text="Tyydyttävä">
      <formula>NOT(ISERROR(SEARCH("Tyydyttävä",AT10)))</formula>
    </cfRule>
    <cfRule type="containsText" dxfId="22" priority="47" operator="containsText" text="Heikko">
      <formula>NOT(ISERROR(SEARCH("Heikko",AT10)))</formula>
    </cfRule>
  </conditionalFormatting>
  <conditionalFormatting sqref="AT12:AY12">
    <cfRule type="containsText" dxfId="21" priority="27" operator="containsText" text="Hyvä">
      <formula>NOT(ISERROR(SEARCH("Hyvä",AT12)))</formula>
    </cfRule>
    <cfRule type="containsText" dxfId="20" priority="28" operator="containsText" text="Tyydyttävä">
      <formula>NOT(ISERROR(SEARCH("Tyydyttävä",AT12)))</formula>
    </cfRule>
    <cfRule type="containsText" dxfId="19" priority="29" operator="containsText" text="Heikko">
      <formula>NOT(ISERROR(SEARCH("Heikko",AT12)))</formula>
    </cfRule>
    <cfRule type="containsText" dxfId="18" priority="30" operator="containsText" text="Hyvä">
      <formula>NOT(ISERROR(SEARCH("Hyvä",AT12)))</formula>
    </cfRule>
    <cfRule type="containsText" dxfId="17" priority="31" operator="containsText" text="Tyydyttävä">
      <formula>NOT(ISERROR(SEARCH("Tyydyttävä",AT12)))</formula>
    </cfRule>
    <cfRule type="containsText" dxfId="16" priority="32" operator="containsText" text="Heikko">
      <formula>NOT(ISERROR(SEARCH("Heikko",AT12)))</formula>
    </cfRule>
  </conditionalFormatting>
  <conditionalFormatting sqref="AT15:AY15">
    <cfRule type="containsText" dxfId="15" priority="21" operator="containsText" text="Hyvä">
      <formula>NOT(ISERROR(SEARCH("Hyvä",AT15)))</formula>
    </cfRule>
    <cfRule type="containsText" dxfId="14" priority="22" operator="containsText" text="Tyydyttävä">
      <formula>NOT(ISERROR(SEARCH("Tyydyttävä",AT15)))</formula>
    </cfRule>
    <cfRule type="containsText" dxfId="13" priority="23" operator="containsText" text="Heikko">
      <formula>NOT(ISERROR(SEARCH("Heikko",AT15)))</formula>
    </cfRule>
    <cfRule type="containsText" dxfId="12" priority="24" operator="containsText" text="Hyvä">
      <formula>NOT(ISERROR(SEARCH("Hyvä",AT15)))</formula>
    </cfRule>
    <cfRule type="containsText" dxfId="11" priority="25" operator="containsText" text="Tyydyttävä">
      <formula>NOT(ISERROR(SEARCH("Tyydyttävä",AT15)))</formula>
    </cfRule>
    <cfRule type="containsText" dxfId="10" priority="26" operator="containsText" text="Heikko">
      <formula>NOT(ISERROR(SEARCH("Heikko",AT15)))</formula>
    </cfRule>
  </conditionalFormatting>
  <conditionalFormatting sqref="AT18:AY18">
    <cfRule type="containsText" dxfId="9" priority="3" operator="containsText" text="Hyvä">
      <formula>NOT(ISERROR(SEARCH("Hyvä",AT18)))</formula>
    </cfRule>
    <cfRule type="containsText" dxfId="8" priority="4" operator="containsText" text="Tyydyttävä">
      <formula>NOT(ISERROR(SEARCH("Tyydyttävä",AT18)))</formula>
    </cfRule>
    <cfRule type="containsText" dxfId="7" priority="5" operator="containsText" text="Heikko">
      <formula>NOT(ISERROR(SEARCH("Heikko",AT18)))</formula>
    </cfRule>
  </conditionalFormatting>
  <conditionalFormatting sqref="AT20:AY20">
    <cfRule type="containsText" dxfId="6" priority="1" operator="containsText" text="Hyvä">
      <formula>NOT(ISERROR(SEARCH("Hyvä",AT20)))</formula>
    </cfRule>
    <cfRule type="containsText" dxfId="5" priority="2" operator="containsText" text="Nettovelaton">
      <formula>NOT(ISERROR(SEARCH("Nettovelaton",AT20)))</formula>
    </cfRule>
    <cfRule type="containsText" dxfId="4" priority="6" operator="containsText" text="Heikko">
      <formula>NOT(ISERROR(SEARCH("Heikko",AT20)))</formula>
    </cfRule>
    <cfRule type="containsText" dxfId="3" priority="7" operator="containsText" text="Hyvä">
      <formula>NOT(ISERROR(SEARCH("Hyvä",AT20)))</formula>
    </cfRule>
  </conditionalFormatting>
  <conditionalFormatting sqref="AU18:AY18">
    <cfRule type="containsText" dxfId="2" priority="18" operator="containsText" text="Hyvä">
      <formula>NOT(ISERROR(SEARCH("Hyvä",AU18)))</formula>
    </cfRule>
    <cfRule type="containsText" dxfId="1" priority="19" operator="containsText" text="Tyydyttävä">
      <formula>NOT(ISERROR(SEARCH("Tyydyttävä",AU18)))</formula>
    </cfRule>
    <cfRule type="containsText" dxfId="0" priority="20" operator="containsText" text="Heikko">
      <formula>NOT(ISERROR(SEARCH("Heikko",AU18)))</formula>
    </cfRule>
  </conditionalFormatting>
  <printOptions horizontalCentered="1" verticalCentered="1"/>
  <pageMargins left="0.23622047244094491" right="0.23622047244094491" top="0.39370078740157483" bottom="0.35433070866141736" header="0.31496062992125984" footer="0.31496062992125984"/>
  <pageSetup paperSize="9" scale="85" orientation="portrait" r:id="rId1"/>
  <headerFooter alignWithMargins="0"/>
  <rowBreaks count="1" manualBreakCount="1">
    <brk id="1" min="16" max="29" man="1"/>
  </rowBreaks>
  <colBreaks count="3" manualBreakCount="3">
    <brk id="15" min="1" max="80" man="1"/>
    <brk id="25" min="1" max="80" man="1"/>
    <brk id="42" min="1" max="80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C9075-8025-40BB-BF3E-EB3FCB30FFC3}">
  <dimension ref="B2:E9"/>
  <sheetViews>
    <sheetView workbookViewId="0">
      <selection activeCell="C10" sqref="C10"/>
    </sheetView>
  </sheetViews>
  <sheetFormatPr defaultRowHeight="12.45"/>
  <cols>
    <col min="2" max="3" width="10.3046875" customWidth="1"/>
    <col min="4" max="4" width="11.3046875" customWidth="1"/>
    <col min="5" max="5" width="54.3046875" customWidth="1"/>
  </cols>
  <sheetData>
    <row r="2" spans="2:5">
      <c r="B2" t="s">
        <v>680</v>
      </c>
      <c r="C2" t="s">
        <v>678</v>
      </c>
      <c r="D2" t="s">
        <v>679</v>
      </c>
      <c r="E2" t="s">
        <v>681</v>
      </c>
    </row>
    <row r="3" spans="2:5">
      <c r="B3" s="15">
        <v>44420</v>
      </c>
      <c r="C3" t="s">
        <v>682</v>
      </c>
      <c r="D3" t="s">
        <v>683</v>
      </c>
      <c r="E3" t="s">
        <v>684</v>
      </c>
    </row>
    <row r="4" spans="2:5">
      <c r="B4" s="15">
        <v>44497</v>
      </c>
      <c r="C4" s="476" t="s">
        <v>686</v>
      </c>
      <c r="D4" s="476" t="s">
        <v>687</v>
      </c>
      <c r="E4" s="476" t="s">
        <v>688</v>
      </c>
    </row>
    <row r="5" spans="2:5">
      <c r="C5" s="476" t="s">
        <v>689</v>
      </c>
      <c r="E5" s="476" t="s">
        <v>690</v>
      </c>
    </row>
    <row r="6" spans="2:5">
      <c r="C6" s="476" t="s">
        <v>691</v>
      </c>
      <c r="E6" s="476" t="s">
        <v>692</v>
      </c>
    </row>
    <row r="7" spans="2:5">
      <c r="C7" s="476" t="s">
        <v>693</v>
      </c>
      <c r="E7" s="476" t="s">
        <v>694</v>
      </c>
    </row>
    <row r="8" spans="2:5">
      <c r="C8" s="476" t="s">
        <v>695</v>
      </c>
      <c r="E8" s="476" t="s">
        <v>696</v>
      </c>
    </row>
    <row r="9" spans="2:5">
      <c r="C9" s="476" t="s">
        <v>695</v>
      </c>
      <c r="E9" s="476" t="s">
        <v>697</v>
      </c>
    </row>
  </sheetData>
  <sheetProtection algorithmName="SHA-512" hashValue="hN4oWbi3V8MTPIAHt3hBUBAKciN9jayHbkPCq/JvBzLuos6SAbG3refqcrjeSbWmIYhwDiYgA5DCDdjetrVYdg==" saltValue="bq3j/dMKbArkPQXg0ZsPig==" spinCount="100000" sheet="1" objects="1" scenarios="1" selectLockedCells="1" selectUnlockedCells="1"/>
  <phoneticPr fontId="6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ul81"/>
  <dimension ref="A1:V54"/>
  <sheetViews>
    <sheetView zoomScaleNormal="100" workbookViewId="0">
      <selection activeCell="O5" sqref="O5"/>
    </sheetView>
  </sheetViews>
  <sheetFormatPr defaultRowHeight="12.45"/>
  <cols>
    <col min="2" max="2" width="41" customWidth="1"/>
    <col min="7" max="7" width="4.84375" customWidth="1"/>
    <col min="9" max="9" width="31.07421875" customWidth="1"/>
    <col min="10" max="10" width="7.3046875" customWidth="1"/>
  </cols>
  <sheetData>
    <row r="1" spans="1:22" ht="12.9" thickBot="1"/>
    <row r="2" spans="1:22" ht="15.75" customHeight="1">
      <c r="B2" s="2259" t="s">
        <v>206</v>
      </c>
      <c r="C2" s="45" t="s">
        <v>16</v>
      </c>
      <c r="D2" s="45" t="s">
        <v>1</v>
      </c>
      <c r="E2" s="45" t="s">
        <v>12</v>
      </c>
      <c r="F2" s="175" t="s">
        <v>286</v>
      </c>
      <c r="G2" s="23"/>
      <c r="H2" s="23"/>
      <c r="I2" s="429" t="s">
        <v>355</v>
      </c>
      <c r="J2" t="str">
        <f>'9. T5 KASSABUDJETTI  '!F9</f>
        <v>Alv-%</v>
      </c>
      <c r="K2" s="430">
        <f>'9. T5 KASSABUDJETTI  '!G9</f>
        <v>45658</v>
      </c>
      <c r="L2" s="430">
        <f>'9. T5 KASSABUDJETTI  '!H9</f>
        <v>45689</v>
      </c>
      <c r="M2" s="430">
        <f>'9. T5 KASSABUDJETTI  '!I9</f>
        <v>45720</v>
      </c>
      <c r="N2" s="430">
        <f>'9. T5 KASSABUDJETTI  '!J9</f>
        <v>45751</v>
      </c>
      <c r="O2" s="430">
        <f>'9. T5 KASSABUDJETTI  '!K9</f>
        <v>45782</v>
      </c>
      <c r="P2" s="430">
        <f>'9. T5 KASSABUDJETTI  '!L9</f>
        <v>45813</v>
      </c>
      <c r="Q2" s="430">
        <f>'9. T5 KASSABUDJETTI  '!M9</f>
        <v>45844</v>
      </c>
      <c r="R2" s="430">
        <f>'9. T5 KASSABUDJETTI  '!N9</f>
        <v>45875</v>
      </c>
      <c r="S2" s="430">
        <f>'9. T5 KASSABUDJETTI  '!O9</f>
        <v>45906</v>
      </c>
      <c r="T2" s="430">
        <f>'9. T5 KASSABUDJETTI  '!P9</f>
        <v>45937</v>
      </c>
      <c r="U2" s="430">
        <f>'9. T5 KASSABUDJETTI  '!Q9</f>
        <v>45968</v>
      </c>
      <c r="V2" s="430">
        <f>'9. T5 KASSABUDJETTI  '!R9</f>
        <v>45999</v>
      </c>
    </row>
    <row r="3" spans="1:22">
      <c r="B3" s="2260"/>
      <c r="C3" s="176">
        <f>'1. T1 INVESTOINTISUUN.'!D16</f>
        <v>2025</v>
      </c>
      <c r="D3" s="176">
        <f>'1. T1 INVESTOINTISUUN.'!E16</f>
        <v>2026</v>
      </c>
      <c r="E3" s="176">
        <f>'1. T1 INVESTOINTISUUN.'!F16</f>
        <v>2027</v>
      </c>
      <c r="F3" s="176">
        <f>'1. T1 INVESTOINTISUUN.'!G16</f>
        <v>2028</v>
      </c>
      <c r="G3" s="431"/>
      <c r="H3" s="24">
        <f>'9. T5 KASSABUDJETTI  '!B12</f>
        <v>2</v>
      </c>
      <c r="I3" s="436" t="str">
        <f>'9. T5 KASSABUDJETTI  '!C12</f>
        <v xml:space="preserve"> Käteismyynti, myyntisosuus</v>
      </c>
      <c r="J3">
        <f>'9. T5 KASSABUDJETTI  '!F12</f>
        <v>24</v>
      </c>
      <c r="K3">
        <f>'9. T5 KASSABUDJETTI  '!G12</f>
        <v>0</v>
      </c>
      <c r="L3">
        <f>'9. T5 KASSABUDJETTI  '!H12</f>
        <v>0</v>
      </c>
      <c r="M3">
        <f>'9. T5 KASSABUDJETTI  '!I12</f>
        <v>0</v>
      </c>
      <c r="N3">
        <f>'9. T5 KASSABUDJETTI  '!J12</f>
        <v>0</v>
      </c>
      <c r="O3">
        <f>'9. T5 KASSABUDJETTI  '!K12</f>
        <v>0</v>
      </c>
      <c r="P3">
        <f>'9. T5 KASSABUDJETTI  '!L12</f>
        <v>0</v>
      </c>
      <c r="Q3">
        <f>'9. T5 KASSABUDJETTI  '!M12</f>
        <v>0</v>
      </c>
      <c r="R3">
        <f>'9. T5 KASSABUDJETTI  '!N12</f>
        <v>0</v>
      </c>
      <c r="S3">
        <f>'9. T5 KASSABUDJETTI  '!O12</f>
        <v>0</v>
      </c>
      <c r="T3">
        <f>'9. T5 KASSABUDJETTI  '!P12</f>
        <v>0</v>
      </c>
      <c r="U3">
        <f>'9. T5 KASSABUDJETTI  '!Q12</f>
        <v>0</v>
      </c>
      <c r="V3">
        <f>'9. T5 KASSABUDJETTI  '!R12</f>
        <v>0</v>
      </c>
    </row>
    <row r="4" spans="1:22">
      <c r="A4" t="str">
        <f>'1. T1 INVESTOINTISUUN.'!B17</f>
        <v>1.</v>
      </c>
      <c r="B4" s="84" t="str">
        <f>'1. T1 INVESTOINTISUUN.'!C17</f>
        <v xml:space="preserve"> Maa-alueet ja vesialueet, liittymät yms.</v>
      </c>
      <c r="C4" s="84">
        <f>'1. T1 INVESTOINTISUUN.'!D17</f>
        <v>0</v>
      </c>
      <c r="D4" s="84">
        <f>'1. T1 INVESTOINTISUUN.'!E17</f>
        <v>0</v>
      </c>
      <c r="E4" s="84">
        <f>'1. T1 INVESTOINTISUUN.'!F17</f>
        <v>0</v>
      </c>
      <c r="F4" s="84">
        <f>'1. T1 INVESTOINTISUUN.'!G17</f>
        <v>0</v>
      </c>
      <c r="I4" s="437" t="s">
        <v>356</v>
      </c>
      <c r="K4">
        <f t="shared" ref="K4:V4" si="0">K3-K3/(1+$J3%)</f>
        <v>0</v>
      </c>
      <c r="L4">
        <f t="shared" si="0"/>
        <v>0</v>
      </c>
      <c r="M4">
        <f t="shared" si="0"/>
        <v>0</v>
      </c>
      <c r="N4">
        <f t="shared" si="0"/>
        <v>0</v>
      </c>
      <c r="O4">
        <f t="shared" si="0"/>
        <v>0</v>
      </c>
      <c r="P4">
        <f t="shared" si="0"/>
        <v>0</v>
      </c>
      <c r="Q4">
        <f t="shared" si="0"/>
        <v>0</v>
      </c>
      <c r="R4">
        <f t="shared" si="0"/>
        <v>0</v>
      </c>
      <c r="S4">
        <f t="shared" si="0"/>
        <v>0</v>
      </c>
      <c r="T4">
        <f t="shared" si="0"/>
        <v>0</v>
      </c>
      <c r="U4">
        <f t="shared" si="0"/>
        <v>0</v>
      </c>
      <c r="V4">
        <f t="shared" si="0"/>
        <v>0</v>
      </c>
    </row>
    <row r="5" spans="1:22">
      <c r="A5" s="1" t="s">
        <v>0</v>
      </c>
      <c r="B5" s="84" t="str">
        <f>'1. T1 INVESTOINTISUUN.'!C19</f>
        <v xml:space="preserve"> - avustus-%</v>
      </c>
      <c r="C5" s="180">
        <f>'1. T1 INVESTOINTISUUN.'!D19</f>
        <v>0</v>
      </c>
      <c r="D5" s="180">
        <f>'1. T1 INVESTOINTISUUN.'!E19</f>
        <v>0</v>
      </c>
      <c r="E5" s="180">
        <f>'1. T1 INVESTOINTISUUN.'!F19</f>
        <v>0</v>
      </c>
      <c r="F5" s="180">
        <f>'1. T1 INVESTOINTISUUN.'!G19</f>
        <v>0</v>
      </c>
      <c r="G5" s="432"/>
      <c r="H5" s="24">
        <f>'9. T5 KASSABUDJETTI  '!B14</f>
        <v>3</v>
      </c>
      <c r="I5" s="436" t="str">
        <f>'9. T5 KASSABUDJETTI  '!C14</f>
        <v xml:space="preserve"> Laskutusmyynti</v>
      </c>
      <c r="J5">
        <f>'9. T5 KASSABUDJETTI  '!F14</f>
        <v>24</v>
      </c>
      <c r="K5">
        <f>'9. T5 KASSABUDJETTI  '!G14</f>
        <v>0</v>
      </c>
      <c r="L5">
        <f>'9. T5 KASSABUDJETTI  '!H14</f>
        <v>0</v>
      </c>
      <c r="M5">
        <f>'9. T5 KASSABUDJETTI  '!I14</f>
        <v>0</v>
      </c>
      <c r="N5">
        <f>'9. T5 KASSABUDJETTI  '!J14</f>
        <v>0</v>
      </c>
      <c r="O5">
        <f>'9. T5 KASSABUDJETTI  '!K14</f>
        <v>0</v>
      </c>
      <c r="P5">
        <f>'9. T5 KASSABUDJETTI  '!L14</f>
        <v>0</v>
      </c>
      <c r="Q5">
        <f>'9. T5 KASSABUDJETTI  '!M14</f>
        <v>0</v>
      </c>
      <c r="R5">
        <f>'9. T5 KASSABUDJETTI  '!N14</f>
        <v>0</v>
      </c>
      <c r="S5">
        <f>'9. T5 KASSABUDJETTI  '!O14</f>
        <v>0</v>
      </c>
      <c r="T5">
        <f>'9. T5 KASSABUDJETTI  '!P14</f>
        <v>0</v>
      </c>
      <c r="U5">
        <f>'9. T5 KASSABUDJETTI  '!Q14</f>
        <v>0</v>
      </c>
      <c r="V5">
        <f>'9. T5 KASSABUDJETTI  '!R14</f>
        <v>0</v>
      </c>
    </row>
    <row r="6" spans="1:22">
      <c r="B6" s="177" t="s">
        <v>203</v>
      </c>
      <c r="C6" s="84">
        <f>C4*C5</f>
        <v>0</v>
      </c>
      <c r="D6" s="84">
        <f>D4*D5</f>
        <v>0</v>
      </c>
      <c r="E6" s="84">
        <f>E4*E5</f>
        <v>0</v>
      </c>
      <c r="F6" s="84">
        <f>F4*F5</f>
        <v>0</v>
      </c>
      <c r="I6" s="437" t="s">
        <v>356</v>
      </c>
      <c r="K6">
        <f t="shared" ref="K6:V6" si="1">K5-K5/(1+$J5%)</f>
        <v>0</v>
      </c>
      <c r="L6">
        <f t="shared" si="1"/>
        <v>0</v>
      </c>
      <c r="M6">
        <f t="shared" si="1"/>
        <v>0</v>
      </c>
      <c r="N6">
        <f t="shared" si="1"/>
        <v>0</v>
      </c>
      <c r="O6">
        <f t="shared" si="1"/>
        <v>0</v>
      </c>
      <c r="P6">
        <f t="shared" si="1"/>
        <v>0</v>
      </c>
      <c r="Q6">
        <f t="shared" si="1"/>
        <v>0</v>
      </c>
      <c r="R6">
        <f t="shared" si="1"/>
        <v>0</v>
      </c>
      <c r="S6">
        <f t="shared" si="1"/>
        <v>0</v>
      </c>
      <c r="T6">
        <f t="shared" si="1"/>
        <v>0</v>
      </c>
      <c r="U6">
        <f t="shared" si="1"/>
        <v>0</v>
      </c>
      <c r="V6">
        <f t="shared" si="1"/>
        <v>0</v>
      </c>
    </row>
    <row r="7" spans="1:22">
      <c r="B7" s="177" t="s">
        <v>245</v>
      </c>
      <c r="C7" s="84">
        <f>C4-C6</f>
        <v>0</v>
      </c>
      <c r="D7" s="84">
        <f>D4-D6</f>
        <v>0</v>
      </c>
      <c r="E7" s="84">
        <f>E4-E6</f>
        <v>0</v>
      </c>
      <c r="F7" s="84">
        <f>F4-F6</f>
        <v>0</v>
      </c>
      <c r="H7" s="24">
        <f>'9. T5 KASSABUDJETTI  '!B17</f>
        <v>4</v>
      </c>
      <c r="I7" s="436" t="str">
        <f>'9. T5 KASSABUDJETTI  '!C17</f>
        <v xml:space="preserve"> Satunnaiset tuotot, omaisuuden myyntitulot</v>
      </c>
      <c r="J7">
        <f>'9. T5 KASSABUDJETTI  '!F17</f>
        <v>24</v>
      </c>
      <c r="K7">
        <f>'9. T5 KASSABUDJETTI  '!G17</f>
        <v>0</v>
      </c>
      <c r="L7">
        <f>'9. T5 KASSABUDJETTI  '!H17</f>
        <v>0</v>
      </c>
      <c r="M7">
        <f>'9. T5 KASSABUDJETTI  '!I17</f>
        <v>0</v>
      </c>
      <c r="N7">
        <f>'9. T5 KASSABUDJETTI  '!J17</f>
        <v>0</v>
      </c>
      <c r="O7">
        <f>'9. T5 KASSABUDJETTI  '!K17</f>
        <v>0</v>
      </c>
      <c r="P7">
        <f>'9. T5 KASSABUDJETTI  '!L17</f>
        <v>0</v>
      </c>
      <c r="Q7">
        <f>'9. T5 KASSABUDJETTI  '!M17</f>
        <v>0</v>
      </c>
      <c r="R7">
        <f>'9. T5 KASSABUDJETTI  '!N17</f>
        <v>0</v>
      </c>
      <c r="S7">
        <f>'9. T5 KASSABUDJETTI  '!O17</f>
        <v>0</v>
      </c>
      <c r="T7">
        <f>'9. T5 KASSABUDJETTI  '!P17</f>
        <v>0</v>
      </c>
      <c r="U7">
        <f>'9. T5 KASSABUDJETTI  '!Q17</f>
        <v>0</v>
      </c>
      <c r="V7">
        <f>'9. T5 KASSABUDJETTI  '!R17</f>
        <v>0</v>
      </c>
    </row>
    <row r="8" spans="1:22">
      <c r="A8" s="4" t="str">
        <f>'1. T1 INVESTOINTISUUN.'!B20</f>
        <v>2.</v>
      </c>
      <c r="B8" s="177" t="str">
        <f>'1. T1 INVESTOINTISUUN.'!C20</f>
        <v xml:space="preserve"> Uudisrakennukset ja rakennelmat sis. alv </v>
      </c>
      <c r="C8" s="177">
        <f>'1. T1 INVESTOINTISUUN.'!D20</f>
        <v>0</v>
      </c>
      <c r="D8" s="177">
        <f>'1. T1 INVESTOINTISUUN.'!E20</f>
        <v>0</v>
      </c>
      <c r="E8" s="177">
        <f>'1. T1 INVESTOINTISUUN.'!F20</f>
        <v>0</v>
      </c>
      <c r="F8" s="177">
        <f>'1. T1 INVESTOINTISUUN.'!G20</f>
        <v>0</v>
      </c>
      <c r="G8" s="4"/>
      <c r="H8" s="37"/>
      <c r="I8" s="437" t="s">
        <v>356</v>
      </c>
      <c r="K8">
        <f t="shared" ref="K8:V8" si="2">K7-K7/(1+$J7%)</f>
        <v>0</v>
      </c>
      <c r="L8">
        <f t="shared" si="2"/>
        <v>0</v>
      </c>
      <c r="M8">
        <f t="shared" si="2"/>
        <v>0</v>
      </c>
      <c r="N8">
        <f t="shared" si="2"/>
        <v>0</v>
      </c>
      <c r="O8">
        <f t="shared" si="2"/>
        <v>0</v>
      </c>
      <c r="P8">
        <f t="shared" si="2"/>
        <v>0</v>
      </c>
      <c r="Q8">
        <f t="shared" si="2"/>
        <v>0</v>
      </c>
      <c r="R8">
        <f t="shared" si="2"/>
        <v>0</v>
      </c>
      <c r="S8">
        <f t="shared" si="2"/>
        <v>0</v>
      </c>
      <c r="T8">
        <f t="shared" si="2"/>
        <v>0</v>
      </c>
      <c r="U8">
        <f t="shared" si="2"/>
        <v>0</v>
      </c>
      <c r="V8">
        <f t="shared" si="2"/>
        <v>0</v>
      </c>
    </row>
    <row r="9" spans="1:22">
      <c r="A9" s="4"/>
      <c r="B9" s="177" t="str">
        <f>'1. T1 INVESTOINTISUUN.'!C22</f>
        <v xml:space="preserve"> - arvonlisävero-%</v>
      </c>
      <c r="C9" s="178">
        <f>'1. T1 INVESTOINTISUUN.'!D22</f>
        <v>0.24</v>
      </c>
      <c r="D9" s="178">
        <f>'1. T1 INVESTOINTISUUN.'!E22</f>
        <v>0.24</v>
      </c>
      <c r="E9" s="178">
        <f>'1. T1 INVESTOINTISUUN.'!F22</f>
        <v>0.24</v>
      </c>
      <c r="F9" s="178">
        <f>'1. T1 INVESTOINTISUUN.'!G22</f>
        <v>0.24</v>
      </c>
      <c r="G9" s="433"/>
      <c r="H9" s="37"/>
      <c r="I9" s="438" t="s">
        <v>357</v>
      </c>
      <c r="J9" s="439"/>
      <c r="K9" s="439">
        <f>K4+K6+K8</f>
        <v>0</v>
      </c>
      <c r="L9" s="439">
        <f t="shared" ref="L9:V9" si="3">L4+L6+L8</f>
        <v>0</v>
      </c>
      <c r="M9" s="439">
        <f t="shared" si="3"/>
        <v>0</v>
      </c>
      <c r="N9" s="439">
        <f t="shared" si="3"/>
        <v>0</v>
      </c>
      <c r="O9" s="439">
        <f t="shared" si="3"/>
        <v>0</v>
      </c>
      <c r="P9" s="439">
        <f t="shared" si="3"/>
        <v>0</v>
      </c>
      <c r="Q9" s="439">
        <f t="shared" si="3"/>
        <v>0</v>
      </c>
      <c r="R9" s="439">
        <f t="shared" si="3"/>
        <v>0</v>
      </c>
      <c r="S9" s="439">
        <f t="shared" si="3"/>
        <v>0</v>
      </c>
      <c r="T9" s="439">
        <f t="shared" si="3"/>
        <v>0</v>
      </c>
      <c r="U9" s="439">
        <f t="shared" si="3"/>
        <v>0</v>
      </c>
      <c r="V9" s="439">
        <f t="shared" si="3"/>
        <v>0</v>
      </c>
    </row>
    <row r="10" spans="1:22">
      <c r="A10" s="4"/>
      <c r="B10" s="177" t="s">
        <v>202</v>
      </c>
      <c r="C10" s="179">
        <f>C8/(1+C9)</f>
        <v>0</v>
      </c>
      <c r="D10" s="179">
        <f>D8/(1+D9)</f>
        <v>0</v>
      </c>
      <c r="E10" s="179">
        <f>E8/(1+E9)</f>
        <v>0</v>
      </c>
      <c r="F10" s="179">
        <f>F8/(1+F9)</f>
        <v>0</v>
      </c>
      <c r="G10" s="434"/>
      <c r="H10" s="37">
        <f>'9. T5 KASSABUDJETTI  '!B22</f>
        <v>6</v>
      </c>
      <c r="I10" s="37" t="str">
        <f>'9. T5 KASSABUDJETTI  '!C22</f>
        <v xml:space="preserve"> Aineet ja tarvikkeet</v>
      </c>
      <c r="J10">
        <f>'9. T5 KASSABUDJETTI  '!F22</f>
        <v>24</v>
      </c>
      <c r="K10">
        <f>'9. T5 KASSABUDJETTI  '!G22</f>
        <v>0</v>
      </c>
      <c r="L10">
        <f>'9. T5 KASSABUDJETTI  '!H22</f>
        <v>0</v>
      </c>
      <c r="M10">
        <f>'9. T5 KASSABUDJETTI  '!I22</f>
        <v>0</v>
      </c>
      <c r="N10">
        <f>'9. T5 KASSABUDJETTI  '!J22</f>
        <v>0</v>
      </c>
      <c r="O10">
        <f>'9. T5 KASSABUDJETTI  '!K22</f>
        <v>0</v>
      </c>
      <c r="P10">
        <f>'9. T5 KASSABUDJETTI  '!L22</f>
        <v>0</v>
      </c>
      <c r="Q10">
        <f>'9. T5 KASSABUDJETTI  '!M22</f>
        <v>0</v>
      </c>
      <c r="R10">
        <f>'9. T5 KASSABUDJETTI  '!N22</f>
        <v>0</v>
      </c>
      <c r="S10">
        <f>'9. T5 KASSABUDJETTI  '!O22</f>
        <v>0</v>
      </c>
      <c r="T10">
        <f>'9. T5 KASSABUDJETTI  '!P22</f>
        <v>0</v>
      </c>
      <c r="U10">
        <f>'9. T5 KASSABUDJETTI  '!Q22</f>
        <v>0</v>
      </c>
      <c r="V10">
        <f>'9. T5 KASSABUDJETTI  '!R22</f>
        <v>0</v>
      </c>
    </row>
    <row r="11" spans="1:22">
      <c r="A11" s="4" t="s">
        <v>0</v>
      </c>
      <c r="B11" s="177" t="s">
        <v>201</v>
      </c>
      <c r="C11" s="179">
        <f>C8-C10</f>
        <v>0</v>
      </c>
      <c r="D11" s="179">
        <f>D8-D10</f>
        <v>0</v>
      </c>
      <c r="E11" s="179">
        <f>E8-E10</f>
        <v>0</v>
      </c>
      <c r="F11" s="179">
        <f>F8-F10</f>
        <v>0</v>
      </c>
      <c r="G11" s="434"/>
      <c r="I11" s="437" t="s">
        <v>356</v>
      </c>
      <c r="K11">
        <f t="shared" ref="K11:V11" si="4">K10-K10/(1+$J10%)</f>
        <v>0</v>
      </c>
      <c r="L11">
        <f t="shared" si="4"/>
        <v>0</v>
      </c>
      <c r="M11">
        <f t="shared" si="4"/>
        <v>0</v>
      </c>
      <c r="N11">
        <f t="shared" si="4"/>
        <v>0</v>
      </c>
      <c r="O11">
        <f t="shared" si="4"/>
        <v>0</v>
      </c>
      <c r="P11">
        <f t="shared" si="4"/>
        <v>0</v>
      </c>
      <c r="Q11">
        <f t="shared" si="4"/>
        <v>0</v>
      </c>
      <c r="R11">
        <f t="shared" si="4"/>
        <v>0</v>
      </c>
      <c r="S11">
        <f t="shared" si="4"/>
        <v>0</v>
      </c>
      <c r="T11">
        <f t="shared" si="4"/>
        <v>0</v>
      </c>
      <c r="U11">
        <f t="shared" si="4"/>
        <v>0</v>
      </c>
      <c r="V11">
        <f t="shared" si="4"/>
        <v>0</v>
      </c>
    </row>
    <row r="12" spans="1:22">
      <c r="A12" s="4"/>
      <c r="B12" s="177" t="str">
        <f>'1. T1 INVESTOINTISUUN.'!C23</f>
        <v xml:space="preserve"> - avustus-%</v>
      </c>
      <c r="C12" s="178">
        <f>'1. T1 INVESTOINTISUUN.'!D23</f>
        <v>0</v>
      </c>
      <c r="D12" s="178">
        <f>'1. T1 INVESTOINTISUUN.'!E23</f>
        <v>0</v>
      </c>
      <c r="E12" s="178">
        <f>'1. T1 INVESTOINTISUUN.'!F23</f>
        <v>0</v>
      </c>
      <c r="F12" s="178">
        <f>'1. T1 INVESTOINTISUUN.'!G23</f>
        <v>0</v>
      </c>
      <c r="G12" s="433"/>
      <c r="H12" s="37">
        <f>'9. T5 KASSABUDJETTI  '!B24</f>
        <v>7</v>
      </c>
      <c r="I12" s="37" t="str">
        <f>'9. T5 KASSABUDJETTI  '!C24</f>
        <v xml:space="preserve"> Liiketoimintakaupan tavaravarasto, alkuvarasto</v>
      </c>
      <c r="J12">
        <f>'9. T5 KASSABUDJETTI  '!F24</f>
        <v>0</v>
      </c>
      <c r="K12">
        <f>'9. T5 KASSABUDJETTI  '!G24</f>
        <v>0</v>
      </c>
      <c r="L12">
        <f>'9. T5 KASSABUDJETTI  '!H24</f>
        <v>0</v>
      </c>
      <c r="M12">
        <f>'9. T5 KASSABUDJETTI  '!I24</f>
        <v>0</v>
      </c>
      <c r="N12">
        <f>'9. T5 KASSABUDJETTI  '!J24</f>
        <v>0</v>
      </c>
      <c r="O12">
        <f>'9. T5 KASSABUDJETTI  '!K24</f>
        <v>0</v>
      </c>
      <c r="P12">
        <f>'9. T5 KASSABUDJETTI  '!L24</f>
        <v>0</v>
      </c>
      <c r="Q12">
        <f>'9. T5 KASSABUDJETTI  '!M24</f>
        <v>0</v>
      </c>
      <c r="R12">
        <f>'9. T5 KASSABUDJETTI  '!N24</f>
        <v>0</v>
      </c>
      <c r="S12">
        <f>'9. T5 KASSABUDJETTI  '!O24</f>
        <v>0</v>
      </c>
      <c r="T12">
        <f>'9. T5 KASSABUDJETTI  '!P24</f>
        <v>0</v>
      </c>
      <c r="U12">
        <f>'9. T5 KASSABUDJETTI  '!Q24</f>
        <v>0</v>
      </c>
      <c r="V12">
        <f>'9. T5 KASSABUDJETTI  '!R24</f>
        <v>0</v>
      </c>
    </row>
    <row r="13" spans="1:22">
      <c r="A13" s="4"/>
      <c r="B13" s="177" t="s">
        <v>203</v>
      </c>
      <c r="C13" s="179">
        <f>C10*C12</f>
        <v>0</v>
      </c>
      <c r="D13" s="179">
        <f>D10*D12</f>
        <v>0</v>
      </c>
      <c r="E13" s="179">
        <f>E10*E12</f>
        <v>0</v>
      </c>
      <c r="F13" s="179">
        <f>F10*F12</f>
        <v>0</v>
      </c>
      <c r="G13" s="434"/>
      <c r="I13" s="437" t="s">
        <v>356</v>
      </c>
      <c r="K13">
        <f t="shared" ref="K13:V13" si="5">K12-K12/(1+$J12%)</f>
        <v>0</v>
      </c>
      <c r="L13">
        <f t="shared" si="5"/>
        <v>0</v>
      </c>
      <c r="M13">
        <f t="shared" si="5"/>
        <v>0</v>
      </c>
      <c r="N13">
        <f t="shared" si="5"/>
        <v>0</v>
      </c>
      <c r="O13">
        <f t="shared" si="5"/>
        <v>0</v>
      </c>
      <c r="P13">
        <f t="shared" si="5"/>
        <v>0</v>
      </c>
      <c r="Q13">
        <f t="shared" si="5"/>
        <v>0</v>
      </c>
      <c r="R13">
        <f t="shared" si="5"/>
        <v>0</v>
      </c>
      <c r="S13">
        <f t="shared" si="5"/>
        <v>0</v>
      </c>
      <c r="T13">
        <f t="shared" si="5"/>
        <v>0</v>
      </c>
      <c r="U13">
        <f t="shared" si="5"/>
        <v>0</v>
      </c>
      <c r="V13">
        <f t="shared" si="5"/>
        <v>0</v>
      </c>
    </row>
    <row r="14" spans="1:22">
      <c r="B14" s="177" t="s">
        <v>245</v>
      </c>
      <c r="C14" s="199">
        <f>C10-C13</f>
        <v>0</v>
      </c>
      <c r="D14" s="199">
        <f>D10-D13</f>
        <v>0</v>
      </c>
      <c r="E14" s="199">
        <f>E10-E13</f>
        <v>0</v>
      </c>
      <c r="F14" s="199">
        <f>F10-F13</f>
        <v>0</v>
      </c>
      <c r="G14" s="37"/>
      <c r="H14" s="37">
        <f>'9. T5 KASSABUDJETTI  '!B25</f>
        <v>8</v>
      </c>
      <c r="I14" s="37" t="str">
        <f>'9. T5 KASSABUDJETTI  '!C25</f>
        <v xml:space="preserve"> Ulkopuoliset palvelut</v>
      </c>
      <c r="J14">
        <f>'9. T5 KASSABUDJETTI  '!F25</f>
        <v>24</v>
      </c>
      <c r="K14">
        <f>'9. T5 KASSABUDJETTI  '!G25</f>
        <v>0</v>
      </c>
      <c r="L14">
        <f>'9. T5 KASSABUDJETTI  '!H25</f>
        <v>0</v>
      </c>
      <c r="M14">
        <f>'9. T5 KASSABUDJETTI  '!I25</f>
        <v>0</v>
      </c>
      <c r="N14">
        <f>'9. T5 KASSABUDJETTI  '!J25</f>
        <v>0</v>
      </c>
      <c r="O14">
        <f>'9. T5 KASSABUDJETTI  '!K25</f>
        <v>0</v>
      </c>
      <c r="P14">
        <f>'9. T5 KASSABUDJETTI  '!L25</f>
        <v>0</v>
      </c>
      <c r="Q14">
        <f>'9. T5 KASSABUDJETTI  '!M25</f>
        <v>0</v>
      </c>
      <c r="R14">
        <f>'9. T5 KASSABUDJETTI  '!N25</f>
        <v>0</v>
      </c>
      <c r="S14">
        <f>'9. T5 KASSABUDJETTI  '!O25</f>
        <v>0</v>
      </c>
      <c r="T14">
        <f>'9. T5 KASSABUDJETTI  '!P25</f>
        <v>0</v>
      </c>
      <c r="U14">
        <f>'9. T5 KASSABUDJETTI  '!Q25</f>
        <v>0</v>
      </c>
      <c r="V14">
        <f>'9. T5 KASSABUDJETTI  '!R25</f>
        <v>0</v>
      </c>
    </row>
    <row r="15" spans="1:22">
      <c r="A15" s="4" t="str">
        <f>'1. T1 INVESTOINTISUUN.'!B24</f>
        <v>3.</v>
      </c>
      <c r="B15" s="177" t="str">
        <f>'1. T1 INVESTOINTISUUN.'!C24</f>
        <v xml:space="preserve"> Rakennukset ja rakennelmat </v>
      </c>
      <c r="C15" s="177">
        <f>'1. T1 INVESTOINTISUUN.'!D24</f>
        <v>0</v>
      </c>
      <c r="D15" s="177">
        <f>'1. T1 INVESTOINTISUUN.'!E24</f>
        <v>0</v>
      </c>
      <c r="E15" s="177">
        <f>'1. T1 INVESTOINTISUUN.'!F24</f>
        <v>0</v>
      </c>
      <c r="F15" s="177">
        <f>'1. T1 INVESTOINTISUUN.'!G24</f>
        <v>0</v>
      </c>
      <c r="G15" s="4"/>
      <c r="I15" s="437" t="s">
        <v>356</v>
      </c>
      <c r="K15">
        <f t="shared" ref="K15:V15" si="6">K14-K14/(1+$J14%)</f>
        <v>0</v>
      </c>
      <c r="L15">
        <f t="shared" si="6"/>
        <v>0</v>
      </c>
      <c r="M15">
        <f t="shared" si="6"/>
        <v>0</v>
      </c>
      <c r="N15">
        <f t="shared" si="6"/>
        <v>0</v>
      </c>
      <c r="O15">
        <f t="shared" si="6"/>
        <v>0</v>
      </c>
      <c r="P15">
        <f t="shared" si="6"/>
        <v>0</v>
      </c>
      <c r="Q15">
        <f t="shared" si="6"/>
        <v>0</v>
      </c>
      <c r="R15">
        <f t="shared" si="6"/>
        <v>0</v>
      </c>
      <c r="S15">
        <f t="shared" si="6"/>
        <v>0</v>
      </c>
      <c r="T15">
        <f t="shared" si="6"/>
        <v>0</v>
      </c>
      <c r="U15">
        <f t="shared" si="6"/>
        <v>0</v>
      </c>
      <c r="V15">
        <f t="shared" si="6"/>
        <v>0</v>
      </c>
    </row>
    <row r="16" spans="1:22">
      <c r="A16" s="4"/>
      <c r="B16" s="177" t="s">
        <v>198</v>
      </c>
      <c r="C16" s="178">
        <f>'1. T1 INVESTOINTISUUN.'!D26</f>
        <v>0</v>
      </c>
      <c r="D16" s="178">
        <f>'1. T1 INVESTOINTISUUN.'!E26</f>
        <v>0</v>
      </c>
      <c r="E16" s="178">
        <f>'1. T1 INVESTOINTISUUN.'!F26</f>
        <v>0</v>
      </c>
      <c r="F16" s="178">
        <f>'1. T1 INVESTOINTISUUN.'!G26</f>
        <v>0</v>
      </c>
      <c r="G16" s="433"/>
      <c r="H16" s="37">
        <f>'9. T5 KASSABUDJETTI  '!B26</f>
        <v>9</v>
      </c>
      <c r="I16" s="37" t="str">
        <f>'9. T5 KASSABUDJETTI  '!C26</f>
        <v xml:space="preserve"> Investoinnit sis. alv</v>
      </c>
      <c r="J16">
        <f>'9. T5 KASSABUDJETTI  '!F26</f>
        <v>24</v>
      </c>
      <c r="K16">
        <f>'9. T5 KASSABUDJETTI  '!G26</f>
        <v>0</v>
      </c>
      <c r="L16">
        <f>'9. T5 KASSABUDJETTI  '!H26</f>
        <v>0</v>
      </c>
      <c r="M16">
        <f>'9. T5 KASSABUDJETTI  '!I26</f>
        <v>0</v>
      </c>
      <c r="N16">
        <f>'9. T5 KASSABUDJETTI  '!J26</f>
        <v>0</v>
      </c>
      <c r="O16">
        <f>'9. T5 KASSABUDJETTI  '!K26</f>
        <v>0</v>
      </c>
      <c r="P16">
        <f>'9. T5 KASSABUDJETTI  '!L26</f>
        <v>0</v>
      </c>
      <c r="Q16">
        <f>'9. T5 KASSABUDJETTI  '!M26</f>
        <v>0</v>
      </c>
      <c r="R16">
        <f>'9. T5 KASSABUDJETTI  '!N26</f>
        <v>0</v>
      </c>
      <c r="S16">
        <f>'9. T5 KASSABUDJETTI  '!O26</f>
        <v>0</v>
      </c>
      <c r="T16">
        <f>'9. T5 KASSABUDJETTI  '!P26</f>
        <v>0</v>
      </c>
      <c r="U16">
        <f>'9. T5 KASSABUDJETTI  '!Q26</f>
        <v>0</v>
      </c>
      <c r="V16">
        <f>'9. T5 KASSABUDJETTI  '!R26</f>
        <v>0</v>
      </c>
    </row>
    <row r="17" spans="1:22">
      <c r="A17" s="4"/>
      <c r="B17" s="177" t="s">
        <v>203</v>
      </c>
      <c r="C17" s="84">
        <f>C16*C15</f>
        <v>0</v>
      </c>
      <c r="D17" s="84">
        <f t="shared" ref="D17:F17" si="7">D16*D15</f>
        <v>0</v>
      </c>
      <c r="E17" s="84">
        <f t="shared" si="7"/>
        <v>0</v>
      </c>
      <c r="F17" s="84">
        <f t="shared" si="7"/>
        <v>0</v>
      </c>
      <c r="I17" s="437" t="s">
        <v>356</v>
      </c>
      <c r="K17">
        <f t="shared" ref="K17:V17" si="8">K16-K16/(1+$J16%)</f>
        <v>0</v>
      </c>
      <c r="L17">
        <f t="shared" si="8"/>
        <v>0</v>
      </c>
      <c r="M17">
        <f t="shared" si="8"/>
        <v>0</v>
      </c>
      <c r="N17">
        <f t="shared" si="8"/>
        <v>0</v>
      </c>
      <c r="O17">
        <f t="shared" si="8"/>
        <v>0</v>
      </c>
      <c r="P17">
        <f t="shared" si="8"/>
        <v>0</v>
      </c>
      <c r="Q17">
        <f t="shared" si="8"/>
        <v>0</v>
      </c>
      <c r="R17">
        <f t="shared" si="8"/>
        <v>0</v>
      </c>
      <c r="S17">
        <f t="shared" si="8"/>
        <v>0</v>
      </c>
      <c r="T17">
        <f t="shared" si="8"/>
        <v>0</v>
      </c>
      <c r="U17">
        <f t="shared" si="8"/>
        <v>0</v>
      </c>
      <c r="V17">
        <f t="shared" si="8"/>
        <v>0</v>
      </c>
    </row>
    <row r="18" spans="1:22">
      <c r="B18" s="177" t="s">
        <v>488</v>
      </c>
      <c r="C18" s="84">
        <f>C15-C17</f>
        <v>0</v>
      </c>
      <c r="D18" s="84">
        <f t="shared" ref="D18:F18" si="9">D15-D17</f>
        <v>0</v>
      </c>
      <c r="E18" s="84">
        <f t="shared" si="9"/>
        <v>0</v>
      </c>
      <c r="F18" s="84">
        <f t="shared" si="9"/>
        <v>0</v>
      </c>
      <c r="H18" s="37">
        <f>'9. T5 KASSABUDJETTI  '!B27</f>
        <v>10</v>
      </c>
      <c r="I18" s="37" t="str">
        <f>'9. T5 KASSABUDJETTI  '!C27</f>
        <v xml:space="preserve"> Vuokrat ja vastikkeet sis. alv</v>
      </c>
      <c r="J18">
        <f>'9. T5 KASSABUDJETTI  '!F27</f>
        <v>24</v>
      </c>
      <c r="K18">
        <f>'9. T5 KASSABUDJETTI  '!G27</f>
        <v>0</v>
      </c>
      <c r="L18">
        <f>'9. T5 KASSABUDJETTI  '!H27</f>
        <v>0</v>
      </c>
      <c r="M18">
        <f>'9. T5 KASSABUDJETTI  '!I27</f>
        <v>0</v>
      </c>
      <c r="N18">
        <f>'9. T5 KASSABUDJETTI  '!J27</f>
        <v>0</v>
      </c>
      <c r="O18">
        <f>'9. T5 KASSABUDJETTI  '!K27</f>
        <v>0</v>
      </c>
      <c r="P18">
        <f>'9. T5 KASSABUDJETTI  '!L27</f>
        <v>0</v>
      </c>
      <c r="Q18">
        <f>'9. T5 KASSABUDJETTI  '!M27</f>
        <v>0</v>
      </c>
      <c r="R18">
        <f>'9. T5 KASSABUDJETTI  '!N27</f>
        <v>0</v>
      </c>
      <c r="S18">
        <f>'9. T5 KASSABUDJETTI  '!O27</f>
        <v>0</v>
      </c>
      <c r="T18">
        <f>'9. T5 KASSABUDJETTI  '!P27</f>
        <v>0</v>
      </c>
      <c r="U18">
        <f>'9. T5 KASSABUDJETTI  '!Q27</f>
        <v>0</v>
      </c>
      <c r="V18">
        <f>'9. T5 KASSABUDJETTI  '!R27</f>
        <v>0</v>
      </c>
    </row>
    <row r="19" spans="1:22">
      <c r="A19" s="4" t="str">
        <f>'1. T1 INVESTOINTISUUN.'!B27</f>
        <v>4.</v>
      </c>
      <c r="B19" s="177" t="str">
        <f>'1. T1 INVESTOINTISUUN.'!C27</f>
        <v xml:space="preserve">Koneet ja kalusto sis. alv </v>
      </c>
      <c r="C19" s="177">
        <f>'1. T1 INVESTOINTISUUN.'!D27</f>
        <v>0</v>
      </c>
      <c r="D19" s="177">
        <f>'1. T1 INVESTOINTISUUN.'!E27</f>
        <v>0</v>
      </c>
      <c r="E19" s="177">
        <f>'1. T1 INVESTOINTISUUN.'!F27</f>
        <v>0</v>
      </c>
      <c r="F19" s="177">
        <f>'1. T1 INVESTOINTISUUN.'!G27</f>
        <v>0</v>
      </c>
      <c r="G19" s="4"/>
      <c r="I19" s="437" t="s">
        <v>356</v>
      </c>
      <c r="K19">
        <f t="shared" ref="K19:V19" si="10">K18-K18/(1+$J18%)</f>
        <v>0</v>
      </c>
      <c r="L19">
        <f t="shared" si="10"/>
        <v>0</v>
      </c>
      <c r="M19">
        <f t="shared" si="10"/>
        <v>0</v>
      </c>
      <c r="N19">
        <f t="shared" si="10"/>
        <v>0</v>
      </c>
      <c r="O19">
        <f t="shared" si="10"/>
        <v>0</v>
      </c>
      <c r="P19">
        <f t="shared" si="10"/>
        <v>0</v>
      </c>
      <c r="Q19">
        <f t="shared" si="10"/>
        <v>0</v>
      </c>
      <c r="R19">
        <f t="shared" si="10"/>
        <v>0</v>
      </c>
      <c r="S19">
        <f t="shared" si="10"/>
        <v>0</v>
      </c>
      <c r="T19">
        <f t="shared" si="10"/>
        <v>0</v>
      </c>
      <c r="U19">
        <f t="shared" si="10"/>
        <v>0</v>
      </c>
      <c r="V19">
        <f t="shared" si="10"/>
        <v>0</v>
      </c>
    </row>
    <row r="20" spans="1:22">
      <c r="A20" s="4"/>
      <c r="B20" s="177" t="s">
        <v>456</v>
      </c>
      <c r="C20" s="528">
        <f>'1. T1 INVESTOINTISUUN.'!D58</f>
        <v>0</v>
      </c>
      <c r="D20" s="528">
        <f>'1. T1 INVESTOINTISUUN.'!E58</f>
        <v>0</v>
      </c>
      <c r="E20" s="528">
        <f>'1. T1 INVESTOINTISUUN.'!F58</f>
        <v>0</v>
      </c>
      <c r="F20" s="528">
        <f>'1. T1 INVESTOINTISUUN.'!G58</f>
        <v>0</v>
      </c>
      <c r="G20" s="4"/>
      <c r="I20" s="437"/>
    </row>
    <row r="21" spans="1:22">
      <c r="A21" s="4" t="s">
        <v>0</v>
      </c>
      <c r="B21" s="177" t="s">
        <v>457</v>
      </c>
      <c r="C21" s="199">
        <f>C19-C20</f>
        <v>0</v>
      </c>
      <c r="D21" s="199">
        <f>D19-D20</f>
        <v>0</v>
      </c>
      <c r="E21" s="199">
        <f>E19-E20</f>
        <v>0</v>
      </c>
      <c r="F21" s="199">
        <f>F19-F20</f>
        <v>0</v>
      </c>
      <c r="G21" s="433"/>
      <c r="H21" s="37">
        <f>'9. T5 KASSABUDJETTI  '!B28</f>
        <v>11</v>
      </c>
      <c r="I21" s="37" t="str">
        <f>'9. T5 KASSABUDJETTI  '!C28</f>
        <v xml:space="preserve"> Ajoneuvojen leasing- ja vuokrakulut, liikekäyttö</v>
      </c>
      <c r="J21">
        <f>'9. T5 KASSABUDJETTI  '!F28</f>
        <v>24</v>
      </c>
      <c r="K21">
        <f>'9. T5 KASSABUDJETTI  '!G28</f>
        <v>0</v>
      </c>
      <c r="L21">
        <f>'9. T5 KASSABUDJETTI  '!H28</f>
        <v>0</v>
      </c>
      <c r="M21">
        <f>'9. T5 KASSABUDJETTI  '!I28</f>
        <v>0</v>
      </c>
      <c r="N21">
        <f>'9. T5 KASSABUDJETTI  '!J28</f>
        <v>0</v>
      </c>
      <c r="O21">
        <f>'9. T5 KASSABUDJETTI  '!K28</f>
        <v>0</v>
      </c>
      <c r="P21">
        <f>'9. T5 KASSABUDJETTI  '!L28</f>
        <v>0</v>
      </c>
      <c r="Q21">
        <f>'9. T5 KASSABUDJETTI  '!M28</f>
        <v>0</v>
      </c>
      <c r="R21">
        <f>'9. T5 KASSABUDJETTI  '!N28</f>
        <v>0</v>
      </c>
      <c r="S21">
        <f>'9. T5 KASSABUDJETTI  '!O28</f>
        <v>0</v>
      </c>
      <c r="T21">
        <f>'9. T5 KASSABUDJETTI  '!P28</f>
        <v>0</v>
      </c>
      <c r="U21">
        <f>'9. T5 KASSABUDJETTI  '!Q28</f>
        <v>0</v>
      </c>
      <c r="V21">
        <f>'9. T5 KASSABUDJETTI  '!R28</f>
        <v>0</v>
      </c>
    </row>
    <row r="22" spans="1:22">
      <c r="A22" s="4"/>
      <c r="B22" s="177" t="str">
        <f>'1. T1 INVESTOINTISUUN.'!C28</f>
        <v xml:space="preserve"> - arvonlisävero-%</v>
      </c>
      <c r="C22" s="178">
        <f>'1. T1 INVESTOINTISUUN.'!D28</f>
        <v>0.24</v>
      </c>
      <c r="D22" s="178">
        <f>'1. T1 INVESTOINTISUUN.'!E28</f>
        <v>0.24</v>
      </c>
      <c r="E22" s="178">
        <f>'1. T1 INVESTOINTISUUN.'!F28</f>
        <v>0.24</v>
      </c>
      <c r="F22" s="178">
        <f>'1. T1 INVESTOINTISUUN.'!G28</f>
        <v>0.24</v>
      </c>
      <c r="G22" s="434"/>
      <c r="I22" s="437" t="s">
        <v>356</v>
      </c>
      <c r="K22">
        <f>K21-K21/(1+$J21%)</f>
        <v>0</v>
      </c>
      <c r="L22">
        <f t="shared" ref="L22:V22" si="11">L21-L21/(1+$J21%)</f>
        <v>0</v>
      </c>
      <c r="M22">
        <f t="shared" si="11"/>
        <v>0</v>
      </c>
      <c r="N22">
        <f t="shared" si="11"/>
        <v>0</v>
      </c>
      <c r="O22">
        <f t="shared" si="11"/>
        <v>0</v>
      </c>
      <c r="P22">
        <f t="shared" si="11"/>
        <v>0</v>
      </c>
      <c r="Q22">
        <f t="shared" si="11"/>
        <v>0</v>
      </c>
      <c r="R22">
        <f t="shared" si="11"/>
        <v>0</v>
      </c>
      <c r="S22">
        <f t="shared" si="11"/>
        <v>0</v>
      </c>
      <c r="T22">
        <f t="shared" si="11"/>
        <v>0</v>
      </c>
      <c r="U22">
        <f t="shared" si="11"/>
        <v>0</v>
      </c>
      <c r="V22">
        <f t="shared" si="11"/>
        <v>0</v>
      </c>
    </row>
    <row r="23" spans="1:22">
      <c r="A23" s="4"/>
      <c r="B23" s="177" t="s">
        <v>458</v>
      </c>
      <c r="C23" s="179">
        <f>C21/(1+C22)</f>
        <v>0</v>
      </c>
      <c r="D23" s="179">
        <f>D21/(1+D22)</f>
        <v>0</v>
      </c>
      <c r="E23" s="179">
        <f>E21/(1+E22)</f>
        <v>0</v>
      </c>
      <c r="F23" s="179">
        <f>F21/(1+F22)</f>
        <v>0</v>
      </c>
      <c r="G23" s="434"/>
      <c r="H23" s="37">
        <f>'9. T5 KASSABUDJETTI  '!B29</f>
        <v>12</v>
      </c>
      <c r="I23" s="37" t="str">
        <f>'9. T5 KASSABUDJETTI  '!C29</f>
        <v xml:space="preserve"> Muut kiinteät kulut sis. alv</v>
      </c>
      <c r="J23">
        <f>'9. T5 KASSABUDJETTI  '!F29</f>
        <v>24</v>
      </c>
      <c r="K23">
        <f>'9. T5 KASSABUDJETTI  '!G29</f>
        <v>0</v>
      </c>
      <c r="L23">
        <f>'9. T5 KASSABUDJETTI  '!H29</f>
        <v>0</v>
      </c>
      <c r="M23">
        <f>'9. T5 KASSABUDJETTI  '!I29</f>
        <v>0</v>
      </c>
      <c r="N23">
        <f>'9. T5 KASSABUDJETTI  '!J29</f>
        <v>0</v>
      </c>
      <c r="O23">
        <f>'9. T5 KASSABUDJETTI  '!K29</f>
        <v>0</v>
      </c>
      <c r="P23">
        <f>'9. T5 KASSABUDJETTI  '!L29</f>
        <v>0</v>
      </c>
      <c r="Q23">
        <f>'9. T5 KASSABUDJETTI  '!M29</f>
        <v>0</v>
      </c>
      <c r="R23">
        <f>'9. T5 KASSABUDJETTI  '!N29</f>
        <v>0</v>
      </c>
      <c r="S23">
        <f>'9. T5 KASSABUDJETTI  '!O29</f>
        <v>0</v>
      </c>
      <c r="T23">
        <f>'9. T5 KASSABUDJETTI  '!P29</f>
        <v>0</v>
      </c>
      <c r="U23">
        <f>'9. T5 KASSABUDJETTI  '!Q29</f>
        <v>0</v>
      </c>
      <c r="V23">
        <f>'9. T5 KASSABUDJETTI  '!R29</f>
        <v>0</v>
      </c>
    </row>
    <row r="24" spans="1:22">
      <c r="A24" s="4" t="s">
        <v>0</v>
      </c>
      <c r="B24" s="177" t="s">
        <v>201</v>
      </c>
      <c r="C24" s="179">
        <f>C21-C23</f>
        <v>0</v>
      </c>
      <c r="D24" s="179">
        <f>D21-D23</f>
        <v>0</v>
      </c>
      <c r="E24" s="179">
        <f>E21-E23</f>
        <v>0</v>
      </c>
      <c r="F24" s="179">
        <f>F21-F23</f>
        <v>0</v>
      </c>
      <c r="G24" s="433"/>
      <c r="H24" s="18"/>
      <c r="I24" s="437" t="s">
        <v>356</v>
      </c>
      <c r="K24">
        <f t="shared" ref="K24:V24" si="12">K23-K23/(1+$J23%)</f>
        <v>0</v>
      </c>
      <c r="L24">
        <f t="shared" si="12"/>
        <v>0</v>
      </c>
      <c r="M24">
        <f t="shared" si="12"/>
        <v>0</v>
      </c>
      <c r="N24">
        <f t="shared" si="12"/>
        <v>0</v>
      </c>
      <c r="O24">
        <f t="shared" si="12"/>
        <v>0</v>
      </c>
      <c r="P24">
        <f t="shared" si="12"/>
        <v>0</v>
      </c>
      <c r="Q24">
        <f t="shared" si="12"/>
        <v>0</v>
      </c>
      <c r="R24">
        <f t="shared" si="12"/>
        <v>0</v>
      </c>
      <c r="S24">
        <f t="shared" si="12"/>
        <v>0</v>
      </c>
      <c r="T24">
        <f t="shared" si="12"/>
        <v>0</v>
      </c>
      <c r="U24">
        <f t="shared" si="12"/>
        <v>0</v>
      </c>
      <c r="V24">
        <f t="shared" si="12"/>
        <v>0</v>
      </c>
    </row>
    <row r="25" spans="1:22">
      <c r="A25" s="4"/>
      <c r="B25" s="177" t="s">
        <v>198</v>
      </c>
      <c r="C25" s="178">
        <f>'1. T1 INVESTOINTISUUN.'!D29</f>
        <v>0</v>
      </c>
      <c r="D25" s="178">
        <f>'1. T1 INVESTOINTISUUN.'!E29</f>
        <v>0</v>
      </c>
      <c r="E25" s="178">
        <f>'1. T1 INVESTOINTISUUN.'!F29</f>
        <v>0</v>
      </c>
      <c r="F25" s="178">
        <f>'1. T1 INVESTOINTISUUN.'!G29</f>
        <v>0</v>
      </c>
      <c r="G25" s="434"/>
      <c r="H25" s="18"/>
      <c r="I25" s="440" t="s">
        <v>358</v>
      </c>
      <c r="J25" s="439"/>
      <c r="K25" s="439">
        <f t="shared" ref="K25:V25" si="13">K11+K13+K15+K17+K19+K22+K24</f>
        <v>0</v>
      </c>
      <c r="L25" s="439">
        <f t="shared" si="13"/>
        <v>0</v>
      </c>
      <c r="M25" s="439">
        <f t="shared" si="13"/>
        <v>0</v>
      </c>
      <c r="N25" s="439">
        <f t="shared" si="13"/>
        <v>0</v>
      </c>
      <c r="O25" s="439">
        <f t="shared" si="13"/>
        <v>0</v>
      </c>
      <c r="P25" s="439">
        <f t="shared" si="13"/>
        <v>0</v>
      </c>
      <c r="Q25" s="439">
        <f t="shared" si="13"/>
        <v>0</v>
      </c>
      <c r="R25" s="439">
        <f t="shared" si="13"/>
        <v>0</v>
      </c>
      <c r="S25" s="439">
        <f t="shared" si="13"/>
        <v>0</v>
      </c>
      <c r="T25" s="439">
        <f t="shared" si="13"/>
        <v>0</v>
      </c>
      <c r="U25" s="439">
        <f t="shared" si="13"/>
        <v>0</v>
      </c>
      <c r="V25" s="439">
        <f t="shared" si="13"/>
        <v>0</v>
      </c>
    </row>
    <row r="26" spans="1:22">
      <c r="B26" s="177" t="s">
        <v>203</v>
      </c>
      <c r="C26" s="179">
        <f>C23*C25</f>
        <v>0</v>
      </c>
      <c r="D26" s="179">
        <f>D23*D25</f>
        <v>0</v>
      </c>
      <c r="E26" s="179">
        <f>E23*E25</f>
        <v>0</v>
      </c>
      <c r="F26" s="179">
        <f>F23*F25</f>
        <v>0</v>
      </c>
      <c r="G26" s="37"/>
      <c r="H26" s="24"/>
      <c r="I26" s="24" t="s">
        <v>359</v>
      </c>
      <c r="K26">
        <f t="shared" ref="K26:V26" si="14">K9-K25</f>
        <v>0</v>
      </c>
      <c r="L26">
        <f t="shared" si="14"/>
        <v>0</v>
      </c>
      <c r="M26">
        <f t="shared" si="14"/>
        <v>0</v>
      </c>
      <c r="N26">
        <f t="shared" si="14"/>
        <v>0</v>
      </c>
      <c r="O26">
        <f t="shared" si="14"/>
        <v>0</v>
      </c>
      <c r="P26">
        <f t="shared" si="14"/>
        <v>0</v>
      </c>
      <c r="Q26">
        <f t="shared" si="14"/>
        <v>0</v>
      </c>
      <c r="R26">
        <f t="shared" si="14"/>
        <v>0</v>
      </c>
      <c r="S26">
        <f t="shared" si="14"/>
        <v>0</v>
      </c>
      <c r="T26">
        <f t="shared" si="14"/>
        <v>0</v>
      </c>
      <c r="U26">
        <f t="shared" si="14"/>
        <v>0</v>
      </c>
      <c r="V26">
        <f t="shared" si="14"/>
        <v>0</v>
      </c>
    </row>
    <row r="27" spans="1:22">
      <c r="B27" s="177" t="s">
        <v>245</v>
      </c>
      <c r="C27" s="199">
        <f>C23-C26</f>
        <v>0</v>
      </c>
      <c r="D27" s="199">
        <f>D23-D26</f>
        <v>0</v>
      </c>
      <c r="E27" s="199">
        <f>E23-E26</f>
        <v>0</v>
      </c>
      <c r="F27" s="199">
        <f>F23-F26</f>
        <v>0</v>
      </c>
      <c r="G27" s="4"/>
      <c r="H27" s="18"/>
      <c r="I27" s="18"/>
    </row>
    <row r="28" spans="1:22">
      <c r="A28" s="4" t="str">
        <f>'1. T1 INVESTOINTISUUN.'!B30</f>
        <v>5.</v>
      </c>
      <c r="B28" s="177" t="str">
        <f>'1. T1 INVESTOINTISUUN.'!C30</f>
        <v>Koneet ja kalusto alv 0 %</v>
      </c>
      <c r="C28" s="177">
        <f>'1. T1 INVESTOINTISUUN.'!D30</f>
        <v>0</v>
      </c>
      <c r="D28" s="177">
        <f>'1. T1 INVESTOINTISUUN.'!E30</f>
        <v>0</v>
      </c>
      <c r="E28" s="177">
        <f>'1. T1 INVESTOINTISUUN.'!F30</f>
        <v>0</v>
      </c>
      <c r="F28" s="177">
        <f>'1. T1 INVESTOINTISUUN.'!G30</f>
        <v>0</v>
      </c>
      <c r="G28" s="433"/>
      <c r="H28" s="18"/>
      <c r="I28" s="18"/>
    </row>
    <row r="29" spans="1:22">
      <c r="A29" s="4"/>
      <c r="B29" s="177" t="s">
        <v>456</v>
      </c>
      <c r="C29" s="528">
        <f>'1. T1 INVESTOINTISUUN.'!D59</f>
        <v>0</v>
      </c>
      <c r="D29" s="528">
        <f>'1. T1 INVESTOINTISUUN.'!E59</f>
        <v>0</v>
      </c>
      <c r="E29" s="528">
        <f>'1. T1 INVESTOINTISUUN.'!F59</f>
        <v>0</v>
      </c>
      <c r="F29" s="528">
        <f>'1. T1 INVESTOINTISUUN.'!G59</f>
        <v>0</v>
      </c>
      <c r="G29" s="4"/>
      <c r="I29" s="437"/>
    </row>
    <row r="30" spans="1:22">
      <c r="A30" s="4" t="s">
        <v>0</v>
      </c>
      <c r="B30" s="177" t="s">
        <v>489</v>
      </c>
      <c r="C30" s="199">
        <f>C28-C29</f>
        <v>0</v>
      </c>
      <c r="D30" s="199">
        <f>D28-D29</f>
        <v>0</v>
      </c>
      <c r="E30" s="199">
        <f>E28-E29</f>
        <v>0</v>
      </c>
      <c r="F30" s="199">
        <f>F28-F29</f>
        <v>0</v>
      </c>
      <c r="G30" s="433"/>
      <c r="H30" s="37">
        <f>'9. T5 KASSABUDJETTI  '!B38</f>
        <v>21</v>
      </c>
      <c r="I30" s="37" t="str">
        <f>'9. T5 KASSABUDJETTI  '!C38</f>
        <v xml:space="preserve"> Rahoitusmenot</v>
      </c>
      <c r="J30">
        <f>'9. T5 KASSABUDJETTI  '!F38</f>
        <v>0</v>
      </c>
      <c r="K30">
        <f>'9. T5 KASSABUDJETTI  '!G38</f>
        <v>0</v>
      </c>
      <c r="L30">
        <f>'9. T5 KASSABUDJETTI  '!H38</f>
        <v>0</v>
      </c>
      <c r="M30">
        <f>'9. T5 KASSABUDJETTI  '!I38</f>
        <v>0</v>
      </c>
      <c r="N30">
        <f>'9. T5 KASSABUDJETTI  '!J38</f>
        <v>0</v>
      </c>
      <c r="O30">
        <f>'9. T5 KASSABUDJETTI  '!K38</f>
        <v>0</v>
      </c>
      <c r="P30">
        <f>'9. T5 KASSABUDJETTI  '!L38</f>
        <v>0</v>
      </c>
      <c r="Q30">
        <f>'9. T5 KASSABUDJETTI  '!M38</f>
        <v>0</v>
      </c>
      <c r="R30">
        <f>'9. T5 KASSABUDJETTI  '!N38</f>
        <v>0</v>
      </c>
      <c r="S30">
        <f>'9. T5 KASSABUDJETTI  '!O38</f>
        <v>0</v>
      </c>
      <c r="T30">
        <f>'9. T5 KASSABUDJETTI  '!P38</f>
        <v>0</v>
      </c>
      <c r="U30">
        <f>'9. T5 KASSABUDJETTI  '!Q38</f>
        <v>0</v>
      </c>
      <c r="V30">
        <f>'9. T5 KASSABUDJETTI  '!R38</f>
        <v>0</v>
      </c>
    </row>
    <row r="31" spans="1:22">
      <c r="A31" s="4"/>
      <c r="B31" s="177" t="str">
        <f>'1. T1 INVESTOINTISUUN.'!C31</f>
        <v xml:space="preserve"> - avustus-%</v>
      </c>
      <c r="C31" s="540">
        <f>'1. T1 INVESTOINTISUUN.'!D31</f>
        <v>0</v>
      </c>
      <c r="D31" s="540">
        <f>'1. T1 INVESTOINTISUUN.'!E31</f>
        <v>0</v>
      </c>
      <c r="E31" s="540">
        <f>'1. T1 INVESTOINTISUUN.'!F31</f>
        <v>0</v>
      </c>
      <c r="F31" s="540">
        <f>'1. T1 INVESTOINTISUUN.'!G31</f>
        <v>0</v>
      </c>
      <c r="G31" s="178"/>
      <c r="I31" s="18"/>
      <c r="J31" s="18"/>
    </row>
    <row r="32" spans="1:22">
      <c r="A32" s="4"/>
      <c r="B32" s="177" t="s">
        <v>203</v>
      </c>
      <c r="C32" s="84">
        <f>C31*C30</f>
        <v>0</v>
      </c>
      <c r="D32" s="84">
        <f t="shared" ref="D32:F32" si="15">D31*D30</f>
        <v>0</v>
      </c>
      <c r="E32" s="84">
        <f t="shared" si="15"/>
        <v>0</v>
      </c>
      <c r="F32" s="84">
        <f t="shared" si="15"/>
        <v>0</v>
      </c>
      <c r="G32" s="84"/>
      <c r="I32" s="24"/>
      <c r="J32" s="24"/>
      <c r="L32">
        <v>0</v>
      </c>
    </row>
    <row r="33" spans="1:10">
      <c r="B33" s="177" t="s">
        <v>245</v>
      </c>
      <c r="C33" s="199">
        <f>C30-C32</f>
        <v>0</v>
      </c>
      <c r="D33" s="199">
        <f t="shared" ref="D33:F33" si="16">D30-D32</f>
        <v>0</v>
      </c>
      <c r="E33" s="199">
        <f t="shared" si="16"/>
        <v>0</v>
      </c>
      <c r="F33" s="199">
        <f t="shared" si="16"/>
        <v>0</v>
      </c>
      <c r="G33" s="84"/>
      <c r="H33" s="4"/>
      <c r="I33" s="37"/>
      <c r="J33" s="37"/>
    </row>
    <row r="34" spans="1:10">
      <c r="A34" s="4" t="str">
        <f>'1. T1 INVESTOINTISUUN.'!B32</f>
        <v>6.</v>
      </c>
      <c r="B34" s="177" t="str">
        <f>'1. T1 INVESTOINTISUUN.'!C32</f>
        <v>Muut aineelliset hyödykkeet</v>
      </c>
      <c r="C34" s="177">
        <f>'1. T1 INVESTOINTISUUN.'!D32</f>
        <v>0</v>
      </c>
      <c r="D34" s="177">
        <f>'1. T1 INVESTOINTISUUN.'!E32</f>
        <v>0</v>
      </c>
      <c r="E34" s="177">
        <f>'1. T1 INVESTOINTISUUN.'!F32</f>
        <v>0</v>
      </c>
      <c r="F34" s="177">
        <f>'1. T1 INVESTOINTISUUN.'!G32</f>
        <v>0</v>
      </c>
      <c r="G34" s="433"/>
      <c r="H34" s="37"/>
      <c r="I34" s="37"/>
    </row>
    <row r="35" spans="1:10">
      <c r="A35" s="4"/>
      <c r="B35" s="177" t="str">
        <f>'1. T1 INVESTOINTISUUN.'!C33</f>
        <v xml:space="preserve"> - arvonlisävero-%</v>
      </c>
      <c r="C35" s="178">
        <f>'1. T1 INVESTOINTISUUN.'!D33</f>
        <v>0.24</v>
      </c>
      <c r="D35" s="178">
        <f>'1. T1 INVESTOINTISUUN.'!E33</f>
        <v>0.24</v>
      </c>
      <c r="E35" s="178">
        <f>'1. T1 INVESTOINTISUUN.'!F33</f>
        <v>0.24</v>
      </c>
      <c r="F35" s="178">
        <f>'1. T1 INVESTOINTISUUN.'!G33</f>
        <v>0.24</v>
      </c>
      <c r="G35" s="434"/>
      <c r="H35" s="37"/>
      <c r="I35" s="37"/>
    </row>
    <row r="36" spans="1:10">
      <c r="A36" s="4"/>
      <c r="B36" s="177" t="s">
        <v>202</v>
      </c>
      <c r="C36" s="179">
        <f>C34/(1+C35)</f>
        <v>0</v>
      </c>
      <c r="D36" s="179">
        <f>D34/(1+D35)</f>
        <v>0</v>
      </c>
      <c r="E36" s="179">
        <f>E34/(1+E35)</f>
        <v>0</v>
      </c>
      <c r="F36" s="179">
        <f>F34/(1+F35)</f>
        <v>0</v>
      </c>
      <c r="G36" s="434"/>
      <c r="H36" s="37"/>
      <c r="I36" s="37"/>
    </row>
    <row r="37" spans="1:10">
      <c r="A37" s="4"/>
      <c r="B37" s="177" t="s">
        <v>201</v>
      </c>
      <c r="C37" s="179">
        <f>C34-C36</f>
        <v>0</v>
      </c>
      <c r="D37" s="179">
        <f>D34-D36</f>
        <v>0</v>
      </c>
      <c r="E37" s="179">
        <f>E34-E36</f>
        <v>0</v>
      </c>
      <c r="F37" s="179">
        <f>F34-F36</f>
        <v>0</v>
      </c>
      <c r="G37" s="433"/>
      <c r="H37" s="37"/>
      <c r="I37" s="37"/>
    </row>
    <row r="38" spans="1:10">
      <c r="A38" s="4"/>
      <c r="B38" s="177" t="str">
        <f>'1. T1 INVESTOINTISUUN.'!C34</f>
        <v xml:space="preserve"> - avustus-%</v>
      </c>
      <c r="C38" s="178">
        <f>'1. T1 INVESTOINTISUUN.'!D34</f>
        <v>0</v>
      </c>
      <c r="D38" s="178">
        <f>'1. T1 INVESTOINTISUUN.'!E34</f>
        <v>0</v>
      </c>
      <c r="E38" s="178">
        <f>'1. T1 INVESTOINTISUUN.'!F34</f>
        <v>0</v>
      </c>
      <c r="F38" s="178">
        <f>'1. T1 INVESTOINTISUUN.'!G34</f>
        <v>0</v>
      </c>
      <c r="G38" s="434"/>
      <c r="H38" s="37"/>
      <c r="I38" s="37"/>
    </row>
    <row r="39" spans="1:10">
      <c r="A39" s="4"/>
      <c r="B39" s="177" t="s">
        <v>203</v>
      </c>
      <c r="C39" s="179">
        <f>C36*C38</f>
        <v>0</v>
      </c>
      <c r="D39" s="179">
        <f>D36*D38</f>
        <v>0</v>
      </c>
      <c r="E39" s="179">
        <f>E36*E38</f>
        <v>0</v>
      </c>
      <c r="F39" s="179">
        <f>F36*F38</f>
        <v>0</v>
      </c>
      <c r="G39" s="37"/>
      <c r="H39" s="24"/>
      <c r="I39" s="24"/>
    </row>
    <row r="40" spans="1:10">
      <c r="B40" s="177" t="s">
        <v>245</v>
      </c>
      <c r="C40" s="199">
        <f>C36-C39</f>
        <v>0</v>
      </c>
      <c r="D40" s="199">
        <f>D36-D39</f>
        <v>0</v>
      </c>
      <c r="E40" s="199">
        <f>E36-E39</f>
        <v>0</v>
      </c>
      <c r="F40" s="199">
        <f>F36-F39</f>
        <v>0</v>
      </c>
      <c r="G40" s="4"/>
      <c r="H40" s="37"/>
      <c r="I40" s="37"/>
    </row>
    <row r="41" spans="1:10">
      <c r="A41" s="4" t="str">
        <f>'1. T1 INVESTOINTISUUN.'!B35</f>
        <v>7.</v>
      </c>
      <c r="B41" s="177" t="str">
        <f>'1. T1 INVESTOINTISUUN.'!C35</f>
        <v xml:space="preserve">Aineettomat hyödykkeet </v>
      </c>
      <c r="C41" s="177">
        <f>'1. T1 INVESTOINTISUUN.'!D35</f>
        <v>0</v>
      </c>
      <c r="D41" s="177">
        <f>'1. T1 INVESTOINTISUUN.'!E35</f>
        <v>0</v>
      </c>
      <c r="E41" s="177">
        <f>'1. T1 INVESTOINTISUUN.'!F35</f>
        <v>0</v>
      </c>
      <c r="F41" s="177">
        <f>'1. T1 INVESTOINTISUUN.'!G35</f>
        <v>0</v>
      </c>
      <c r="G41" s="435"/>
      <c r="H41" s="37"/>
      <c r="I41" s="37"/>
    </row>
    <row r="42" spans="1:10">
      <c r="A42" s="4"/>
      <c r="B42" s="177" t="str">
        <f>'1. T1 INVESTOINTISUUN.'!C36</f>
        <v xml:space="preserve"> - arvonlisävero-%</v>
      </c>
      <c r="C42" s="273">
        <f>'1. T1 INVESTOINTISUUN.'!D36</f>
        <v>0.24</v>
      </c>
      <c r="D42" s="273">
        <f>'1. T1 INVESTOINTISUUN.'!E36</f>
        <v>0.24</v>
      </c>
      <c r="E42" s="273">
        <f>'1. T1 INVESTOINTISUUN.'!F36</f>
        <v>0.24</v>
      </c>
      <c r="F42" s="273">
        <f>'1. T1 INVESTOINTISUUN.'!G36</f>
        <v>0.24</v>
      </c>
      <c r="G42" s="434"/>
      <c r="H42" s="37"/>
      <c r="I42" s="37"/>
    </row>
    <row r="43" spans="1:10">
      <c r="A43" s="4"/>
      <c r="B43" s="177" t="s">
        <v>202</v>
      </c>
      <c r="C43" s="179">
        <f>C41/(1+C42)</f>
        <v>0</v>
      </c>
      <c r="D43" s="179">
        <f>D41/(1+D42)</f>
        <v>0</v>
      </c>
      <c r="E43" s="179">
        <f>E41/(1+E42)</f>
        <v>0</v>
      </c>
      <c r="F43" s="179">
        <f>F41/(1+F42)</f>
        <v>0</v>
      </c>
      <c r="G43" s="434"/>
      <c r="H43" s="37"/>
      <c r="I43" s="37"/>
    </row>
    <row r="44" spans="1:10">
      <c r="A44" s="4"/>
      <c r="B44" s="177" t="s">
        <v>201</v>
      </c>
      <c r="C44" s="179">
        <f>C41-C43</f>
        <v>0</v>
      </c>
      <c r="D44" s="179">
        <f>D41-D43</f>
        <v>0</v>
      </c>
      <c r="E44" s="179">
        <f>E41-E43</f>
        <v>0</v>
      </c>
      <c r="F44" s="179">
        <f>F41-F43</f>
        <v>0</v>
      </c>
      <c r="G44" s="433"/>
      <c r="H44" s="37"/>
      <c r="I44" s="37"/>
    </row>
    <row r="45" spans="1:10">
      <c r="A45" s="4"/>
      <c r="B45" s="177" t="s">
        <v>198</v>
      </c>
      <c r="C45" s="178">
        <f>'1. T1 INVESTOINTISUUN.'!D37</f>
        <v>0</v>
      </c>
      <c r="D45" s="178">
        <f>'1. T1 INVESTOINTISUUN.'!E37</f>
        <v>0</v>
      </c>
      <c r="E45" s="178">
        <f>'1. T1 INVESTOINTISUUN.'!F37</f>
        <v>0</v>
      </c>
      <c r="F45" s="178">
        <f>'1. T1 INVESTOINTISUUN.'!G37</f>
        <v>0</v>
      </c>
      <c r="G45" s="434"/>
      <c r="H45" s="37"/>
      <c r="I45" s="37"/>
    </row>
    <row r="46" spans="1:10">
      <c r="B46" s="177" t="s">
        <v>203</v>
      </c>
      <c r="C46" s="179">
        <f>C43*C45</f>
        <v>0</v>
      </c>
      <c r="D46" s="179">
        <f>D43*D45</f>
        <v>0</v>
      </c>
      <c r="E46" s="179">
        <f>E43*E45</f>
        <v>0</v>
      </c>
      <c r="F46" s="179">
        <f>F43*F45</f>
        <v>0</v>
      </c>
      <c r="G46" s="37"/>
      <c r="H46" s="24"/>
      <c r="I46" s="24"/>
    </row>
    <row r="47" spans="1:10">
      <c r="A47" s="4"/>
      <c r="B47" s="177" t="s">
        <v>245</v>
      </c>
      <c r="C47" s="199">
        <f>C43-C46</f>
        <v>0</v>
      </c>
      <c r="D47" s="199">
        <f>D43-D46</f>
        <v>0</v>
      </c>
      <c r="E47" s="199">
        <f>E43-E46</f>
        <v>0</v>
      </c>
      <c r="F47" s="199">
        <f>F43-F46</f>
        <v>0</v>
      </c>
      <c r="G47" s="4"/>
    </row>
    <row r="48" spans="1:10">
      <c r="A48" s="4"/>
      <c r="B48" s="4" t="s">
        <v>204</v>
      </c>
      <c r="C48" s="30">
        <f>C11+C24+C37+C44</f>
        <v>0</v>
      </c>
      <c r="D48" s="30">
        <f>D11+D24+D37+D44</f>
        <v>0</v>
      </c>
      <c r="E48" s="30">
        <f>E11+E24+E37+E44</f>
        <v>0</v>
      </c>
      <c r="F48" s="30">
        <f>F11+F24+F37+F44</f>
        <v>0</v>
      </c>
      <c r="G48" s="30"/>
    </row>
    <row r="49" spans="1:7">
      <c r="A49" s="4"/>
      <c r="B49" s="4" t="s">
        <v>205</v>
      </c>
      <c r="C49" s="30">
        <f>C6+C13+C17+C26+C39+C46+C32</f>
        <v>0</v>
      </c>
      <c r="D49" s="30">
        <f t="shared" ref="D49:E49" si="17">D6+D13+D17+D26+D39+D46+D32</f>
        <v>0</v>
      </c>
      <c r="E49" s="30">
        <f t="shared" si="17"/>
        <v>0</v>
      </c>
      <c r="F49" s="30">
        <f>F6+F13+F17+F26+F39+F46+F32</f>
        <v>0</v>
      </c>
      <c r="G49" s="1"/>
    </row>
    <row r="50" spans="1:7">
      <c r="A50" s="4"/>
      <c r="B50" s="4" t="s">
        <v>0</v>
      </c>
      <c r="C50" s="4"/>
      <c r="D50" s="4"/>
      <c r="E50" s="4"/>
      <c r="F50" s="1"/>
      <c r="G50" s="1"/>
    </row>
    <row r="51" spans="1:7">
      <c r="A51" s="4"/>
      <c r="B51" s="4"/>
      <c r="C51" s="4"/>
      <c r="D51" s="4"/>
      <c r="E51" s="4"/>
      <c r="F51" s="1"/>
      <c r="G51" s="1"/>
    </row>
    <row r="52" spans="1:7">
      <c r="A52" s="4"/>
      <c r="B52" s="4"/>
      <c r="C52" s="4"/>
      <c r="D52" s="4"/>
      <c r="E52" s="4"/>
      <c r="F52" s="1"/>
      <c r="G52" s="1"/>
    </row>
    <row r="53" spans="1:7">
      <c r="A53" s="4"/>
      <c r="B53" s="4"/>
      <c r="C53" s="4"/>
      <c r="D53" s="4"/>
      <c r="E53" s="4"/>
      <c r="F53" s="1"/>
      <c r="G53" s="1"/>
    </row>
    <row r="54" spans="1:7">
      <c r="A54" s="1"/>
      <c r="B54" s="1"/>
      <c r="C54" s="1"/>
      <c r="D54" s="1"/>
      <c r="E54" s="1"/>
      <c r="F54" s="1"/>
      <c r="G54" s="1"/>
    </row>
  </sheetData>
  <sheetProtection algorithmName="SHA-512" hashValue="RN+izPikJITAh6fzQ37kPD45B8B4uQJVQkhJmTaqlTbwbyPDjm/4Xbsq0aPmazLxWILxbUjDKCURie9MRuOEfQ==" saltValue="Rzid6BCQ9fmB1pByHKLv+g==" spinCount="100000" sheet="1" objects="1" scenarios="1" selectLockedCells="1" selectUnlockedCells="1"/>
  <mergeCells count="1">
    <mergeCell ref="B2:B3"/>
  </mergeCells>
  <pageMargins left="0.7" right="0.7" top="0.75" bottom="0.75" header="0.3" footer="0.3"/>
  <pageSetup paperSize="9" orientation="portrait" verticalDpi="4" r:id="rId1"/>
  <ignoredErrors>
    <ignoredError sqref="K5:N5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ul9"/>
  <dimension ref="A2:AM166"/>
  <sheetViews>
    <sheetView zoomScaleNormal="100" workbookViewId="0">
      <pane xSplit="10080" ySplit="1037" activePane="bottomRight"/>
      <selection activeCell="AM18" sqref="AM18"/>
      <selection pane="topRight" activeCell="Q5" sqref="Q1:Q1048576"/>
      <selection pane="bottomLeft" activeCell="B82" sqref="B82"/>
      <selection pane="bottomRight" activeCell="M12" sqref="M12"/>
    </sheetView>
  </sheetViews>
  <sheetFormatPr defaultRowHeight="12.45"/>
  <cols>
    <col min="1" max="1" width="37.07421875" customWidth="1"/>
    <col min="2" max="2" width="10" customWidth="1"/>
    <col min="3" max="3" width="12.69140625" style="86" customWidth="1"/>
    <col min="4" max="4" width="11.69140625" customWidth="1"/>
    <col min="5" max="5" width="8.69140625" customWidth="1"/>
    <col min="6" max="6" width="8.84375" customWidth="1"/>
    <col min="7" max="8" width="10" customWidth="1"/>
    <col min="9" max="9" width="8.84375" customWidth="1"/>
    <col min="10" max="10" width="11.3046875" customWidth="1"/>
    <col min="11" max="11" width="9.3046875" customWidth="1"/>
    <col min="12" max="12" width="10.07421875" customWidth="1"/>
    <col min="13" max="13" width="11.07421875" customWidth="1"/>
    <col min="14" max="14" width="9.53515625" customWidth="1"/>
    <col min="15" max="15" width="9" customWidth="1"/>
    <col min="16" max="16" width="7.53515625" customWidth="1"/>
    <col min="18" max="18" width="9.84375" customWidth="1"/>
    <col min="19" max="19" width="9.3046875" customWidth="1"/>
    <col min="20" max="20" width="10.3046875" customWidth="1"/>
    <col min="21" max="22" width="8.3046875" customWidth="1"/>
    <col min="23" max="23" width="9.07421875" customWidth="1"/>
    <col min="24" max="24" width="10.84375" customWidth="1"/>
    <col min="25" max="25" width="11" customWidth="1"/>
    <col min="26" max="26" width="10.3046875" customWidth="1"/>
    <col min="27" max="27" width="9.07421875" customWidth="1"/>
  </cols>
  <sheetData>
    <row r="2" spans="1:39" ht="12.9" thickBot="1"/>
    <row r="3" spans="1:39">
      <c r="E3" s="2261"/>
      <c r="F3" s="2262"/>
      <c r="G3" s="2262"/>
      <c r="H3" s="2262"/>
      <c r="I3" s="2263"/>
      <c r="J3" s="2261" t="str">
        <f>'4. T7 LAINAT '!F20</f>
        <v>Ennuste 1</v>
      </c>
      <c r="K3" s="2262"/>
      <c r="L3" s="2262"/>
      <c r="M3" s="2262"/>
      <c r="N3" s="2262"/>
      <c r="O3" s="2263"/>
      <c r="P3" s="2261" t="str">
        <f>'4. T7 LAINAT '!I20</f>
        <v>Ennuste 2</v>
      </c>
      <c r="Q3" s="2262"/>
      <c r="R3" s="2262"/>
      <c r="S3" s="2262"/>
      <c r="T3" s="2262"/>
      <c r="U3" s="2263"/>
      <c r="V3" s="2261" t="str">
        <f>'4. T7 LAINAT '!L20</f>
        <v>Ennuste 3</v>
      </c>
      <c r="W3" s="2262"/>
      <c r="X3" s="2262"/>
      <c r="Y3" s="2262"/>
      <c r="Z3" s="2262"/>
      <c r="AA3" s="2263"/>
      <c r="AB3" s="2261" t="s">
        <v>257</v>
      </c>
      <c r="AC3" s="2262"/>
      <c r="AD3" s="2262"/>
      <c r="AE3" s="2262"/>
      <c r="AF3" s="2262"/>
      <c r="AG3" s="2263"/>
      <c r="AH3" s="2261" t="s">
        <v>350</v>
      </c>
      <c r="AI3" s="2262"/>
      <c r="AJ3" s="2262"/>
      <c r="AK3" s="2262"/>
      <c r="AL3" s="2262"/>
      <c r="AM3" s="2263"/>
    </row>
    <row r="4" spans="1:39">
      <c r="E4" s="2264"/>
      <c r="F4" s="2265"/>
      <c r="G4" s="2265"/>
      <c r="H4" s="2265"/>
      <c r="I4" s="2266"/>
      <c r="J4" s="2264">
        <f>'4. T7 LAINAT '!F21</f>
        <v>2025</v>
      </c>
      <c r="K4" s="2265"/>
      <c r="L4" s="2265"/>
      <c r="M4" s="2265"/>
      <c r="N4" s="2265"/>
      <c r="O4" s="2266"/>
      <c r="P4" s="2264">
        <f>'4. T7 LAINAT '!I21</f>
        <v>2026</v>
      </c>
      <c r="Q4" s="2265"/>
      <c r="R4" s="2265"/>
      <c r="S4" s="2265"/>
      <c r="T4" s="2265"/>
      <c r="U4" s="2266"/>
      <c r="V4" s="2264">
        <f>'4. T7 LAINAT '!L21</f>
        <v>2027</v>
      </c>
      <c r="W4" s="2265"/>
      <c r="X4" s="2265"/>
      <c r="Y4" s="2265"/>
      <c r="Z4" s="2265"/>
      <c r="AA4" s="2266"/>
      <c r="AB4" s="2264">
        <f>'4. T7 LAINAT '!O21</f>
        <v>2028</v>
      </c>
      <c r="AC4" s="2265"/>
      <c r="AD4" s="2265"/>
      <c r="AE4" s="2265"/>
      <c r="AF4" s="2265"/>
      <c r="AG4" s="2266"/>
      <c r="AH4" s="2264">
        <f>'4. T7 LAINAT '!O21+1</f>
        <v>2029</v>
      </c>
      <c r="AI4" s="2265"/>
      <c r="AJ4" s="2265"/>
      <c r="AK4" s="2265"/>
      <c r="AL4" s="2265"/>
      <c r="AM4" s="2266"/>
    </row>
    <row r="5" spans="1:39">
      <c r="B5" s="2"/>
      <c r="C5" s="6" t="s">
        <v>136</v>
      </c>
      <c r="D5" s="2"/>
      <c r="E5" s="293"/>
      <c r="F5" s="294"/>
      <c r="G5" s="294"/>
      <c r="H5" s="294"/>
      <c r="I5" s="295"/>
      <c r="J5" s="293"/>
      <c r="K5" s="294" t="s">
        <v>136</v>
      </c>
      <c r="L5" s="294"/>
      <c r="M5" s="294"/>
      <c r="N5" s="294"/>
      <c r="O5" s="295"/>
      <c r="P5" s="293"/>
      <c r="Q5" s="294" t="s">
        <v>136</v>
      </c>
      <c r="R5" s="294"/>
      <c r="S5" s="294"/>
      <c r="T5" s="294"/>
      <c r="U5" s="295"/>
      <c r="V5" s="293"/>
      <c r="W5" s="294" t="s">
        <v>136</v>
      </c>
      <c r="X5" s="294"/>
      <c r="Y5" s="294"/>
      <c r="Z5" s="294"/>
      <c r="AA5" s="295"/>
      <c r="AB5" s="293"/>
      <c r="AC5" s="294" t="s">
        <v>136</v>
      </c>
      <c r="AD5" s="294"/>
      <c r="AE5" s="294"/>
      <c r="AF5" s="294"/>
      <c r="AG5" s="295"/>
      <c r="AH5" s="293"/>
      <c r="AI5" s="294" t="s">
        <v>136</v>
      </c>
      <c r="AJ5" s="294"/>
      <c r="AK5" s="294"/>
      <c r="AL5" s="294"/>
      <c r="AM5" s="295"/>
    </row>
    <row r="6" spans="1:39">
      <c r="A6" s="1" t="s">
        <v>258</v>
      </c>
      <c r="B6" s="6" t="s">
        <v>128</v>
      </c>
      <c r="C6" s="6" t="s">
        <v>135</v>
      </c>
      <c r="D6" s="6" t="s">
        <v>126</v>
      </c>
      <c r="E6" s="94" t="s">
        <v>129</v>
      </c>
      <c r="F6" s="90" t="s">
        <v>125</v>
      </c>
      <c r="G6" s="90" t="s">
        <v>137</v>
      </c>
      <c r="H6" s="90" t="s">
        <v>130</v>
      </c>
      <c r="I6" s="95" t="s">
        <v>126</v>
      </c>
      <c r="J6" s="94" t="s">
        <v>129</v>
      </c>
      <c r="K6" s="93" t="s">
        <v>343</v>
      </c>
      <c r="L6" s="90" t="s">
        <v>134</v>
      </c>
      <c r="M6" s="90" t="s">
        <v>137</v>
      </c>
      <c r="N6" s="90" t="s">
        <v>130</v>
      </c>
      <c r="O6" s="95" t="s">
        <v>126</v>
      </c>
      <c r="P6" s="94" t="s">
        <v>129</v>
      </c>
      <c r="Q6" s="93" t="s">
        <v>343</v>
      </c>
      <c r="R6" s="90" t="s">
        <v>134</v>
      </c>
      <c r="S6" s="90" t="s">
        <v>137</v>
      </c>
      <c r="T6" s="90" t="s">
        <v>130</v>
      </c>
      <c r="U6" s="95" t="s">
        <v>126</v>
      </c>
      <c r="V6" s="94" t="s">
        <v>129</v>
      </c>
      <c r="W6" s="93" t="s">
        <v>343</v>
      </c>
      <c r="X6" s="90" t="s">
        <v>134</v>
      </c>
      <c r="Y6" s="90" t="s">
        <v>137</v>
      </c>
      <c r="Z6" s="90" t="s">
        <v>130</v>
      </c>
      <c r="AA6" s="95" t="s">
        <v>126</v>
      </c>
      <c r="AB6" s="94" t="s">
        <v>129</v>
      </c>
      <c r="AC6" s="93" t="s">
        <v>343</v>
      </c>
      <c r="AD6" s="90" t="s">
        <v>134</v>
      </c>
      <c r="AE6" s="90" t="s">
        <v>137</v>
      </c>
      <c r="AF6" s="90" t="s">
        <v>130</v>
      </c>
      <c r="AG6" s="95" t="s">
        <v>126</v>
      </c>
      <c r="AH6" s="94" t="s">
        <v>129</v>
      </c>
      <c r="AI6" s="93" t="s">
        <v>343</v>
      </c>
      <c r="AJ6" s="90" t="s">
        <v>134</v>
      </c>
      <c r="AK6" s="90" t="s">
        <v>137</v>
      </c>
      <c r="AL6" s="90" t="s">
        <v>130</v>
      </c>
      <c r="AM6" s="95" t="s">
        <v>126</v>
      </c>
    </row>
    <row r="7" spans="1:39">
      <c r="A7" s="1" t="str">
        <f>'4. T7 LAINAT '!B11</f>
        <v xml:space="preserve"> Rahoittaja/rahoitettava kohde</v>
      </c>
      <c r="B7" s="208">
        <f>'4. T7 LAINAT '!C11</f>
        <v>0</v>
      </c>
      <c r="C7" s="82">
        <f>'4. T7 LAINAT '!D11</f>
        <v>0</v>
      </c>
      <c r="D7" s="209">
        <f>'4. T7 LAINAT '!E11</f>
        <v>0</v>
      </c>
      <c r="E7" s="391"/>
      <c r="F7" s="392"/>
      <c r="G7" s="393"/>
      <c r="H7" s="393"/>
      <c r="I7" s="394"/>
      <c r="J7" s="210"/>
      <c r="K7" s="213"/>
      <c r="L7" s="211">
        <f>'4. T7 LAINAT '!F11</f>
        <v>0</v>
      </c>
      <c r="M7" s="211">
        <f>N7+L7/4</f>
        <v>0</v>
      </c>
      <c r="N7" s="211">
        <f>B7</f>
        <v>0</v>
      </c>
      <c r="O7" s="212">
        <f>'4. T7 LAINAT '!H11</f>
        <v>0</v>
      </c>
      <c r="P7" s="210"/>
      <c r="Q7" s="213"/>
      <c r="R7" s="211">
        <f>'4. T7 LAINAT '!I11</f>
        <v>0</v>
      </c>
      <c r="S7" s="211">
        <f>N7-R7/4</f>
        <v>0</v>
      </c>
      <c r="T7" s="211">
        <f>N7-R7</f>
        <v>0</v>
      </c>
      <c r="U7" s="212">
        <f>'4. T7 LAINAT '!K11</f>
        <v>0</v>
      </c>
      <c r="V7" s="210"/>
      <c r="W7" s="213"/>
      <c r="X7" s="211">
        <f>'4. T7 LAINAT '!L11</f>
        <v>0</v>
      </c>
      <c r="Y7" s="211">
        <f>T7-X7/4</f>
        <v>0</v>
      </c>
      <c r="Z7" s="211">
        <f>T7-X7</f>
        <v>0</v>
      </c>
      <c r="AA7" s="212">
        <f>'4. T7 LAINAT '!N11</f>
        <v>0</v>
      </c>
      <c r="AB7" s="210"/>
      <c r="AC7" s="213"/>
      <c r="AD7" s="211">
        <f>'4. T7 LAINAT '!O11</f>
        <v>0</v>
      </c>
      <c r="AE7" s="211">
        <f>Z7-AD7/4</f>
        <v>0</v>
      </c>
      <c r="AF7" s="211">
        <f>Z7-AD7</f>
        <v>0</v>
      </c>
      <c r="AG7" s="212">
        <f>'4. T7 LAINAT '!Q11</f>
        <v>0</v>
      </c>
      <c r="AH7" s="210"/>
      <c r="AI7" s="213"/>
      <c r="AJ7" s="211">
        <f>IF(C7=0,0,IF(B7-R7-X7-AD7&lt;AD7,AF7,'AT2 Lainat,sotum., alv-osto'!AD7))</f>
        <v>0</v>
      </c>
      <c r="AK7" s="211">
        <f>AF7-AJ7/4</f>
        <v>0</v>
      </c>
      <c r="AL7" s="211">
        <f>AF7-AJ7</f>
        <v>0</v>
      </c>
      <c r="AM7" s="212"/>
    </row>
    <row r="8" spans="1:39">
      <c r="A8" s="1">
        <f>'4. T7 LAINAT '!B12</f>
        <v>0</v>
      </c>
      <c r="B8" s="208">
        <f>'4. T7 LAINAT '!C12</f>
        <v>0</v>
      </c>
      <c r="C8" s="82">
        <f>'4. T7 LAINAT '!D12</f>
        <v>0</v>
      </c>
      <c r="D8" s="209">
        <f>'4. T7 LAINAT '!E12</f>
        <v>0</v>
      </c>
      <c r="E8" s="391"/>
      <c r="F8" s="392"/>
      <c r="G8" s="393"/>
      <c r="H8" s="393"/>
      <c r="I8" s="394"/>
      <c r="J8" s="210"/>
      <c r="K8" s="213"/>
      <c r="L8" s="211">
        <f>'4. T7 LAINAT '!F12</f>
        <v>0</v>
      </c>
      <c r="M8" s="211">
        <f t="shared" ref="M8:M13" si="0">N8+L8/4</f>
        <v>0</v>
      </c>
      <c r="N8" s="211">
        <f t="shared" ref="N8:N13" si="1">B8</f>
        <v>0</v>
      </c>
      <c r="O8" s="212">
        <f>'4. T7 LAINAT '!H12</f>
        <v>0</v>
      </c>
      <c r="P8" s="210"/>
      <c r="Q8" s="213"/>
      <c r="R8" s="211">
        <f>'4. T7 LAINAT '!I12</f>
        <v>0</v>
      </c>
      <c r="S8" s="211">
        <f t="shared" ref="S8:S14" si="2">N8-R8/4</f>
        <v>0</v>
      </c>
      <c r="T8" s="211">
        <f t="shared" ref="T8:T13" si="3">N8-R8</f>
        <v>0</v>
      </c>
      <c r="U8" s="212">
        <f>'4. T7 LAINAT '!K12</f>
        <v>0</v>
      </c>
      <c r="V8" s="210"/>
      <c r="W8" s="213"/>
      <c r="X8" s="211">
        <f>'4. T7 LAINAT '!L12</f>
        <v>0</v>
      </c>
      <c r="Y8" s="211">
        <f t="shared" ref="Y8:Y14" si="4">T8-X8/4</f>
        <v>0</v>
      </c>
      <c r="Z8" s="211">
        <f t="shared" ref="Z8:Z13" si="5">T8-X8</f>
        <v>0</v>
      </c>
      <c r="AA8" s="212">
        <f>'4. T7 LAINAT '!N12</f>
        <v>0</v>
      </c>
      <c r="AB8" s="210"/>
      <c r="AC8" s="213"/>
      <c r="AD8" s="211">
        <f>'4. T7 LAINAT '!O12</f>
        <v>0</v>
      </c>
      <c r="AE8" s="211">
        <f t="shared" ref="AE8:AE14" si="6">Z8-AD8/4</f>
        <v>0</v>
      </c>
      <c r="AF8" s="211">
        <f t="shared" ref="AF8:AF13" si="7">Z8-AD8</f>
        <v>0</v>
      </c>
      <c r="AG8" s="212">
        <f>'4. T7 LAINAT '!Q12</f>
        <v>0</v>
      </c>
      <c r="AH8" s="210"/>
      <c r="AI8" s="213"/>
      <c r="AJ8" s="211">
        <f>IF(C8=0,0,IF(B8-R8-X8-AD8&lt;AD8,AF8,'AT2 Lainat,sotum., alv-osto'!AD8))</f>
        <v>0</v>
      </c>
      <c r="AK8" s="211">
        <f t="shared" ref="AK8:AK14" si="8">AF8-AJ8/4</f>
        <v>0</v>
      </c>
      <c r="AL8" s="211">
        <f t="shared" ref="AL8:AL13" si="9">AF8-AJ8</f>
        <v>0</v>
      </c>
      <c r="AM8" s="212"/>
    </row>
    <row r="9" spans="1:39">
      <c r="A9" s="1">
        <f>'4. T7 LAINAT '!B13</f>
        <v>0</v>
      </c>
      <c r="B9" s="208">
        <f>'4. T7 LAINAT '!C13</f>
        <v>0</v>
      </c>
      <c r="C9" s="82">
        <f>'4. T7 LAINAT '!D13</f>
        <v>0</v>
      </c>
      <c r="D9" s="209">
        <f>'4. T7 LAINAT '!E13</f>
        <v>0</v>
      </c>
      <c r="E9" s="391"/>
      <c r="F9" s="392"/>
      <c r="G9" s="393"/>
      <c r="H9" s="393"/>
      <c r="I9" s="394"/>
      <c r="J9" s="210"/>
      <c r="K9" s="213"/>
      <c r="L9" s="211">
        <f>'4. T7 LAINAT '!F13</f>
        <v>0</v>
      </c>
      <c r="M9" s="211">
        <f t="shared" si="0"/>
        <v>0</v>
      </c>
      <c r="N9" s="211">
        <f t="shared" si="1"/>
        <v>0</v>
      </c>
      <c r="O9" s="212">
        <f>'4. T7 LAINAT '!H13</f>
        <v>0</v>
      </c>
      <c r="P9" s="210"/>
      <c r="Q9" s="213"/>
      <c r="R9" s="211">
        <f>'4. T7 LAINAT '!I13</f>
        <v>0</v>
      </c>
      <c r="S9" s="211">
        <f t="shared" si="2"/>
        <v>0</v>
      </c>
      <c r="T9" s="211">
        <f t="shared" si="3"/>
        <v>0</v>
      </c>
      <c r="U9" s="212">
        <f>'4. T7 LAINAT '!K13</f>
        <v>0</v>
      </c>
      <c r="V9" s="210"/>
      <c r="W9" s="213"/>
      <c r="X9" s="211">
        <f>'4. T7 LAINAT '!L13</f>
        <v>0</v>
      </c>
      <c r="Y9" s="211">
        <f t="shared" si="4"/>
        <v>0</v>
      </c>
      <c r="Z9" s="211">
        <f t="shared" si="5"/>
        <v>0</v>
      </c>
      <c r="AA9" s="212">
        <f>'4. T7 LAINAT '!N13</f>
        <v>0</v>
      </c>
      <c r="AB9" s="210"/>
      <c r="AC9" s="213"/>
      <c r="AD9" s="211">
        <f>'4. T7 LAINAT '!O13</f>
        <v>0</v>
      </c>
      <c r="AE9" s="211">
        <f t="shared" si="6"/>
        <v>0</v>
      </c>
      <c r="AF9" s="211">
        <f t="shared" si="7"/>
        <v>0</v>
      </c>
      <c r="AG9" s="212">
        <f>'4. T7 LAINAT '!Q13</f>
        <v>0</v>
      </c>
      <c r="AH9" s="210"/>
      <c r="AI9" s="213"/>
      <c r="AJ9" s="211">
        <f>IF(C9=0,0,IF(B9-R9-X9-AD9&lt;AD9,AF9,'AT2 Lainat,sotum., alv-osto'!AD9))</f>
        <v>0</v>
      </c>
      <c r="AK9" s="211">
        <f t="shared" si="8"/>
        <v>0</v>
      </c>
      <c r="AL9" s="211">
        <f t="shared" si="9"/>
        <v>0</v>
      </c>
      <c r="AM9" s="212"/>
    </row>
    <row r="10" spans="1:39">
      <c r="A10" s="1">
        <f>'4. T7 LAINAT '!B14</f>
        <v>0</v>
      </c>
      <c r="B10" s="208">
        <f>'4. T7 LAINAT '!C14</f>
        <v>0</v>
      </c>
      <c r="C10" s="82">
        <f>'4. T7 LAINAT '!D14</f>
        <v>0</v>
      </c>
      <c r="D10" s="209">
        <f>'4. T7 LAINAT '!E14</f>
        <v>0</v>
      </c>
      <c r="E10" s="391"/>
      <c r="F10" s="392"/>
      <c r="G10" s="393"/>
      <c r="H10" s="393"/>
      <c r="I10" s="394"/>
      <c r="J10" s="210"/>
      <c r="K10" s="213"/>
      <c r="L10" s="211">
        <f>'4. T7 LAINAT '!F14</f>
        <v>0</v>
      </c>
      <c r="M10" s="211">
        <f t="shared" si="0"/>
        <v>0</v>
      </c>
      <c r="N10" s="211">
        <f t="shared" si="1"/>
        <v>0</v>
      </c>
      <c r="O10" s="212">
        <f>'4. T7 LAINAT '!H14</f>
        <v>0</v>
      </c>
      <c r="P10" s="210"/>
      <c r="Q10" s="213"/>
      <c r="R10" s="211">
        <f>'4. T7 LAINAT '!I14</f>
        <v>0</v>
      </c>
      <c r="S10" s="211">
        <f t="shared" si="2"/>
        <v>0</v>
      </c>
      <c r="T10" s="211">
        <f t="shared" si="3"/>
        <v>0</v>
      </c>
      <c r="U10" s="212">
        <f>'4. T7 LAINAT '!K14</f>
        <v>0</v>
      </c>
      <c r="V10" s="210"/>
      <c r="W10" s="213"/>
      <c r="X10" s="211">
        <f>'4. T7 LAINAT '!L14</f>
        <v>0</v>
      </c>
      <c r="Y10" s="211">
        <f t="shared" si="4"/>
        <v>0</v>
      </c>
      <c r="Z10" s="211">
        <f t="shared" si="5"/>
        <v>0</v>
      </c>
      <c r="AA10" s="212">
        <f>'4. T7 LAINAT '!N14</f>
        <v>0</v>
      </c>
      <c r="AB10" s="210"/>
      <c r="AC10" s="213"/>
      <c r="AD10" s="211">
        <f>'4. T7 LAINAT '!O14</f>
        <v>0</v>
      </c>
      <c r="AE10" s="211">
        <f t="shared" si="6"/>
        <v>0</v>
      </c>
      <c r="AF10" s="211">
        <f t="shared" si="7"/>
        <v>0</v>
      </c>
      <c r="AG10" s="212">
        <f>'4. T7 LAINAT '!Q14</f>
        <v>0</v>
      </c>
      <c r="AH10" s="210"/>
      <c r="AI10" s="213"/>
      <c r="AJ10" s="211">
        <f>IF(C10=0,0,IF(B10-R10-X10-AD10&lt;AD10,AF10,'AT2 Lainat,sotum., alv-osto'!AD10))</f>
        <v>0</v>
      </c>
      <c r="AK10" s="211">
        <f t="shared" si="8"/>
        <v>0</v>
      </c>
      <c r="AL10" s="211">
        <f t="shared" si="9"/>
        <v>0</v>
      </c>
      <c r="AM10" s="212"/>
    </row>
    <row r="11" spans="1:39">
      <c r="A11" s="1">
        <f>'4. T7 LAINAT '!B15</f>
        <v>0</v>
      </c>
      <c r="B11" s="208">
        <f>'4. T7 LAINAT '!C15</f>
        <v>0</v>
      </c>
      <c r="C11" s="82">
        <f>'4. T7 LAINAT '!D15</f>
        <v>0</v>
      </c>
      <c r="D11" s="209">
        <f>'4. T7 LAINAT '!E15</f>
        <v>0</v>
      </c>
      <c r="E11" s="391"/>
      <c r="F11" s="392"/>
      <c r="G11" s="393"/>
      <c r="H11" s="393"/>
      <c r="I11" s="394"/>
      <c r="J11" s="210"/>
      <c r="K11" s="213"/>
      <c r="L11" s="211">
        <f>'4. T7 LAINAT '!F15</f>
        <v>0</v>
      </c>
      <c r="M11" s="211">
        <f t="shared" si="0"/>
        <v>0</v>
      </c>
      <c r="N11" s="211">
        <f t="shared" si="1"/>
        <v>0</v>
      </c>
      <c r="O11" s="212">
        <f>'4. T7 LAINAT '!H15</f>
        <v>0</v>
      </c>
      <c r="P11" s="210"/>
      <c r="Q11" s="213"/>
      <c r="R11" s="211">
        <f>'4. T7 LAINAT '!I15</f>
        <v>0</v>
      </c>
      <c r="S11" s="211">
        <f t="shared" si="2"/>
        <v>0</v>
      </c>
      <c r="T11" s="211">
        <f t="shared" si="3"/>
        <v>0</v>
      </c>
      <c r="U11" s="212">
        <f>'4. T7 LAINAT '!K15</f>
        <v>0</v>
      </c>
      <c r="V11" s="210"/>
      <c r="W11" s="213"/>
      <c r="X11" s="211">
        <f>'4. T7 LAINAT '!L15</f>
        <v>0</v>
      </c>
      <c r="Y11" s="211">
        <f t="shared" si="4"/>
        <v>0</v>
      </c>
      <c r="Z11" s="211">
        <f t="shared" si="5"/>
        <v>0</v>
      </c>
      <c r="AA11" s="212">
        <f>'4. T7 LAINAT '!N15</f>
        <v>0</v>
      </c>
      <c r="AB11" s="210"/>
      <c r="AC11" s="213"/>
      <c r="AD11" s="211">
        <f>'4. T7 LAINAT '!O15</f>
        <v>0</v>
      </c>
      <c r="AE11" s="211">
        <f t="shared" si="6"/>
        <v>0</v>
      </c>
      <c r="AF11" s="211">
        <f t="shared" si="7"/>
        <v>0</v>
      </c>
      <c r="AG11" s="212">
        <f>'4. T7 LAINAT '!Q15</f>
        <v>0</v>
      </c>
      <c r="AH11" s="210"/>
      <c r="AI11" s="213"/>
      <c r="AJ11" s="211">
        <f>IF(C11=0,0,IF(B11-R11-X11-AD11&lt;AD11,AF11,'AT2 Lainat,sotum., alv-osto'!AD11))</f>
        <v>0</v>
      </c>
      <c r="AK11" s="211">
        <f t="shared" si="8"/>
        <v>0</v>
      </c>
      <c r="AL11" s="211">
        <f t="shared" si="9"/>
        <v>0</v>
      </c>
      <c r="AM11" s="212"/>
    </row>
    <row r="12" spans="1:39">
      <c r="A12" s="1">
        <f>'4. T7 LAINAT '!B16</f>
        <v>0</v>
      </c>
      <c r="B12" s="208">
        <f>'4. T7 LAINAT '!C16</f>
        <v>0</v>
      </c>
      <c r="C12" s="82">
        <f>'4. T7 LAINAT '!D16</f>
        <v>0</v>
      </c>
      <c r="D12" s="209">
        <f>'4. T7 LAINAT '!E16</f>
        <v>0</v>
      </c>
      <c r="E12" s="391"/>
      <c r="F12" s="392"/>
      <c r="G12" s="393"/>
      <c r="H12" s="393"/>
      <c r="I12" s="394"/>
      <c r="J12" s="210"/>
      <c r="K12" s="213"/>
      <c r="L12" s="211">
        <f>'4. T7 LAINAT '!F16</f>
        <v>0</v>
      </c>
      <c r="M12" s="211">
        <f t="shared" si="0"/>
        <v>0</v>
      </c>
      <c r="N12" s="211">
        <f t="shared" si="1"/>
        <v>0</v>
      </c>
      <c r="O12" s="212">
        <f>'4. T7 LAINAT '!H16</f>
        <v>0</v>
      </c>
      <c r="P12" s="210"/>
      <c r="Q12" s="213"/>
      <c r="R12" s="211">
        <f>'4. T7 LAINAT '!I16</f>
        <v>0</v>
      </c>
      <c r="S12" s="211">
        <f t="shared" si="2"/>
        <v>0</v>
      </c>
      <c r="T12" s="211">
        <f t="shared" si="3"/>
        <v>0</v>
      </c>
      <c r="U12" s="212">
        <f>'4. T7 LAINAT '!K16</f>
        <v>0</v>
      </c>
      <c r="V12" s="210"/>
      <c r="W12" s="213"/>
      <c r="X12" s="211">
        <f>'4. T7 LAINAT '!L16</f>
        <v>0</v>
      </c>
      <c r="Y12" s="211">
        <f t="shared" si="4"/>
        <v>0</v>
      </c>
      <c r="Z12" s="211">
        <f t="shared" si="5"/>
        <v>0</v>
      </c>
      <c r="AA12" s="212">
        <f>'4. T7 LAINAT '!N16</f>
        <v>0</v>
      </c>
      <c r="AB12" s="210"/>
      <c r="AC12" s="213"/>
      <c r="AD12" s="211">
        <f>'4. T7 LAINAT '!O16</f>
        <v>0</v>
      </c>
      <c r="AE12" s="211">
        <f t="shared" si="6"/>
        <v>0</v>
      </c>
      <c r="AF12" s="211">
        <f t="shared" si="7"/>
        <v>0</v>
      </c>
      <c r="AG12" s="212">
        <f>'4. T7 LAINAT '!Q16</f>
        <v>0</v>
      </c>
      <c r="AH12" s="210"/>
      <c r="AI12" s="213"/>
      <c r="AJ12" s="211">
        <f>IF(C12=0,0,IF(B12-R12-X12-AD12&lt;AD12,AF12,'AT2 Lainat,sotum., alv-osto'!AD12))</f>
        <v>0</v>
      </c>
      <c r="AK12" s="211">
        <f t="shared" si="8"/>
        <v>0</v>
      </c>
      <c r="AL12" s="211">
        <f t="shared" si="9"/>
        <v>0</v>
      </c>
      <c r="AM12" s="212"/>
    </row>
    <row r="13" spans="1:39">
      <c r="A13" s="1" t="str">
        <f>'4. T7 LAINAT '!B17</f>
        <v xml:space="preserve"> Luotollinen tili</v>
      </c>
      <c r="B13" s="208">
        <f>'4. T7 LAINAT '!C17</f>
        <v>0</v>
      </c>
      <c r="C13" s="82">
        <f>'4. T7 LAINAT '!D17</f>
        <v>0</v>
      </c>
      <c r="D13" s="209">
        <f>'4. T7 LAINAT '!E17</f>
        <v>0</v>
      </c>
      <c r="E13" s="391"/>
      <c r="F13" s="392"/>
      <c r="G13" s="393"/>
      <c r="H13" s="393"/>
      <c r="I13" s="394"/>
      <c r="J13" s="210"/>
      <c r="K13" s="213"/>
      <c r="L13" s="211">
        <f>'4. T7 LAINAT '!F17</f>
        <v>0</v>
      </c>
      <c r="M13" s="211">
        <f t="shared" si="0"/>
        <v>0</v>
      </c>
      <c r="N13" s="211">
        <f t="shared" si="1"/>
        <v>0</v>
      </c>
      <c r="O13" s="212">
        <f>'4. T7 LAINAT '!H17</f>
        <v>0</v>
      </c>
      <c r="P13" s="210"/>
      <c r="Q13" s="213"/>
      <c r="R13" s="211">
        <f>'4. T7 LAINAT '!I17</f>
        <v>0</v>
      </c>
      <c r="S13" s="211">
        <f t="shared" si="2"/>
        <v>0</v>
      </c>
      <c r="T13" s="211">
        <f t="shared" si="3"/>
        <v>0</v>
      </c>
      <c r="U13" s="212">
        <f>'4. T7 LAINAT '!K17</f>
        <v>0</v>
      </c>
      <c r="V13" s="210"/>
      <c r="W13" s="213"/>
      <c r="X13" s="211">
        <f>'4. T7 LAINAT '!L17</f>
        <v>0</v>
      </c>
      <c r="Y13" s="211">
        <f t="shared" si="4"/>
        <v>0</v>
      </c>
      <c r="Z13" s="211">
        <f t="shared" si="5"/>
        <v>0</v>
      </c>
      <c r="AA13" s="212">
        <f>'4. T7 LAINAT '!N17</f>
        <v>0</v>
      </c>
      <c r="AB13" s="210"/>
      <c r="AC13" s="213"/>
      <c r="AD13" s="211">
        <f>'4. T7 LAINAT '!O17</f>
        <v>0</v>
      </c>
      <c r="AE13" s="211">
        <f t="shared" si="6"/>
        <v>0</v>
      </c>
      <c r="AF13" s="211">
        <f t="shared" si="7"/>
        <v>0</v>
      </c>
      <c r="AG13" s="212">
        <f>'4. T7 LAINAT '!Q17</f>
        <v>0</v>
      </c>
      <c r="AH13" s="210"/>
      <c r="AI13" s="213"/>
      <c r="AJ13" s="211">
        <f>IF(C13=0,0,IF(B13-R13-X13-AD13&lt;AD13,AF13,'AT2 Lainat,sotum., alv-osto'!AD13))</f>
        <v>0</v>
      </c>
      <c r="AK13" s="211">
        <f t="shared" si="8"/>
        <v>0</v>
      </c>
      <c r="AL13" s="211">
        <f t="shared" si="9"/>
        <v>0</v>
      </c>
      <c r="AM13" s="212"/>
    </row>
    <row r="14" spans="1:39" s="2" customFormat="1">
      <c r="A14" s="2" t="s">
        <v>301</v>
      </c>
      <c r="B14" s="289">
        <f>SUM(B7:B13)</f>
        <v>0</v>
      </c>
      <c r="C14" s="523"/>
      <c r="D14" s="290"/>
      <c r="E14" s="210"/>
      <c r="F14" s="297">
        <f>SUM(F7:F13)</f>
        <v>0</v>
      </c>
      <c r="G14" s="298"/>
      <c r="H14" s="297">
        <f>SUM(H7:H13)</f>
        <v>0</v>
      </c>
      <c r="I14" s="212"/>
      <c r="J14" s="210"/>
      <c r="K14" s="213"/>
      <c r="L14" s="289">
        <f>SUM(L7:L13)</f>
        <v>0</v>
      </c>
      <c r="M14" s="289">
        <f>SUM(M7:M13)</f>
        <v>0</v>
      </c>
      <c r="N14" s="289">
        <f>SUM(N7:N13)</f>
        <v>0</v>
      </c>
      <c r="O14" s="289">
        <f>SUM(O7:O13)</f>
        <v>0</v>
      </c>
      <c r="P14" s="289">
        <f>SUM(P7:P13)</f>
        <v>0</v>
      </c>
      <c r="Q14" s="213"/>
      <c r="R14" s="289">
        <f>SUM(R7:R13)</f>
        <v>0</v>
      </c>
      <c r="S14" s="211">
        <f t="shared" si="2"/>
        <v>0</v>
      </c>
      <c r="T14" s="289">
        <f>SUM(T7:T13)</f>
        <v>0</v>
      </c>
      <c r="U14" s="289">
        <f>SUM(U7:U13)</f>
        <v>0</v>
      </c>
      <c r="V14" s="289">
        <f>SUM(V7:V13)</f>
        <v>0</v>
      </c>
      <c r="W14" s="213"/>
      <c r="X14" s="289">
        <f t="shared" ref="X14:AM14" si="10">SUM(X7:X13)</f>
        <v>0</v>
      </c>
      <c r="Y14" s="211">
        <f t="shared" si="4"/>
        <v>0</v>
      </c>
      <c r="Z14" s="289">
        <f t="shared" si="10"/>
        <v>0</v>
      </c>
      <c r="AA14" s="289">
        <f t="shared" si="10"/>
        <v>0</v>
      </c>
      <c r="AB14" s="289">
        <f t="shared" si="10"/>
        <v>0</v>
      </c>
      <c r="AC14" s="289">
        <f t="shared" si="10"/>
        <v>0</v>
      </c>
      <c r="AD14" s="289">
        <f t="shared" si="10"/>
        <v>0</v>
      </c>
      <c r="AE14" s="211">
        <f t="shared" si="6"/>
        <v>0</v>
      </c>
      <c r="AF14" s="289">
        <f t="shared" si="10"/>
        <v>0</v>
      </c>
      <c r="AG14" s="289">
        <f t="shared" si="10"/>
        <v>0</v>
      </c>
      <c r="AH14" s="289">
        <f t="shared" si="10"/>
        <v>0</v>
      </c>
      <c r="AI14" s="289">
        <f t="shared" si="10"/>
        <v>0</v>
      </c>
      <c r="AJ14" s="289">
        <f t="shared" si="10"/>
        <v>0</v>
      </c>
      <c r="AK14" s="211">
        <f t="shared" si="8"/>
        <v>0</v>
      </c>
      <c r="AL14" s="289">
        <f t="shared" si="10"/>
        <v>0</v>
      </c>
      <c r="AM14" s="289">
        <f t="shared" si="10"/>
        <v>0</v>
      </c>
    </row>
    <row r="15" spans="1:39">
      <c r="A15" s="1" t="s">
        <v>127</v>
      </c>
      <c r="B15" s="40"/>
      <c r="C15" s="82"/>
      <c r="D15" s="40"/>
      <c r="E15" s="94"/>
      <c r="F15" s="90"/>
      <c r="G15" s="90"/>
      <c r="H15" s="90"/>
      <c r="I15" s="95"/>
      <c r="J15" s="94"/>
      <c r="K15" s="93"/>
      <c r="L15" s="90"/>
      <c r="M15" s="90"/>
      <c r="N15" s="90"/>
      <c r="O15" s="95"/>
      <c r="P15" s="94"/>
      <c r="Q15" s="93"/>
      <c r="R15" s="90"/>
      <c r="S15" s="90"/>
      <c r="T15" s="90"/>
      <c r="U15" s="95"/>
      <c r="V15" s="94"/>
      <c r="W15" s="93"/>
      <c r="X15" s="90"/>
      <c r="Y15" s="90"/>
      <c r="Z15" s="90"/>
      <c r="AA15" s="95"/>
      <c r="AB15" s="94"/>
      <c r="AC15" s="93"/>
      <c r="AD15" s="211" t="s">
        <v>0</v>
      </c>
      <c r="AE15" s="90"/>
      <c r="AF15" s="90"/>
      <c r="AG15" s="95"/>
      <c r="AH15" s="94"/>
      <c r="AI15" s="93"/>
      <c r="AJ15" s="211" t="s">
        <v>0</v>
      </c>
      <c r="AK15" s="90"/>
      <c r="AL15" s="90"/>
      <c r="AM15" s="95"/>
    </row>
    <row r="16" spans="1:39">
      <c r="A16" s="84" t="str">
        <f>'4. T7 LAINAT '!B24</f>
        <v xml:space="preserve"> Rahoittaja/rahoitettava kohde</v>
      </c>
      <c r="B16" s="91">
        <f>'4. T7 LAINAT '!C24</f>
        <v>0</v>
      </c>
      <c r="C16" s="524">
        <f>'4. T7 LAINAT '!D24</f>
        <v>0</v>
      </c>
      <c r="D16" s="92">
        <f>'4. T7 LAINAT '!E24</f>
        <v>0</v>
      </c>
      <c r="E16" s="689"/>
      <c r="F16" s="690"/>
      <c r="G16" s="690"/>
      <c r="H16" s="690"/>
      <c r="I16" s="691"/>
      <c r="J16" s="219">
        <f>'4. T7 LAINAT '!F24</f>
        <v>0</v>
      </c>
      <c r="K16" s="220">
        <f>IF(H16&gt;0,IF(C16-1&gt;0,C16-1,C16),C16)</f>
        <v>0</v>
      </c>
      <c r="L16" s="199">
        <f>'4. T7 LAINAT '!G24</f>
        <v>0</v>
      </c>
      <c r="M16" s="199">
        <f>E16-F16+J16-L16/4</f>
        <v>0</v>
      </c>
      <c r="N16" s="199">
        <f>J16-L16</f>
        <v>0</v>
      </c>
      <c r="O16" s="172">
        <f>IF($D16*M16&lt;0,0,M16*$D16)</f>
        <v>0</v>
      </c>
      <c r="P16" s="173">
        <f>'4. T7 LAINAT '!I24</f>
        <v>0</v>
      </c>
      <c r="Q16" s="220">
        <f t="shared" ref="Q16:Q21" si="11">IF(E16=0,IF(J16=0,K16,$C16-1),$C16-2)</f>
        <v>0</v>
      </c>
      <c r="R16" s="199">
        <f>'4. T7 LAINAT '!J24</f>
        <v>0</v>
      </c>
      <c r="S16" s="199">
        <f t="shared" ref="S16:S21" si="12">N16+P16-R16/4</f>
        <v>0</v>
      </c>
      <c r="T16" s="199">
        <f t="shared" ref="T16:T21" si="13">N16+P16-R16</f>
        <v>0</v>
      </c>
      <c r="U16" s="172">
        <f t="shared" ref="U16:U21" si="14">IF($D16*S16&lt;0,0,S16*$D16)</f>
        <v>0</v>
      </c>
      <c r="V16" s="173">
        <f>'4. T7 LAINAT '!L24</f>
        <v>0</v>
      </c>
      <c r="W16" s="220">
        <f>IF(Q16-1&gt;0,Q16-1,0)</f>
        <v>0</v>
      </c>
      <c r="X16" s="199">
        <f>'4. T7 LAINAT '!M24</f>
        <v>0</v>
      </c>
      <c r="Y16" s="199">
        <f>(T16+V16-X16/4)</f>
        <v>0</v>
      </c>
      <c r="Z16" s="199">
        <f>T16+V16-X16</f>
        <v>0</v>
      </c>
      <c r="AA16" s="172">
        <f>IF($D16*Y16&lt;0,0,Y16*$D16)</f>
        <v>0</v>
      </c>
      <c r="AB16" s="173">
        <f>'4. T7 LAINAT '!O24</f>
        <v>0</v>
      </c>
      <c r="AC16" s="220">
        <f>IF(W16-1&gt;0,W16-1,0)</f>
        <v>0</v>
      </c>
      <c r="AD16" s="211">
        <f>'4. T7 LAINAT '!P24</f>
        <v>0</v>
      </c>
      <c r="AE16" s="199">
        <f>(Z16+AB16-AD16/4)</f>
        <v>0</v>
      </c>
      <c r="AF16" s="199">
        <f>Z16+AB16-AD16</f>
        <v>0</v>
      </c>
      <c r="AG16" s="172">
        <f>IF($D16*AE16&lt;0,0,AE16*$D16)</f>
        <v>0</v>
      </c>
      <c r="AH16" s="173">
        <v>0</v>
      </c>
      <c r="AI16" s="220">
        <f>IF(AC16-1&gt;0,AC16-1,0)</f>
        <v>0</v>
      </c>
      <c r="AJ16" s="211">
        <f>IF(C16=0,0,IF(B16-R16-X16-AD16-L16&lt;=0,0,IF(AF16&lt;AD16,AF16,'AT2 Lainat,sotum., alv-osto'!AD16)))</f>
        <v>0</v>
      </c>
      <c r="AK16" s="199">
        <f>(AF16+AH16-AJ16/4)</f>
        <v>0</v>
      </c>
      <c r="AL16" s="199">
        <f>AF16+AH16-AJ16</f>
        <v>0</v>
      </c>
      <c r="AM16" s="172">
        <f>IF($D16*AK16&lt;0,0,AK16*$D16)</f>
        <v>0</v>
      </c>
    </row>
    <row r="17" spans="1:39">
      <c r="A17" s="84">
        <f>'4. T7 LAINAT '!B25</f>
        <v>0</v>
      </c>
      <c r="B17" s="91">
        <f>'4. T7 LAINAT '!C25</f>
        <v>0</v>
      </c>
      <c r="C17" s="524">
        <f>'4. T7 LAINAT '!D25</f>
        <v>0</v>
      </c>
      <c r="D17" s="92">
        <f>'4. T7 LAINAT '!E25</f>
        <v>0</v>
      </c>
      <c r="E17" s="689"/>
      <c r="F17" s="690"/>
      <c r="G17" s="690"/>
      <c r="H17" s="690"/>
      <c r="I17" s="691"/>
      <c r="J17" s="219">
        <f>'4. T7 LAINAT '!F25</f>
        <v>0</v>
      </c>
      <c r="K17" s="220">
        <f>IF(H17&gt;0,IF(C17-1&gt;0,C17-1,C17),C17)</f>
        <v>0</v>
      </c>
      <c r="L17" s="199">
        <f>'4. T7 LAINAT '!G25</f>
        <v>0</v>
      </c>
      <c r="M17" s="199">
        <f>E17-F17+J17-L17/4</f>
        <v>0</v>
      </c>
      <c r="N17" s="199">
        <f>J17-L17</f>
        <v>0</v>
      </c>
      <c r="O17" s="172">
        <f>IF($D17*M17&lt;0,0,M17*$D17)</f>
        <v>0</v>
      </c>
      <c r="P17" s="173">
        <f>'4. T7 LAINAT '!I25</f>
        <v>0</v>
      </c>
      <c r="Q17" s="220">
        <f t="shared" si="11"/>
        <v>0</v>
      </c>
      <c r="R17" s="199">
        <f>'4. T7 LAINAT '!J25</f>
        <v>0</v>
      </c>
      <c r="S17" s="199">
        <f t="shared" si="12"/>
        <v>0</v>
      </c>
      <c r="T17" s="199">
        <f t="shared" si="13"/>
        <v>0</v>
      </c>
      <c r="U17" s="172">
        <f t="shared" si="14"/>
        <v>0</v>
      </c>
      <c r="V17" s="173">
        <f>'4. T7 LAINAT '!L25</f>
        <v>0</v>
      </c>
      <c r="W17" s="220">
        <f>IF(Q17-1&gt;0,Q17-1,0)</f>
        <v>0</v>
      </c>
      <c r="X17" s="199">
        <f>'4. T7 LAINAT '!M25</f>
        <v>0</v>
      </c>
      <c r="Y17" s="199">
        <f t="shared" ref="Y17:Y27" si="15">(T17+V17-X17/4)</f>
        <v>0</v>
      </c>
      <c r="Z17" s="199">
        <f>T17+V17-X17</f>
        <v>0</v>
      </c>
      <c r="AA17" s="172">
        <f>IF($D17*Y17&lt;0,0,Y17*$D17)</f>
        <v>0</v>
      </c>
      <c r="AB17" s="173">
        <f>'4. T7 LAINAT '!O25</f>
        <v>0</v>
      </c>
      <c r="AC17" s="220">
        <f>IF(W17-1&gt;0,W17-1,0)</f>
        <v>0</v>
      </c>
      <c r="AD17" s="211">
        <f>'4. T7 LAINAT '!P25</f>
        <v>0</v>
      </c>
      <c r="AE17" s="199">
        <f t="shared" ref="AE17:AE27" si="16">(Z17+AB17-AD17/4)</f>
        <v>0</v>
      </c>
      <c r="AF17" s="199">
        <f>Z17+AB17-AD17</f>
        <v>0</v>
      </c>
      <c r="AG17" s="172">
        <f>IF($D17*AE17&lt;0,0,AE17*$D17)</f>
        <v>0</v>
      </c>
      <c r="AH17" s="173">
        <v>0</v>
      </c>
      <c r="AI17" s="220">
        <f>IF(AC17-1&gt;0,AC17-1,0)</f>
        <v>0</v>
      </c>
      <c r="AJ17" s="211">
        <f>IF(C17=0,0,IF(B17-R17-X17-AD17-L17&lt;=0,0,IF(AF17&lt;AD17,AF17,'AT2 Lainat,sotum., alv-osto'!AD17)))</f>
        <v>0</v>
      </c>
      <c r="AK17" s="199">
        <f t="shared" ref="AK17:AK27" si="17">(AF17+AH17-AJ17/4)</f>
        <v>0</v>
      </c>
      <c r="AL17" s="199">
        <f>AF17+AH17-AJ17</f>
        <v>0</v>
      </c>
      <c r="AM17" s="172">
        <f>IF($D17*AK17&lt;0,0,AK17*$D17)</f>
        <v>0</v>
      </c>
    </row>
    <row r="18" spans="1:39">
      <c r="A18" s="84">
        <f>'4. T7 LAINAT '!B26</f>
        <v>0</v>
      </c>
      <c r="B18" s="91">
        <f>'4. T7 LAINAT '!C26</f>
        <v>0</v>
      </c>
      <c r="C18" s="524">
        <f>'4. T7 LAINAT '!D26</f>
        <v>0</v>
      </c>
      <c r="D18" s="92">
        <f>'4. T7 LAINAT '!E26</f>
        <v>0</v>
      </c>
      <c r="E18" s="689"/>
      <c r="F18" s="690"/>
      <c r="G18" s="690"/>
      <c r="H18" s="690"/>
      <c r="I18" s="691"/>
      <c r="J18" s="219">
        <f>'4. T7 LAINAT '!F26</f>
        <v>0</v>
      </c>
      <c r="K18" s="220">
        <f>IF(H18&gt;0,IF(C18-1&gt;0,C18-1,C18),C18)</f>
        <v>0</v>
      </c>
      <c r="L18" s="199">
        <f>'4. T7 LAINAT '!G26</f>
        <v>0</v>
      </c>
      <c r="M18" s="199">
        <f>E18-F18+J18-L18/4</f>
        <v>0</v>
      </c>
      <c r="N18" s="199">
        <f>J18-L18</f>
        <v>0</v>
      </c>
      <c r="O18" s="172">
        <f>IF($D18*M18&lt;0,0,M18*$D18)</f>
        <v>0</v>
      </c>
      <c r="P18" s="173">
        <f>'4. T7 LAINAT '!I26</f>
        <v>0</v>
      </c>
      <c r="Q18" s="220">
        <f t="shared" si="11"/>
        <v>0</v>
      </c>
      <c r="R18" s="199">
        <f>'4. T7 LAINAT '!J26</f>
        <v>0</v>
      </c>
      <c r="S18" s="199">
        <f t="shared" si="12"/>
        <v>0</v>
      </c>
      <c r="T18" s="199">
        <f t="shared" si="13"/>
        <v>0</v>
      </c>
      <c r="U18" s="172">
        <f t="shared" si="14"/>
        <v>0</v>
      </c>
      <c r="V18" s="173">
        <f>'4. T7 LAINAT '!L26</f>
        <v>0</v>
      </c>
      <c r="W18" s="220">
        <f t="shared" ref="W18:W24" si="18">IF(Q18-1&gt;0,Q18-1,0)</f>
        <v>0</v>
      </c>
      <c r="X18" s="199">
        <f>'4. T7 LAINAT '!M26</f>
        <v>0</v>
      </c>
      <c r="Y18" s="199">
        <f t="shared" si="15"/>
        <v>0</v>
      </c>
      <c r="Z18" s="199">
        <f t="shared" ref="Z18:Z24" si="19">T18+V18-X18</f>
        <v>0</v>
      </c>
      <c r="AA18" s="172">
        <f t="shared" ref="AA18:AA24" si="20">IF($D18*Y18&lt;0,0,Y18*$D18)</f>
        <v>0</v>
      </c>
      <c r="AB18" s="173">
        <f>'4. T7 LAINAT '!O26</f>
        <v>0</v>
      </c>
      <c r="AC18" s="220">
        <f t="shared" ref="AC18:AC27" si="21">IF(W18-1&gt;0,W18-1,0)</f>
        <v>0</v>
      </c>
      <c r="AD18" s="211">
        <f>'4. T7 LAINAT '!P26</f>
        <v>0</v>
      </c>
      <c r="AE18" s="199">
        <f t="shared" si="16"/>
        <v>0</v>
      </c>
      <c r="AF18" s="199">
        <f t="shared" ref="AF18:AF27" si="22">Z18+AB18-AD18</f>
        <v>0</v>
      </c>
      <c r="AG18" s="172">
        <f t="shared" ref="AG18:AG27" si="23">IF($D18*AE18&lt;0,0,AE18*$D18)</f>
        <v>0</v>
      </c>
      <c r="AH18" s="173">
        <v>0</v>
      </c>
      <c r="AI18" s="220">
        <f t="shared" ref="AI18:AI27" si="24">IF(AC18-1&gt;0,AC18-1,0)</f>
        <v>0</v>
      </c>
      <c r="AJ18" s="211">
        <f>IF(C18=0,0,IF(B18-R18-X18-AD18-L18&lt;=0,0,IF(AF18&lt;AD18,AF18,'AT2 Lainat,sotum., alv-osto'!AD18)))</f>
        <v>0</v>
      </c>
      <c r="AK18" s="199">
        <f t="shared" si="17"/>
        <v>0</v>
      </c>
      <c r="AL18" s="199">
        <f t="shared" ref="AL18:AL27" si="25">AF18+AH18-AJ18</f>
        <v>0</v>
      </c>
      <c r="AM18" s="172">
        <f t="shared" ref="AM18:AM27" si="26">IF($D18*AK18&lt;0,0,AK18*$D18)</f>
        <v>0</v>
      </c>
    </row>
    <row r="19" spans="1:39">
      <c r="A19" s="84" t="str">
        <f>'4. T7 LAINAT '!B28</f>
        <v xml:space="preserve"> Rahoittaja/rahoitettava kohde</v>
      </c>
      <c r="B19" s="91">
        <f>'4. T7 LAINAT '!C28</f>
        <v>0</v>
      </c>
      <c r="C19" s="524">
        <f>'4. T7 LAINAT '!D28</f>
        <v>0</v>
      </c>
      <c r="D19" s="92">
        <f>'4. T7 LAINAT '!E28</f>
        <v>0</v>
      </c>
      <c r="E19" s="689"/>
      <c r="F19" s="690"/>
      <c r="G19" s="690"/>
      <c r="H19" s="690"/>
      <c r="I19" s="691"/>
      <c r="J19" s="219"/>
      <c r="K19" s="220"/>
      <c r="L19" s="199"/>
      <c r="M19" s="199"/>
      <c r="N19" s="199"/>
      <c r="O19" s="172"/>
      <c r="P19" s="173">
        <f>'4. T7 LAINAT '!I28</f>
        <v>0</v>
      </c>
      <c r="Q19" s="220">
        <f t="shared" si="11"/>
        <v>0</v>
      </c>
      <c r="R19" s="199">
        <f>'4. T7 LAINAT '!J28</f>
        <v>0</v>
      </c>
      <c r="S19" s="199">
        <f t="shared" si="12"/>
        <v>0</v>
      </c>
      <c r="T19" s="199">
        <f t="shared" si="13"/>
        <v>0</v>
      </c>
      <c r="U19" s="172">
        <f t="shared" si="14"/>
        <v>0</v>
      </c>
      <c r="V19" s="173">
        <f>'4. T7 LAINAT '!L28</f>
        <v>0</v>
      </c>
      <c r="W19" s="220">
        <f t="shared" si="18"/>
        <v>0</v>
      </c>
      <c r="X19" s="199">
        <f>'4. T7 LAINAT '!M28</f>
        <v>0</v>
      </c>
      <c r="Y19" s="199">
        <f t="shared" si="15"/>
        <v>0</v>
      </c>
      <c r="Z19" s="199">
        <f t="shared" si="19"/>
        <v>0</v>
      </c>
      <c r="AA19" s="172">
        <f t="shared" si="20"/>
        <v>0</v>
      </c>
      <c r="AB19" s="173">
        <f>'4. T7 LAINAT '!O28</f>
        <v>0</v>
      </c>
      <c r="AC19" s="220">
        <f t="shared" si="21"/>
        <v>0</v>
      </c>
      <c r="AD19" s="211">
        <f>'4. T7 LAINAT '!P28</f>
        <v>0</v>
      </c>
      <c r="AE19" s="199">
        <f t="shared" si="16"/>
        <v>0</v>
      </c>
      <c r="AF19" s="199">
        <f t="shared" si="22"/>
        <v>0</v>
      </c>
      <c r="AG19" s="172">
        <f t="shared" si="23"/>
        <v>0</v>
      </c>
      <c r="AH19" s="173">
        <v>0</v>
      </c>
      <c r="AI19" s="220">
        <f t="shared" si="24"/>
        <v>0</v>
      </c>
      <c r="AJ19" s="211">
        <f>IF(C19=0,0,IF(B19-R19-X19-AD19-L19&lt;=0,0,IF(AF19&lt;AD19,AF19,'AT2 Lainat,sotum., alv-osto'!AD19)))</f>
        <v>0</v>
      </c>
      <c r="AK19" s="199">
        <f t="shared" si="17"/>
        <v>0</v>
      </c>
      <c r="AL19" s="199">
        <f t="shared" si="25"/>
        <v>0</v>
      </c>
      <c r="AM19" s="172">
        <f t="shared" si="26"/>
        <v>0</v>
      </c>
    </row>
    <row r="20" spans="1:39">
      <c r="A20" s="84">
        <f>'4. T7 LAINAT '!B29</f>
        <v>0</v>
      </c>
      <c r="B20" s="91">
        <f>'4. T7 LAINAT '!C29</f>
        <v>0</v>
      </c>
      <c r="C20" s="524">
        <f>'4. T7 LAINAT '!D29</f>
        <v>0</v>
      </c>
      <c r="D20" s="92">
        <f>'4. T7 LAINAT '!E29</f>
        <v>0</v>
      </c>
      <c r="E20" s="689"/>
      <c r="F20" s="690"/>
      <c r="G20" s="690"/>
      <c r="H20" s="690"/>
      <c r="I20" s="691"/>
      <c r="J20" s="219"/>
      <c r="K20" s="220"/>
      <c r="L20" s="199"/>
      <c r="M20" s="199"/>
      <c r="N20" s="199"/>
      <c r="O20" s="172"/>
      <c r="P20" s="173">
        <f>'4. T7 LAINAT '!I29</f>
        <v>0</v>
      </c>
      <c r="Q20" s="220">
        <f t="shared" si="11"/>
        <v>0</v>
      </c>
      <c r="R20" s="199">
        <f>'4. T7 LAINAT '!J29</f>
        <v>0</v>
      </c>
      <c r="S20" s="199">
        <f t="shared" si="12"/>
        <v>0</v>
      </c>
      <c r="T20" s="199">
        <f t="shared" si="13"/>
        <v>0</v>
      </c>
      <c r="U20" s="172">
        <f t="shared" si="14"/>
        <v>0</v>
      </c>
      <c r="V20" s="173">
        <f>'4. T7 LAINAT '!L29</f>
        <v>0</v>
      </c>
      <c r="W20" s="220">
        <f>IF(Q20-1&gt;0,Q20-1,0)</f>
        <v>0</v>
      </c>
      <c r="X20" s="199">
        <f>'4. T7 LAINAT '!M29</f>
        <v>0</v>
      </c>
      <c r="Y20" s="199">
        <f t="shared" si="15"/>
        <v>0</v>
      </c>
      <c r="Z20" s="199">
        <f>T20+V20-X20</f>
        <v>0</v>
      </c>
      <c r="AA20" s="172">
        <f>IF($D20*Y20&lt;0,0,Y20*$D20)</f>
        <v>0</v>
      </c>
      <c r="AB20" s="173">
        <f>'4. T7 LAINAT '!O29</f>
        <v>0</v>
      </c>
      <c r="AC20" s="220">
        <f>IF(W20-1&gt;0,W20-1,0)</f>
        <v>0</v>
      </c>
      <c r="AD20" s="211">
        <f>'4. T7 LAINAT '!P29</f>
        <v>0</v>
      </c>
      <c r="AE20" s="199">
        <f t="shared" si="16"/>
        <v>0</v>
      </c>
      <c r="AF20" s="199">
        <f>Z20+AB20-AD20</f>
        <v>0</v>
      </c>
      <c r="AG20" s="172">
        <f>IF($D20*AE20&lt;0,0,AE20*$D20)</f>
        <v>0</v>
      </c>
      <c r="AH20" s="173">
        <v>0</v>
      </c>
      <c r="AI20" s="220">
        <f>IF(AC20-1&gt;0,AC20-1,0)</f>
        <v>0</v>
      </c>
      <c r="AJ20" s="211">
        <f>IF(C20=0,0,IF(B20-R20-X20-AD20-L20&lt;=0,0,IF(AF20&lt;AD20,AF20,'AT2 Lainat,sotum., alv-osto'!AD20)))</f>
        <v>0</v>
      </c>
      <c r="AK20" s="199">
        <f t="shared" si="17"/>
        <v>0</v>
      </c>
      <c r="AL20" s="199">
        <f>AF20+AH20-AJ20</f>
        <v>0</v>
      </c>
      <c r="AM20" s="172">
        <f>IF($D20*AK20&lt;0,0,AK20*$D20)</f>
        <v>0</v>
      </c>
    </row>
    <row r="21" spans="1:39">
      <c r="A21" s="84">
        <f>'4. T7 LAINAT '!B30</f>
        <v>0</v>
      </c>
      <c r="B21" s="91">
        <f>'4. T7 LAINAT '!C30</f>
        <v>0</v>
      </c>
      <c r="C21" s="524">
        <f>'4. T7 LAINAT '!D30</f>
        <v>0</v>
      </c>
      <c r="D21" s="92">
        <f>'4. T7 LAINAT '!E30</f>
        <v>0</v>
      </c>
      <c r="E21" s="689"/>
      <c r="F21" s="690"/>
      <c r="G21" s="690"/>
      <c r="H21" s="690"/>
      <c r="I21" s="691"/>
      <c r="J21" s="219"/>
      <c r="K21" s="220"/>
      <c r="L21" s="199"/>
      <c r="M21" s="199"/>
      <c r="N21" s="199"/>
      <c r="O21" s="172"/>
      <c r="P21" s="173">
        <f>'4. T7 LAINAT '!I30</f>
        <v>0</v>
      </c>
      <c r="Q21" s="220">
        <f t="shared" si="11"/>
        <v>0</v>
      </c>
      <c r="R21" s="199">
        <f>'4. T7 LAINAT '!J30</f>
        <v>0</v>
      </c>
      <c r="S21" s="199">
        <f t="shared" si="12"/>
        <v>0</v>
      </c>
      <c r="T21" s="199">
        <f t="shared" si="13"/>
        <v>0</v>
      </c>
      <c r="U21" s="172">
        <f t="shared" si="14"/>
        <v>0</v>
      </c>
      <c r="V21" s="173">
        <f>'4. T7 LAINAT '!L30</f>
        <v>0</v>
      </c>
      <c r="W21" s="220">
        <f t="shared" si="18"/>
        <v>0</v>
      </c>
      <c r="X21" s="199">
        <f>'4. T7 LAINAT '!M30</f>
        <v>0</v>
      </c>
      <c r="Y21" s="199">
        <f t="shared" si="15"/>
        <v>0</v>
      </c>
      <c r="Z21" s="199">
        <f t="shared" si="19"/>
        <v>0</v>
      </c>
      <c r="AA21" s="172">
        <f t="shared" si="20"/>
        <v>0</v>
      </c>
      <c r="AB21" s="173">
        <f>'4. T7 LAINAT '!O30</f>
        <v>0</v>
      </c>
      <c r="AC21" s="220">
        <f t="shared" si="21"/>
        <v>0</v>
      </c>
      <c r="AD21" s="211">
        <f>'4. T7 LAINAT '!P30</f>
        <v>0</v>
      </c>
      <c r="AE21" s="199">
        <f t="shared" si="16"/>
        <v>0</v>
      </c>
      <c r="AF21" s="199">
        <f t="shared" si="22"/>
        <v>0</v>
      </c>
      <c r="AG21" s="172">
        <f t="shared" si="23"/>
        <v>0</v>
      </c>
      <c r="AH21" s="173">
        <v>0</v>
      </c>
      <c r="AI21" s="220">
        <f t="shared" si="24"/>
        <v>0</v>
      </c>
      <c r="AJ21" s="211">
        <f>IF(C21=0,0,IF(B21-R21-X21-AD21-L21&lt;=0,0,IF(AF21&lt;AD21,AF21,'AT2 Lainat,sotum., alv-osto'!AD21)))</f>
        <v>0</v>
      </c>
      <c r="AK21" s="199">
        <f t="shared" si="17"/>
        <v>0</v>
      </c>
      <c r="AL21" s="199">
        <f t="shared" si="25"/>
        <v>0</v>
      </c>
      <c r="AM21" s="172">
        <f t="shared" si="26"/>
        <v>0</v>
      </c>
    </row>
    <row r="22" spans="1:39">
      <c r="A22" s="84" t="str">
        <f>'4. T7 LAINAT '!B32</f>
        <v xml:space="preserve"> Rahoittaja/rahoitettava kohde</v>
      </c>
      <c r="B22" s="91">
        <f>'4. T7 LAINAT '!C32</f>
        <v>0</v>
      </c>
      <c r="C22" s="524">
        <f>'4. T7 LAINAT '!D32</f>
        <v>0</v>
      </c>
      <c r="D22" s="92">
        <f>'4. T7 LAINAT '!E32</f>
        <v>0</v>
      </c>
      <c r="E22" s="689"/>
      <c r="F22" s="690"/>
      <c r="G22" s="690"/>
      <c r="H22" s="690"/>
      <c r="I22" s="691"/>
      <c r="J22" s="219"/>
      <c r="K22" s="220"/>
      <c r="L22" s="199"/>
      <c r="M22" s="199"/>
      <c r="N22" s="199"/>
      <c r="O22" s="172"/>
      <c r="P22" s="173">
        <f>'4. T7 LAINAT '!I32</f>
        <v>0</v>
      </c>
      <c r="Q22" s="220">
        <f>IF(E22=0,IF(J22=0,K22,$C22-1),$C22-2)</f>
        <v>0</v>
      </c>
      <c r="R22" s="199">
        <f>'4. T7 LAINAT '!J32</f>
        <v>0</v>
      </c>
      <c r="S22" s="199">
        <f>N22+P22-R22/2</f>
        <v>0</v>
      </c>
      <c r="T22" s="199">
        <f>N22+P22-R22</f>
        <v>0</v>
      </c>
      <c r="U22" s="172">
        <f>IF($D22*S22&lt;0,0,S22*$D22)</f>
        <v>0</v>
      </c>
      <c r="V22" s="173">
        <f>'4. T7 LAINAT '!L32</f>
        <v>0</v>
      </c>
      <c r="W22" s="220">
        <f t="shared" si="18"/>
        <v>0</v>
      </c>
      <c r="X22" s="199">
        <f>'4. T7 LAINAT '!M32</f>
        <v>0</v>
      </c>
      <c r="Y22" s="199">
        <f t="shared" si="15"/>
        <v>0</v>
      </c>
      <c r="Z22" s="199">
        <f t="shared" si="19"/>
        <v>0</v>
      </c>
      <c r="AA22" s="172">
        <f t="shared" si="20"/>
        <v>0</v>
      </c>
      <c r="AB22" s="173">
        <f>'4. T7 LAINAT '!O32</f>
        <v>0</v>
      </c>
      <c r="AC22" s="220">
        <f t="shared" si="21"/>
        <v>0</v>
      </c>
      <c r="AD22" s="211">
        <f>'4. T7 LAINAT '!P32</f>
        <v>0</v>
      </c>
      <c r="AE22" s="199">
        <f t="shared" si="16"/>
        <v>0</v>
      </c>
      <c r="AF22" s="199">
        <f t="shared" si="22"/>
        <v>0</v>
      </c>
      <c r="AG22" s="172">
        <f t="shared" si="23"/>
        <v>0</v>
      </c>
      <c r="AH22" s="173">
        <v>0</v>
      </c>
      <c r="AI22" s="220">
        <f t="shared" si="24"/>
        <v>0</v>
      </c>
      <c r="AJ22" s="211">
        <f>IF(C22=0,0,IF(B22-R22-X22-AD22-L22&lt;=0,0,IF(AF22&lt;AD22,AF22,'AT2 Lainat,sotum., alv-osto'!AD22)))</f>
        <v>0</v>
      </c>
      <c r="AK22" s="199">
        <f t="shared" si="17"/>
        <v>0</v>
      </c>
      <c r="AL22" s="199">
        <f t="shared" si="25"/>
        <v>0</v>
      </c>
      <c r="AM22" s="172">
        <f t="shared" si="26"/>
        <v>0</v>
      </c>
    </row>
    <row r="23" spans="1:39">
      <c r="A23" s="84">
        <f>'4. T7 LAINAT '!B33</f>
        <v>0</v>
      </c>
      <c r="B23" s="91">
        <f>'4. T7 LAINAT '!C33</f>
        <v>0</v>
      </c>
      <c r="C23" s="524">
        <f>'4. T7 LAINAT '!D33</f>
        <v>0</v>
      </c>
      <c r="D23" s="92">
        <f>'4. T7 LAINAT '!E33</f>
        <v>0</v>
      </c>
      <c r="E23" s="689"/>
      <c r="F23" s="690"/>
      <c r="G23" s="690"/>
      <c r="H23" s="690"/>
      <c r="I23" s="691"/>
      <c r="J23" s="219"/>
      <c r="K23" s="220"/>
      <c r="L23" s="199"/>
      <c r="M23" s="199"/>
      <c r="N23" s="199"/>
      <c r="O23" s="172"/>
      <c r="P23" s="173">
        <f>'4. T7 LAINAT '!I33</f>
        <v>0</v>
      </c>
      <c r="Q23" s="220">
        <f>IF(E23=0,IF(J23=0,K23,$C23-1),$C23-2)</f>
        <v>0</v>
      </c>
      <c r="R23" s="199">
        <f>'4. T7 LAINAT '!J33</f>
        <v>0</v>
      </c>
      <c r="S23" s="199">
        <f>N23+P23-R23/2</f>
        <v>0</v>
      </c>
      <c r="T23" s="199">
        <f>N23+P23-R23</f>
        <v>0</v>
      </c>
      <c r="U23" s="172">
        <f>IF($D23*S23&lt;0,0,S23*$D23)</f>
        <v>0</v>
      </c>
      <c r="V23" s="173">
        <f>'4. T7 LAINAT '!L33</f>
        <v>0</v>
      </c>
      <c r="W23" s="220">
        <f>IF(Q23-1&gt;0,Q23-1,0)</f>
        <v>0</v>
      </c>
      <c r="X23" s="199">
        <f>'4. T7 LAINAT '!M33</f>
        <v>0</v>
      </c>
      <c r="Y23" s="199">
        <f t="shared" si="15"/>
        <v>0</v>
      </c>
      <c r="Z23" s="199">
        <f>T23+V23-X23</f>
        <v>0</v>
      </c>
      <c r="AA23" s="172">
        <f>IF($D23*Y23&lt;0,0,Y23*$D23)</f>
        <v>0</v>
      </c>
      <c r="AB23" s="173">
        <f>'4. T7 LAINAT '!O33</f>
        <v>0</v>
      </c>
      <c r="AC23" s="220">
        <f>IF(W23-1&gt;0,W23-1,0)</f>
        <v>0</v>
      </c>
      <c r="AD23" s="211">
        <f>'4. T7 LAINAT '!P33</f>
        <v>0</v>
      </c>
      <c r="AE23" s="199">
        <f t="shared" si="16"/>
        <v>0</v>
      </c>
      <c r="AF23" s="199">
        <f>Z23+AB23-AD23</f>
        <v>0</v>
      </c>
      <c r="AG23" s="172">
        <f>IF($D23*AE23&lt;0,0,AE23*$D23)</f>
        <v>0</v>
      </c>
      <c r="AH23" s="173">
        <v>0</v>
      </c>
      <c r="AI23" s="220">
        <f>IF(AC23-1&gt;0,AC23-1,0)</f>
        <v>0</v>
      </c>
      <c r="AJ23" s="211">
        <f>IF(C23=0,0,IF(B23-R23-X23-AD23-L23&lt;=0,0,IF(AF23&lt;AD23,AF23,'AT2 Lainat,sotum., alv-osto'!AD23)))</f>
        <v>0</v>
      </c>
      <c r="AK23" s="199">
        <f t="shared" si="17"/>
        <v>0</v>
      </c>
      <c r="AL23" s="199">
        <f>AF23+AH23-AJ23</f>
        <v>0</v>
      </c>
      <c r="AM23" s="172">
        <f>IF($D23*AK23&lt;0,0,AK23*$D23)</f>
        <v>0</v>
      </c>
    </row>
    <row r="24" spans="1:39">
      <c r="A24" s="84">
        <f>'4. T7 LAINAT '!B34</f>
        <v>0</v>
      </c>
      <c r="B24" s="91">
        <f>'4. T7 LAINAT '!C34</f>
        <v>0</v>
      </c>
      <c r="C24" s="524">
        <f>'4. T7 LAINAT '!D34</f>
        <v>0</v>
      </c>
      <c r="D24" s="92">
        <f>'4. T7 LAINAT '!E34</f>
        <v>0</v>
      </c>
      <c r="E24" s="689"/>
      <c r="F24" s="690"/>
      <c r="G24" s="690"/>
      <c r="H24" s="690"/>
      <c r="I24" s="691"/>
      <c r="J24" s="219">
        <f>'4. T7 LAINAT '!F34</f>
        <v>0</v>
      </c>
      <c r="K24" s="220">
        <f>IF(H24&gt;0,IF(C24-1&gt;0,C24-1,C24),C24)</f>
        <v>0</v>
      </c>
      <c r="L24" s="199">
        <f>'4. T7 LAINAT '!G34</f>
        <v>0</v>
      </c>
      <c r="M24" s="199">
        <f>E24-F24+J24-L24/2</f>
        <v>0</v>
      </c>
      <c r="N24" s="199">
        <f>J24-L24</f>
        <v>0</v>
      </c>
      <c r="O24" s="172">
        <f>IF($D24*M24&lt;0,0,M24*$D24)</f>
        <v>0</v>
      </c>
      <c r="P24" s="173">
        <f>'4. T7 LAINAT '!I34</f>
        <v>0</v>
      </c>
      <c r="Q24" s="220">
        <f>IF(E24=0,IF(J24=0,K24,$C24-1),$C24-2)</f>
        <v>0</v>
      </c>
      <c r="R24" s="199">
        <f>'4. T7 LAINAT '!J34</f>
        <v>0</v>
      </c>
      <c r="S24" s="199">
        <f>N24+P24-R24/2</f>
        <v>0</v>
      </c>
      <c r="T24" s="199">
        <f>N24+P24-R24</f>
        <v>0</v>
      </c>
      <c r="U24" s="172">
        <f>IF($D24*S24&lt;0,0,S24*$D24)</f>
        <v>0</v>
      </c>
      <c r="V24" s="173">
        <f>'4. T7 LAINAT '!L34</f>
        <v>0</v>
      </c>
      <c r="W24" s="220">
        <f t="shared" si="18"/>
        <v>0</v>
      </c>
      <c r="X24" s="199">
        <f>'4. T7 LAINAT '!M34</f>
        <v>0</v>
      </c>
      <c r="Y24" s="199">
        <f t="shared" si="15"/>
        <v>0</v>
      </c>
      <c r="Z24" s="199">
        <f t="shared" si="19"/>
        <v>0</v>
      </c>
      <c r="AA24" s="172">
        <f t="shared" si="20"/>
        <v>0</v>
      </c>
      <c r="AB24" s="173">
        <f>'4. T7 LAINAT '!O34</f>
        <v>0</v>
      </c>
      <c r="AC24" s="220">
        <f t="shared" si="21"/>
        <v>0</v>
      </c>
      <c r="AD24" s="211">
        <f>'4. T7 LAINAT '!P34</f>
        <v>0</v>
      </c>
      <c r="AE24" s="199">
        <f t="shared" si="16"/>
        <v>0</v>
      </c>
      <c r="AF24" s="199">
        <f t="shared" si="22"/>
        <v>0</v>
      </c>
      <c r="AG24" s="172">
        <f t="shared" si="23"/>
        <v>0</v>
      </c>
      <c r="AH24" s="173">
        <v>0</v>
      </c>
      <c r="AI24" s="220">
        <f t="shared" si="24"/>
        <v>0</v>
      </c>
      <c r="AJ24" s="211">
        <f>IF(C24=0,0,IF(B24-R24-X24-AD24-L24&lt;=0,0,IF(AF24&lt;AD24,AF24,'AT2 Lainat,sotum., alv-osto'!AD24)))</f>
        <v>0</v>
      </c>
      <c r="AK24" s="199">
        <f t="shared" si="17"/>
        <v>0</v>
      </c>
      <c r="AL24" s="199">
        <f t="shared" si="25"/>
        <v>0</v>
      </c>
      <c r="AM24" s="172">
        <f t="shared" si="26"/>
        <v>0</v>
      </c>
    </row>
    <row r="25" spans="1:39">
      <c r="A25" s="84" t="str">
        <f>'4. T7 LAINAT '!B36</f>
        <v xml:space="preserve"> Rahoittaja/rahoitettava kohde</v>
      </c>
      <c r="B25" s="91">
        <f>'4. T7 LAINAT '!C36</f>
        <v>0</v>
      </c>
      <c r="C25" s="524">
        <f>'4. T7 LAINAT '!D36</f>
        <v>0</v>
      </c>
      <c r="D25" s="92">
        <f>'4. T7 LAINAT '!E36</f>
        <v>0</v>
      </c>
      <c r="E25" s="689"/>
      <c r="F25" s="690"/>
      <c r="G25" s="690"/>
      <c r="H25" s="690"/>
      <c r="I25" s="691"/>
      <c r="J25" s="219">
        <f>'4. T7 LAINAT '!F36</f>
        <v>0</v>
      </c>
      <c r="K25" s="220">
        <f>IF(H25&gt;0,IF(C25-1&gt;0,C25-1,C25),C25)</f>
        <v>0</v>
      </c>
      <c r="L25" s="199">
        <f>'4. T7 LAINAT '!G36</f>
        <v>0</v>
      </c>
      <c r="M25" s="199">
        <f>E25-F25+J25-L25/2</f>
        <v>0</v>
      </c>
      <c r="N25" s="199">
        <f>J25-L25</f>
        <v>0</v>
      </c>
      <c r="O25" s="172">
        <f>IF($D25*M25&lt;0,0,M25*$D25)</f>
        <v>0</v>
      </c>
      <c r="P25" s="173">
        <f>'4. T7 LAINAT '!I36</f>
        <v>0</v>
      </c>
      <c r="Q25" s="220">
        <f>IF(E25=0,IF(J25=0,K25,$C25-1),$C25-2)</f>
        <v>0</v>
      </c>
      <c r="R25" s="199">
        <f>'4. T7 LAINAT '!J36</f>
        <v>0</v>
      </c>
      <c r="S25" s="199">
        <f>N25+P25-R25/2</f>
        <v>0</v>
      </c>
      <c r="T25" s="199">
        <f>N25+P25-R25</f>
        <v>0</v>
      </c>
      <c r="U25" s="172">
        <f>IF($D25*S25&lt;0,0,S25*$D25)</f>
        <v>0</v>
      </c>
      <c r="V25" s="173">
        <f>'4. T7 LAINAT '!L36</f>
        <v>0</v>
      </c>
      <c r="W25" s="220">
        <f>IF(Q25-1&gt;0,Q25-1,0)</f>
        <v>0</v>
      </c>
      <c r="X25" s="199">
        <f>'4. T7 LAINAT '!M36</f>
        <v>0</v>
      </c>
      <c r="Y25" s="199">
        <f t="shared" si="15"/>
        <v>0</v>
      </c>
      <c r="Z25" s="199">
        <f>T25+V25-X25</f>
        <v>0</v>
      </c>
      <c r="AA25" s="172">
        <f>IF($D25*Y25&lt;0,0,Y25*$D25)</f>
        <v>0</v>
      </c>
      <c r="AB25" s="173">
        <f>'4. T7 LAINAT '!O36</f>
        <v>0</v>
      </c>
      <c r="AC25" s="220">
        <f>IF(W25-1&gt;0,W25-1,0)</f>
        <v>0</v>
      </c>
      <c r="AD25" s="211">
        <f>'4. T7 LAINAT '!P36</f>
        <v>0</v>
      </c>
      <c r="AE25" s="199">
        <f t="shared" si="16"/>
        <v>0</v>
      </c>
      <c r="AF25" s="199">
        <f>Z25+AB25-AD25</f>
        <v>0</v>
      </c>
      <c r="AG25" s="172">
        <f>IF($D25*AE25&lt;0,0,AE25*$D25)</f>
        <v>0</v>
      </c>
      <c r="AH25" s="173">
        <v>0</v>
      </c>
      <c r="AI25" s="220">
        <f>IF(AC25-1&gt;0,AC25-1,0)</f>
        <v>0</v>
      </c>
      <c r="AJ25" s="211">
        <f>IF(C25=0,0,IF(B25-R25-X25-AD25-L25&lt;=0,0,IF(AF25&lt;AD25,AF25,'AT2 Lainat,sotum., alv-osto'!AD25)))</f>
        <v>0</v>
      </c>
      <c r="AK25" s="199">
        <f t="shared" si="17"/>
        <v>0</v>
      </c>
      <c r="AL25" s="199">
        <f>AF25+AH25-AJ25</f>
        <v>0</v>
      </c>
      <c r="AM25" s="172">
        <f>IF($D25*AK25&lt;0,0,AK25*$D25)</f>
        <v>0</v>
      </c>
    </row>
    <row r="26" spans="1:39">
      <c r="A26" s="84">
        <f>'4. T7 LAINAT '!B37</f>
        <v>0</v>
      </c>
      <c r="B26" s="91">
        <f>'4. T7 LAINAT '!C37</f>
        <v>0</v>
      </c>
      <c r="C26" s="524">
        <f>'4. T7 LAINAT '!D37</f>
        <v>0</v>
      </c>
      <c r="D26" s="92">
        <f>'4. T7 LAINAT '!E37</f>
        <v>0</v>
      </c>
      <c r="E26" s="689"/>
      <c r="F26" s="690"/>
      <c r="G26" s="690"/>
      <c r="H26" s="690"/>
      <c r="I26" s="691"/>
      <c r="J26" s="219">
        <f>'4. T7 LAINAT '!F37</f>
        <v>0</v>
      </c>
      <c r="K26" s="220">
        <f>IF(H26&gt;0,IF(C26-1&gt;0,C26-1,C26),C26)</f>
        <v>0</v>
      </c>
      <c r="L26" s="199">
        <f>'4. T7 LAINAT '!G37</f>
        <v>0</v>
      </c>
      <c r="M26" s="199">
        <f>E26-F26+J26-L26/2</f>
        <v>0</v>
      </c>
      <c r="N26" s="199">
        <f>J26-L26</f>
        <v>0</v>
      </c>
      <c r="O26" s="172">
        <f>IF($D26*M26&lt;0,0,M26*$D26)</f>
        <v>0</v>
      </c>
      <c r="P26" s="173">
        <f>'4. T7 LAINAT '!I37</f>
        <v>0</v>
      </c>
      <c r="Q26" s="220">
        <f>IF(E26=0,IF(J26=0,K26,$C26-1),$C26-2)</f>
        <v>0</v>
      </c>
      <c r="R26" s="199">
        <f>'4. T7 LAINAT '!J37</f>
        <v>0</v>
      </c>
      <c r="S26" s="199">
        <f>N26+P26-R26/2</f>
        <v>0</v>
      </c>
      <c r="T26" s="199">
        <f>N26+P26-R26</f>
        <v>0</v>
      </c>
      <c r="U26" s="172">
        <f>IF($D26*S26&lt;0,0,S26*$D26)</f>
        <v>0</v>
      </c>
      <c r="V26" s="173">
        <f>'4. T7 LAINAT '!L37</f>
        <v>0</v>
      </c>
      <c r="W26" s="220">
        <f>IF(Q26-1&gt;0,Q26-1,0)</f>
        <v>0</v>
      </c>
      <c r="X26" s="199">
        <f>'4. T7 LAINAT '!M37</f>
        <v>0</v>
      </c>
      <c r="Y26" s="199">
        <f t="shared" si="15"/>
        <v>0</v>
      </c>
      <c r="Z26" s="199">
        <f>T26+V26-X26</f>
        <v>0</v>
      </c>
      <c r="AA26" s="172">
        <f>IF($D26*Y26&lt;0,0,Y26*$D26)</f>
        <v>0</v>
      </c>
      <c r="AB26" s="173">
        <f>'4. T7 LAINAT '!O37</f>
        <v>0</v>
      </c>
      <c r="AC26" s="220">
        <f>IF(W26-1&gt;0,W26-1,0)</f>
        <v>0</v>
      </c>
      <c r="AD26" s="211">
        <f>'4. T7 LAINAT '!P37</f>
        <v>0</v>
      </c>
      <c r="AE26" s="199">
        <f t="shared" si="16"/>
        <v>0</v>
      </c>
      <c r="AF26" s="199">
        <f>Z26+AB26-AD26</f>
        <v>0</v>
      </c>
      <c r="AG26" s="172">
        <f>IF($D26*AE26&lt;0,0,AE26*$D26)</f>
        <v>0</v>
      </c>
      <c r="AH26" s="173">
        <v>0</v>
      </c>
      <c r="AI26" s="220">
        <f>IF(AC26-1&gt;0,AC26-1,0)</f>
        <v>0</v>
      </c>
      <c r="AJ26" s="211">
        <f>IF(C26=0,0,IF(B26-R26-X26-AD26-L26&lt;=0,0,IF(AF26&lt;AD26,AF26,'AT2 Lainat,sotum., alv-osto'!AD26)))</f>
        <v>0</v>
      </c>
      <c r="AK26" s="199">
        <f t="shared" si="17"/>
        <v>0</v>
      </c>
      <c r="AL26" s="199">
        <f>AF26+AH26-AJ26</f>
        <v>0</v>
      </c>
      <c r="AM26" s="172">
        <f>IF($D26*AK26&lt;0,0,AK26*$D26)</f>
        <v>0</v>
      </c>
    </row>
    <row r="27" spans="1:39">
      <c r="A27" s="84">
        <f>'4. T7 LAINAT '!B38</f>
        <v>0</v>
      </c>
      <c r="B27" s="91">
        <f>'4. T7 LAINAT '!C38</f>
        <v>0</v>
      </c>
      <c r="C27" s="524">
        <f>'4. T7 LAINAT '!D38</f>
        <v>0</v>
      </c>
      <c r="D27" s="92">
        <f>'4. T7 LAINAT '!E38</f>
        <v>0</v>
      </c>
      <c r="E27" s="689"/>
      <c r="F27" s="690"/>
      <c r="G27" s="690"/>
      <c r="H27" s="690"/>
      <c r="I27" s="691"/>
      <c r="J27" s="219">
        <f>'4. T7 LAINAT '!F38</f>
        <v>0</v>
      </c>
      <c r="K27" s="220">
        <f>IF(H27&gt;0,IF(C27-1&gt;0,C27-1,C27),C27)</f>
        <v>0</v>
      </c>
      <c r="L27" s="199"/>
      <c r="M27" s="199"/>
      <c r="N27" s="199"/>
      <c r="O27" s="172"/>
      <c r="P27" s="173"/>
      <c r="Q27" s="220"/>
      <c r="R27" s="199"/>
      <c r="S27" s="199"/>
      <c r="T27" s="199"/>
      <c r="U27" s="172"/>
      <c r="V27" s="173"/>
      <c r="W27" s="220"/>
      <c r="X27" s="199"/>
      <c r="Y27" s="199">
        <f t="shared" si="15"/>
        <v>0</v>
      </c>
      <c r="Z27" s="199"/>
      <c r="AA27" s="172"/>
      <c r="AB27" s="173">
        <f>'4. T7 LAINAT '!O38</f>
        <v>0</v>
      </c>
      <c r="AC27" s="220">
        <f t="shared" si="21"/>
        <v>0</v>
      </c>
      <c r="AD27" s="537">
        <f>'4. T7 LAINAT '!P38</f>
        <v>0</v>
      </c>
      <c r="AE27" s="199">
        <f t="shared" si="16"/>
        <v>0</v>
      </c>
      <c r="AF27" s="199">
        <f t="shared" si="22"/>
        <v>0</v>
      </c>
      <c r="AG27" s="172">
        <f t="shared" si="23"/>
        <v>0</v>
      </c>
      <c r="AH27" s="173">
        <v>0</v>
      </c>
      <c r="AI27" s="220">
        <f t="shared" si="24"/>
        <v>0</v>
      </c>
      <c r="AJ27" s="537">
        <f>IF(C27=0,0,IF(B27-R27-X27-AD27-L27&lt;=0,0,IF(AF27&lt;AD27,AF27,'AT2 Lainat,sotum., alv-osto'!AD27)))</f>
        <v>0</v>
      </c>
      <c r="AK27" s="199">
        <f t="shared" si="17"/>
        <v>0</v>
      </c>
      <c r="AL27" s="199">
        <f t="shared" si="25"/>
        <v>0</v>
      </c>
      <c r="AM27" s="172">
        <f t="shared" si="26"/>
        <v>0</v>
      </c>
    </row>
    <row r="28" spans="1:39" s="2" customFormat="1">
      <c r="A28" s="2" t="s">
        <v>132</v>
      </c>
      <c r="B28" s="291">
        <f>SUM(B16:B27)</f>
        <v>0</v>
      </c>
      <c r="C28" s="292"/>
      <c r="E28" s="174"/>
      <c r="F28" s="174">
        <f>SUM(F7:F27)</f>
        <v>0</v>
      </c>
      <c r="G28" s="174"/>
      <c r="H28" s="174"/>
      <c r="I28" s="174"/>
      <c r="J28" s="291">
        <f>SUM(J16:J27)</f>
        <v>0</v>
      </c>
      <c r="K28" s="174" t="s">
        <v>0</v>
      </c>
      <c r="L28" s="291">
        <f>SUM(L16:L27)</f>
        <v>0</v>
      </c>
      <c r="M28" s="291">
        <f>SUM(M16:M27)</f>
        <v>0</v>
      </c>
      <c r="N28" s="291">
        <f>SUM(N16:N27)</f>
        <v>0</v>
      </c>
      <c r="O28" s="291">
        <f>SUM(O16:O27)</f>
        <v>0</v>
      </c>
      <c r="P28" s="291">
        <f>SUM(P16:P27)</f>
        <v>0</v>
      </c>
      <c r="Q28" s="174" t="s">
        <v>0</v>
      </c>
      <c r="R28" s="291">
        <f>SUM(R16:R27)</f>
        <v>0</v>
      </c>
      <c r="S28" s="291">
        <f>SUM(S16:S27)</f>
        <v>0</v>
      </c>
      <c r="T28" s="291">
        <f>SUM(T16:T27)</f>
        <v>0</v>
      </c>
      <c r="U28" s="291">
        <f>SUM(U16:U27)</f>
        <v>0</v>
      </c>
      <c r="V28" s="291">
        <f>SUM(V16:V27)</f>
        <v>0</v>
      </c>
      <c r="W28" s="174"/>
      <c r="X28" s="291">
        <f t="shared" ref="X28:AH28" si="27">SUM(X16:X27)</f>
        <v>0</v>
      </c>
      <c r="Y28" s="291">
        <f t="shared" si="27"/>
        <v>0</v>
      </c>
      <c r="Z28" s="291">
        <f t="shared" si="27"/>
        <v>0</v>
      </c>
      <c r="AA28" s="291">
        <f t="shared" si="27"/>
        <v>0</v>
      </c>
      <c r="AB28" s="291">
        <f t="shared" si="27"/>
        <v>0</v>
      </c>
      <c r="AC28" s="291">
        <f t="shared" si="27"/>
        <v>0</v>
      </c>
      <c r="AD28" s="291">
        <f t="shared" si="27"/>
        <v>0</v>
      </c>
      <c r="AE28" s="291">
        <f t="shared" si="27"/>
        <v>0</v>
      </c>
      <c r="AF28" s="291">
        <f t="shared" si="27"/>
        <v>0</v>
      </c>
      <c r="AG28" s="291">
        <f t="shared" si="27"/>
        <v>0</v>
      </c>
      <c r="AH28" s="291">
        <f t="shared" si="27"/>
        <v>0</v>
      </c>
      <c r="AI28" s="174"/>
      <c r="AJ28" s="291">
        <f>SUM(AJ16:AJ27)</f>
        <v>0</v>
      </c>
      <c r="AK28" s="174"/>
      <c r="AL28" s="174">
        <f>SUM(AL15:AL27)</f>
        <v>0</v>
      </c>
      <c r="AM28" s="174"/>
    </row>
    <row r="29" spans="1:39" s="2" customFormat="1" ht="12.9" thickBot="1">
      <c r="B29" s="291"/>
      <c r="C29" s="292"/>
      <c r="E29" s="291"/>
      <c r="F29" s="174"/>
      <c r="G29" s="6" t="s">
        <v>125</v>
      </c>
      <c r="H29" s="291"/>
      <c r="I29" s="291"/>
      <c r="J29" s="291"/>
      <c r="K29" s="174"/>
      <c r="L29" s="6" t="s">
        <v>125</v>
      </c>
      <c r="M29" s="291"/>
      <c r="N29" s="291"/>
      <c r="O29" s="291"/>
      <c r="P29" s="291"/>
      <c r="Q29" s="174"/>
      <c r="R29" s="6" t="s">
        <v>125</v>
      </c>
      <c r="S29" s="291"/>
      <c r="T29" s="291"/>
      <c r="U29" s="291"/>
      <c r="V29" s="291"/>
      <c r="W29" s="174"/>
      <c r="X29" s="6" t="s">
        <v>125</v>
      </c>
      <c r="Y29" s="291"/>
      <c r="Z29" s="291"/>
      <c r="AA29" s="291"/>
      <c r="AB29" s="291"/>
      <c r="AC29" s="291"/>
      <c r="AD29" s="6" t="s">
        <v>125</v>
      </c>
      <c r="AE29" s="291"/>
      <c r="AF29" s="291"/>
      <c r="AG29" s="291"/>
      <c r="AH29" s="291"/>
      <c r="AI29" s="174"/>
      <c r="AJ29" s="6" t="s">
        <v>125</v>
      </c>
      <c r="AK29" s="174"/>
      <c r="AL29" s="174"/>
      <c r="AM29" s="174"/>
    </row>
    <row r="30" spans="1:39" s="2" customFormat="1">
      <c r="A30" s="402" t="s">
        <v>303</v>
      </c>
      <c r="B30" s="403"/>
      <c r="C30" s="404"/>
      <c r="D30" s="402"/>
      <c r="E30" s="405" t="s">
        <v>129</v>
      </c>
      <c r="F30" s="406"/>
      <c r="G30" s="407" t="s">
        <v>310</v>
      </c>
      <c r="H30" s="408" t="s">
        <v>308</v>
      </c>
      <c r="I30" s="408" t="s">
        <v>309</v>
      </c>
      <c r="J30" s="403"/>
      <c r="K30" s="406"/>
      <c r="L30" s="407" t="s">
        <v>310</v>
      </c>
      <c r="M30" s="408" t="s">
        <v>308</v>
      </c>
      <c r="N30" s="408" t="s">
        <v>309</v>
      </c>
      <c r="O30" s="403"/>
      <c r="P30" s="405" t="s">
        <v>129</v>
      </c>
      <c r="Q30" s="406"/>
      <c r="R30" s="407" t="s">
        <v>310</v>
      </c>
      <c r="S30" s="408" t="s">
        <v>308</v>
      </c>
      <c r="T30" s="408" t="s">
        <v>309</v>
      </c>
      <c r="U30" s="403"/>
      <c r="V30" s="405" t="s">
        <v>129</v>
      </c>
      <c r="W30" s="406"/>
      <c r="X30" s="407" t="s">
        <v>310</v>
      </c>
      <c r="Y30" s="408" t="s">
        <v>308</v>
      </c>
      <c r="Z30" s="408" t="s">
        <v>309</v>
      </c>
      <c r="AA30" s="403"/>
      <c r="AB30" s="405" t="s">
        <v>129</v>
      </c>
      <c r="AC30" s="403"/>
      <c r="AD30" s="407" t="s">
        <v>310</v>
      </c>
      <c r="AE30" s="408" t="s">
        <v>308</v>
      </c>
      <c r="AF30" s="408" t="s">
        <v>309</v>
      </c>
      <c r="AG30" s="403"/>
      <c r="AH30" s="405" t="s">
        <v>129</v>
      </c>
      <c r="AI30" s="406"/>
      <c r="AJ30" s="407" t="s">
        <v>310</v>
      </c>
      <c r="AK30" s="408" t="s">
        <v>308</v>
      </c>
      <c r="AL30" s="408" t="s">
        <v>309</v>
      </c>
      <c r="AM30" s="406"/>
    </row>
    <row r="31" spans="1:39" s="2" customFormat="1">
      <c r="A31" s="402" t="s">
        <v>304</v>
      </c>
      <c r="B31" s="403"/>
      <c r="C31" s="404"/>
      <c r="D31" s="402"/>
      <c r="E31" s="406"/>
      <c r="F31" s="406"/>
      <c r="G31" s="406"/>
      <c r="H31" s="406">
        <f>L14</f>
        <v>0</v>
      </c>
      <c r="I31" s="406">
        <f>H14-H31</f>
        <v>0</v>
      </c>
      <c r="J31" s="403"/>
      <c r="K31" s="406"/>
      <c r="L31" s="402"/>
      <c r="M31" s="403">
        <f>R14</f>
        <v>0</v>
      </c>
      <c r="N31" s="403">
        <f>T14</f>
        <v>0</v>
      </c>
      <c r="O31" s="403"/>
      <c r="P31" s="403"/>
      <c r="Q31" s="406"/>
      <c r="R31" s="402"/>
      <c r="S31" s="403">
        <f>R14</f>
        <v>0</v>
      </c>
      <c r="T31" s="403">
        <f>Z14</f>
        <v>0</v>
      </c>
      <c r="U31" s="403"/>
      <c r="V31" s="403"/>
      <c r="W31" s="406"/>
      <c r="X31" s="402"/>
      <c r="Y31" s="403">
        <f>X14</f>
        <v>0</v>
      </c>
      <c r="Z31" s="403">
        <f>AF14</f>
        <v>0</v>
      </c>
      <c r="AA31" s="403"/>
      <c r="AB31" s="403"/>
      <c r="AC31" s="403"/>
      <c r="AD31" s="402"/>
      <c r="AE31" s="403">
        <f>AD14</f>
        <v>0</v>
      </c>
      <c r="AF31" s="403">
        <f>AL14</f>
        <v>0</v>
      </c>
      <c r="AG31" s="403"/>
      <c r="AH31" s="403"/>
      <c r="AI31" s="406"/>
      <c r="AJ31" s="402"/>
      <c r="AK31" s="403">
        <f>AJ14</f>
        <v>0</v>
      </c>
      <c r="AL31" s="403"/>
      <c r="AM31" s="406"/>
    </row>
    <row r="32" spans="1:39" s="2" customFormat="1">
      <c r="A32" s="409" t="s">
        <v>127</v>
      </c>
      <c r="B32" s="403"/>
      <c r="C32" s="404"/>
      <c r="D32" s="402"/>
      <c r="E32" s="406"/>
      <c r="F32" s="406"/>
      <c r="G32" s="406"/>
      <c r="H32" s="406"/>
      <c r="I32" s="406"/>
      <c r="J32" s="403"/>
      <c r="K32" s="406"/>
      <c r="L32" s="403"/>
      <c r="M32" s="403"/>
      <c r="N32" s="403"/>
      <c r="O32" s="403"/>
      <c r="P32" s="403"/>
      <c r="Q32" s="406"/>
      <c r="R32" s="403"/>
      <c r="S32" s="403"/>
      <c r="T32" s="403"/>
      <c r="U32" s="403"/>
      <c r="V32" s="403"/>
      <c r="W32" s="406"/>
      <c r="X32" s="403"/>
      <c r="Y32" s="403"/>
      <c r="Z32" s="403"/>
      <c r="AA32" s="403"/>
      <c r="AB32" s="403"/>
      <c r="AC32" s="403"/>
      <c r="AD32" s="403"/>
      <c r="AE32" s="403"/>
      <c r="AF32" s="403"/>
      <c r="AG32" s="403"/>
      <c r="AH32" s="403"/>
      <c r="AI32" s="406"/>
      <c r="AJ32" s="406"/>
      <c r="AK32" s="406"/>
      <c r="AL32" s="406"/>
      <c r="AM32" s="406"/>
    </row>
    <row r="33" spans="1:39" s="2" customFormat="1">
      <c r="A33" s="410" t="str">
        <f>A16</f>
        <v xml:space="preserve"> Rahoittaja/rahoitettava kohde</v>
      </c>
      <c r="B33" s="403"/>
      <c r="C33" s="404"/>
      <c r="D33" s="402"/>
      <c r="E33" s="406"/>
      <c r="F33" s="406"/>
      <c r="G33" s="406"/>
      <c r="H33" s="406"/>
      <c r="I33" s="406"/>
      <c r="J33" s="403">
        <f>J16</f>
        <v>0</v>
      </c>
      <c r="K33" s="406"/>
      <c r="L33" s="403">
        <f>IF(J33&gt;0,L16,0)</f>
        <v>0</v>
      </c>
      <c r="M33" s="403">
        <f>IF(N16&gt;0,R16,0)</f>
        <v>0</v>
      </c>
      <c r="N33" s="403">
        <f>N16</f>
        <v>0</v>
      </c>
      <c r="O33" s="403"/>
      <c r="P33" s="403">
        <f>P16</f>
        <v>0</v>
      </c>
      <c r="Q33" s="406"/>
      <c r="R33" s="403">
        <f>IF(P33&gt;0,R16,0)</f>
        <v>0</v>
      </c>
      <c r="S33" s="403">
        <f>IF(T16&gt;0,X16,0)</f>
        <v>0</v>
      </c>
      <c r="T33" s="403"/>
      <c r="U33" s="403"/>
      <c r="V33" s="403">
        <f>V16</f>
        <v>0</v>
      </c>
      <c r="W33" s="406"/>
      <c r="X33" s="403">
        <f>IF(V33&gt;0,X16,0)</f>
        <v>0</v>
      </c>
      <c r="Y33" s="403">
        <f>IF(Z16&gt;0,AD16,0)</f>
        <v>0</v>
      </c>
      <c r="Z33" s="403"/>
      <c r="AA33" s="403"/>
      <c r="AB33" s="403">
        <f>AB16</f>
        <v>0</v>
      </c>
      <c r="AC33" s="403"/>
      <c r="AD33" s="403">
        <f>IF(AB33&gt;0,AD16,0)</f>
        <v>0</v>
      </c>
      <c r="AE33" s="403">
        <f>IF(AF16&gt;0,AJ16,0)</f>
        <v>0</v>
      </c>
      <c r="AF33" s="403"/>
      <c r="AG33" s="403"/>
      <c r="AH33" s="403">
        <f>AH16</f>
        <v>0</v>
      </c>
      <c r="AI33" s="406"/>
      <c r="AJ33" s="403">
        <f>IF(AH33&gt;0,AJ16,0)</f>
        <v>0</v>
      </c>
      <c r="AK33" s="403">
        <f>IF(AL16&gt;0,AP16,0)</f>
        <v>0</v>
      </c>
      <c r="AL33" s="403"/>
      <c r="AM33" s="406"/>
    </row>
    <row r="34" spans="1:39" s="2" customFormat="1">
      <c r="A34" s="410">
        <f>A24</f>
        <v>0</v>
      </c>
      <c r="B34" s="403"/>
      <c r="C34" s="404"/>
      <c r="D34" s="402"/>
      <c r="E34" s="406"/>
      <c r="F34" s="406"/>
      <c r="G34" s="406"/>
      <c r="H34" s="406"/>
      <c r="I34" s="406"/>
      <c r="J34" s="403">
        <f>J24</f>
        <v>0</v>
      </c>
      <c r="K34" s="406"/>
      <c r="L34" s="403">
        <f>IF(J34&gt;0,L24,0)</f>
        <v>0</v>
      </c>
      <c r="M34" s="403">
        <f>IF(N24&gt;0,R24,0)</f>
        <v>0</v>
      </c>
      <c r="N34" s="403">
        <f>N24</f>
        <v>0</v>
      </c>
      <c r="O34" s="403"/>
      <c r="P34" s="403">
        <f>P24</f>
        <v>0</v>
      </c>
      <c r="Q34" s="406"/>
      <c r="R34" s="403">
        <f>IF(P34&gt;0,R24,0)</f>
        <v>0</v>
      </c>
      <c r="S34" s="403">
        <f>IF(T24&gt;0,X24,0)</f>
        <v>0</v>
      </c>
      <c r="T34" s="403"/>
      <c r="U34" s="403"/>
      <c r="V34" s="403">
        <f>V24</f>
        <v>0</v>
      </c>
      <c r="W34" s="406"/>
      <c r="X34" s="403">
        <f>IF(V34&gt;0,X24,0)</f>
        <v>0</v>
      </c>
      <c r="Y34" s="403">
        <f>IF(Z24&gt;0,AD24,0)</f>
        <v>0</v>
      </c>
      <c r="Z34" s="403"/>
      <c r="AA34" s="403"/>
      <c r="AB34" s="403">
        <f>AB24</f>
        <v>0</v>
      </c>
      <c r="AC34" s="403"/>
      <c r="AD34" s="403">
        <f>IF(AB34&gt;0,AD24,0)</f>
        <v>0</v>
      </c>
      <c r="AE34" s="403">
        <f>IF(AF24&gt;0,AJ24,0)</f>
        <v>0</v>
      </c>
      <c r="AF34" s="403"/>
      <c r="AG34" s="403"/>
      <c r="AH34" s="403">
        <f>AH24</f>
        <v>0</v>
      </c>
      <c r="AI34" s="406"/>
      <c r="AJ34" s="403">
        <f>IF(AH34&gt;0,AJ24,0)</f>
        <v>0</v>
      </c>
      <c r="AK34" s="403">
        <f>IF(AL24&gt;0,AP24,0)</f>
        <v>0</v>
      </c>
      <c r="AL34" s="403"/>
      <c r="AM34" s="406"/>
    </row>
    <row r="35" spans="1:39" s="2" customFormat="1">
      <c r="A35" s="410">
        <f>A26</f>
        <v>0</v>
      </c>
      <c r="B35" s="403"/>
      <c r="C35" s="404"/>
      <c r="D35" s="402"/>
      <c r="E35" s="406"/>
      <c r="F35" s="406"/>
      <c r="G35" s="406"/>
      <c r="H35" s="406"/>
      <c r="I35" s="406"/>
      <c r="J35" s="403">
        <f>J26</f>
        <v>0</v>
      </c>
      <c r="K35" s="406"/>
      <c r="L35" s="403">
        <f>IF(J35&gt;0,L26,0)</f>
        <v>0</v>
      </c>
      <c r="M35" s="403">
        <f>IF(N26&gt;0,R26,0)</f>
        <v>0</v>
      </c>
      <c r="N35" s="403">
        <f>N26</f>
        <v>0</v>
      </c>
      <c r="O35" s="403"/>
      <c r="P35" s="403">
        <f>P26</f>
        <v>0</v>
      </c>
      <c r="Q35" s="406"/>
      <c r="R35" s="403">
        <f>IF(P35&gt;0,R26,0)</f>
        <v>0</v>
      </c>
      <c r="S35" s="403">
        <f>IF(T26&gt;0,X26,0)</f>
        <v>0</v>
      </c>
      <c r="T35" s="403"/>
      <c r="U35" s="403"/>
      <c r="V35" s="403">
        <f>V26</f>
        <v>0</v>
      </c>
      <c r="W35" s="406"/>
      <c r="X35" s="403">
        <f>IF(V35&gt;0,X26,0)</f>
        <v>0</v>
      </c>
      <c r="Y35" s="403">
        <f>IF(Z26&gt;0,AD26,0)</f>
        <v>0</v>
      </c>
      <c r="Z35" s="403"/>
      <c r="AA35" s="403"/>
      <c r="AB35" s="403">
        <f>AB26</f>
        <v>0</v>
      </c>
      <c r="AC35" s="403"/>
      <c r="AD35" s="403">
        <f>IF(AB35&gt;0,AD26,0)</f>
        <v>0</v>
      </c>
      <c r="AE35" s="403">
        <f>IF(AF26&gt;0,AJ26,0)</f>
        <v>0</v>
      </c>
      <c r="AF35" s="403"/>
      <c r="AG35" s="403"/>
      <c r="AH35" s="403">
        <f>AH26</f>
        <v>0</v>
      </c>
      <c r="AI35" s="406"/>
      <c r="AJ35" s="403">
        <f>IF(AH35&gt;0,AJ26,0)</f>
        <v>0</v>
      </c>
      <c r="AK35" s="403">
        <f>IF(AL26&gt;0,AP26,0)</f>
        <v>0</v>
      </c>
      <c r="AL35" s="403"/>
      <c r="AM35" s="406"/>
    </row>
    <row r="36" spans="1:39" s="2" customFormat="1">
      <c r="A36" s="410">
        <f>A27</f>
        <v>0</v>
      </c>
      <c r="B36" s="403"/>
      <c r="C36" s="404"/>
      <c r="D36" s="402"/>
      <c r="E36" s="406"/>
      <c r="F36" s="406"/>
      <c r="G36" s="406"/>
      <c r="H36" s="406"/>
      <c r="I36" s="406"/>
      <c r="J36" s="403">
        <f>J27</f>
        <v>0</v>
      </c>
      <c r="K36" s="406"/>
      <c r="L36" s="403">
        <f>IF(J36&gt;0,L27,0)</f>
        <v>0</v>
      </c>
      <c r="M36" s="403">
        <f>IF(N27&gt;0,R27,0)</f>
        <v>0</v>
      </c>
      <c r="N36" s="403">
        <f>N27</f>
        <v>0</v>
      </c>
      <c r="O36" s="403"/>
      <c r="P36" s="403">
        <f>P27</f>
        <v>0</v>
      </c>
      <c r="Q36" s="406"/>
      <c r="R36" s="403">
        <f>IF(P36&gt;0,R27,0)</f>
        <v>0</v>
      </c>
      <c r="S36" s="403">
        <f>IF(T27&gt;0,X27,0)</f>
        <v>0</v>
      </c>
      <c r="T36" s="403"/>
      <c r="U36" s="403"/>
      <c r="V36" s="403">
        <f>V27</f>
        <v>0</v>
      </c>
      <c r="W36" s="406"/>
      <c r="X36" s="403">
        <f>IF(V36&gt;0,X27,0)</f>
        <v>0</v>
      </c>
      <c r="Y36" s="403">
        <f>IF(Z27&gt;0,AD27,0)</f>
        <v>0</v>
      </c>
      <c r="Z36" s="403"/>
      <c r="AA36" s="403"/>
      <c r="AB36" s="403">
        <f>AB27</f>
        <v>0</v>
      </c>
      <c r="AC36" s="403"/>
      <c r="AD36" s="403">
        <f>IF(AB36&gt;0,AD27,0)</f>
        <v>0</v>
      </c>
      <c r="AE36" s="403">
        <f>IF(AF27&gt;0,AJ27,0)</f>
        <v>0</v>
      </c>
      <c r="AF36" s="403"/>
      <c r="AG36" s="403"/>
      <c r="AH36" s="403">
        <f>AH27</f>
        <v>0</v>
      </c>
      <c r="AI36" s="406"/>
      <c r="AJ36" s="403">
        <f>IF(AH36&gt;0,AJ27,0)</f>
        <v>0</v>
      </c>
      <c r="AK36" s="403">
        <f>IF(AL27&gt;0,AP27,0)</f>
        <v>0</v>
      </c>
      <c r="AL36" s="403"/>
      <c r="AM36" s="406"/>
    </row>
    <row r="37" spans="1:39" s="2" customFormat="1" ht="12.9" thickBot="1">
      <c r="A37" s="402" t="s">
        <v>312</v>
      </c>
      <c r="B37" s="403"/>
      <c r="C37" s="404"/>
      <c r="D37" s="402"/>
      <c r="E37" s="406"/>
      <c r="F37" s="406"/>
      <c r="G37" s="406"/>
      <c r="H37" s="406"/>
      <c r="I37" s="406"/>
      <c r="J37" s="403">
        <f>SUM(J33:J36)</f>
        <v>0</v>
      </c>
      <c r="K37" s="406"/>
      <c r="L37" s="403">
        <f>SUM(L31:L36)</f>
        <v>0</v>
      </c>
      <c r="M37" s="403">
        <f>SUM(M31:M36)</f>
        <v>0</v>
      </c>
      <c r="N37" s="403">
        <f>SUM(N31:N36)</f>
        <v>0</v>
      </c>
      <c r="O37" s="403"/>
      <c r="P37" s="403">
        <f>SUM(P33:P36)</f>
        <v>0</v>
      </c>
      <c r="Q37" s="406"/>
      <c r="R37" s="403">
        <f>SUM(R30:R36)</f>
        <v>0</v>
      </c>
      <c r="S37" s="403">
        <f>SUM(S31:S36)</f>
        <v>0</v>
      </c>
      <c r="T37" s="403"/>
      <c r="U37" s="403"/>
      <c r="V37" s="403">
        <f>SUM(V33:V36)</f>
        <v>0</v>
      </c>
      <c r="W37" s="406"/>
      <c r="X37" s="403">
        <f>SUM(X30:X36)</f>
        <v>0</v>
      </c>
      <c r="Y37" s="403">
        <f>SUM(Y31:Y36)</f>
        <v>0</v>
      </c>
      <c r="Z37" s="403">
        <f>SUM(Z31:Z36)</f>
        <v>0</v>
      </c>
      <c r="AA37" s="403"/>
      <c r="AB37" s="403">
        <f>SUM(AB33:AB36)</f>
        <v>0</v>
      </c>
      <c r="AC37" s="403"/>
      <c r="AD37" s="403">
        <f>SUM(AD30:AD36)</f>
        <v>0</v>
      </c>
      <c r="AE37" s="403">
        <f>SUM(AE31:AE36)</f>
        <v>0</v>
      </c>
      <c r="AF37" s="403">
        <f>SUM(AF31:AF36)</f>
        <v>0</v>
      </c>
      <c r="AG37" s="403"/>
      <c r="AH37" s="403">
        <f>SUM(AH33:AH36)</f>
        <v>0</v>
      </c>
      <c r="AI37" s="406"/>
      <c r="AJ37" s="403">
        <f>SUM(AJ30:AJ36)</f>
        <v>0</v>
      </c>
      <c r="AK37" s="406"/>
      <c r="AL37" s="403">
        <f>SUM(AL31:AL36)</f>
        <v>0</v>
      </c>
      <c r="AM37" s="406"/>
    </row>
    <row r="38" spans="1:39" s="2" customFormat="1">
      <c r="C38" s="6" t="s">
        <v>136</v>
      </c>
      <c r="E38" s="2261">
        <f>E3</f>
        <v>0</v>
      </c>
      <c r="F38" s="2262"/>
      <c r="G38" s="2262"/>
      <c r="H38" s="2262"/>
      <c r="I38" s="2263"/>
      <c r="J38" s="2261" t="str">
        <f>J3</f>
        <v>Ennuste 1</v>
      </c>
      <c r="K38" s="2262"/>
      <c r="L38" s="2262"/>
      <c r="M38" s="2262"/>
      <c r="N38" s="2262"/>
      <c r="O38" s="2263"/>
      <c r="P38" s="2261" t="str">
        <f>P3</f>
        <v>Ennuste 2</v>
      </c>
      <c r="Q38" s="2262"/>
      <c r="R38" s="2262"/>
      <c r="S38" s="2262"/>
      <c r="T38" s="2262"/>
      <c r="U38" s="2263"/>
      <c r="V38" s="2261" t="str">
        <f>V3</f>
        <v>Ennuste 3</v>
      </c>
      <c r="W38" s="2262"/>
      <c r="X38" s="2262"/>
      <c r="Y38" s="2262"/>
      <c r="Z38" s="2262"/>
      <c r="AA38" s="2263"/>
      <c r="AB38" s="2261" t="s">
        <v>257</v>
      </c>
      <c r="AC38" s="2262"/>
      <c r="AD38" s="2262"/>
      <c r="AE38" s="2262"/>
      <c r="AF38" s="2262"/>
      <c r="AG38" s="2263"/>
      <c r="AH38" s="2261" t="s">
        <v>282</v>
      </c>
      <c r="AI38" s="2262"/>
      <c r="AJ38" s="2262"/>
      <c r="AK38" s="2262"/>
      <c r="AL38" s="2262"/>
      <c r="AM38" s="2263"/>
    </row>
    <row r="39" spans="1:39" ht="12.9" thickBot="1">
      <c r="B39" s="6" t="s">
        <v>128</v>
      </c>
      <c r="C39" s="6" t="s">
        <v>135</v>
      </c>
      <c r="D39" s="6" t="s">
        <v>126</v>
      </c>
      <c r="E39" s="2264">
        <f>E4</f>
        <v>0</v>
      </c>
      <c r="F39" s="2265"/>
      <c r="G39" s="2265"/>
      <c r="H39" s="2265"/>
      <c r="I39" s="2266"/>
      <c r="J39" s="2264">
        <f>J4</f>
        <v>2025</v>
      </c>
      <c r="K39" s="2265"/>
      <c r="L39" s="2265"/>
      <c r="M39" s="2265"/>
      <c r="N39" s="2265"/>
      <c r="O39" s="2266"/>
      <c r="P39" s="2270">
        <f>P4</f>
        <v>2026</v>
      </c>
      <c r="Q39" s="2271"/>
      <c r="R39" s="2271"/>
      <c r="S39" s="2271"/>
      <c r="T39" s="2271"/>
      <c r="U39" s="2272"/>
      <c r="V39" s="2270">
        <f>V4</f>
        <v>2027</v>
      </c>
      <c r="W39" s="2271"/>
      <c r="X39" s="2271"/>
      <c r="Y39" s="2271"/>
      <c r="Z39" s="2271"/>
      <c r="AA39" s="2272"/>
      <c r="AB39" s="2270">
        <f>AB4</f>
        <v>2028</v>
      </c>
      <c r="AC39" s="2271"/>
      <c r="AD39" s="2271"/>
      <c r="AE39" s="2271"/>
      <c r="AF39" s="2271"/>
      <c r="AG39" s="2272"/>
      <c r="AH39" s="2270">
        <f>AH4</f>
        <v>2029</v>
      </c>
      <c r="AI39" s="2271"/>
      <c r="AJ39" s="2271"/>
      <c r="AK39" s="2271"/>
      <c r="AL39" s="2271"/>
      <c r="AM39" s="2272"/>
    </row>
    <row r="40" spans="1:39" s="2" customFormat="1">
      <c r="A40" s="261" t="s">
        <v>227</v>
      </c>
      <c r="B40" s="262">
        <f>'4. T7 LAINAT '!C19</f>
        <v>0</v>
      </c>
      <c r="C40" s="170">
        <f>IF(12*'4. T7 LAINAT '!D19-12&lt;0,0,12*'4. T7 LAINAT '!D19-12)</f>
        <v>0</v>
      </c>
      <c r="D40" s="263">
        <f>'4. T7 LAINAT '!E19</f>
        <v>0</v>
      </c>
      <c r="E40" s="264"/>
      <c r="F40" s="265"/>
      <c r="G40" s="264"/>
      <c r="H40" s="262">
        <f>B40</f>
        <v>0</v>
      </c>
      <c r="I40" s="264"/>
      <c r="J40" s="262"/>
      <c r="K40" s="262"/>
      <c r="L40" s="262">
        <f>'4. T7 LAINAT '!F19</f>
        <v>0</v>
      </c>
      <c r="M40" s="262"/>
      <c r="N40" s="262">
        <f>H40</f>
        <v>0</v>
      </c>
      <c r="O40" s="262">
        <f>IF($C40&lt;P41,0,IF($D40=0,0,-CUMIPMT($D40/12,$C40,$B40+L40,P41,P42,0)))</f>
        <v>0</v>
      </c>
      <c r="P40" s="262"/>
      <c r="Q40" s="262"/>
      <c r="R40" s="262">
        <f>IF($C40&lt;P41,0,IF($D40=0,0,-CUMPRINC($D40/12,$C40,$B40,P41,P42,0)))</f>
        <v>0</v>
      </c>
      <c r="S40" s="262"/>
      <c r="T40" s="262">
        <f>IF(R40=0,0,N40-R40)</f>
        <v>0</v>
      </c>
      <c r="U40" s="262">
        <f>IF($C40&lt;P41,0,IF($D40=0,0,-CUMIPMT($D40/12,$C40,$B40,P41,P42,0)))</f>
        <v>0</v>
      </c>
      <c r="V40" s="262"/>
      <c r="W40" s="262"/>
      <c r="X40" s="262">
        <f>IF($C40&lt;V41,0,IF($D40=0,0,-CUMPRINC($D40/12,$C40,$B40,V41,V42,0)))</f>
        <v>0</v>
      </c>
      <c r="Y40" s="262"/>
      <c r="Z40" s="262">
        <f>IF(X40=0,0,T40-X40)</f>
        <v>0</v>
      </c>
      <c r="AA40" s="262">
        <f>IF($C40&lt;V41,0,IF($D40=0,0,-CUMIPMT($D40/12,$C40,$B40,V41,V42,0)))</f>
        <v>0</v>
      </c>
      <c r="AB40" s="262"/>
      <c r="AC40" s="262"/>
      <c r="AD40" s="262">
        <f>IF($C40&lt;AB41,0,IF($D40=0,0,-CUMPRINC($D40/12,$C40,$B40,AB41,AB42,0)))</f>
        <v>0</v>
      </c>
      <c r="AE40" s="262"/>
      <c r="AF40" s="262">
        <f>IF(AD40=0,0,Z40-AD40)</f>
        <v>0</v>
      </c>
      <c r="AG40" s="266">
        <f>IF($C40&lt;AB41,0,IF($D40=0,0,-CUMIPMT($D40/12,$C40,$B40,AB41,AB42,0)))</f>
        <v>0</v>
      </c>
      <c r="AH40" s="262"/>
      <c r="AI40" s="262"/>
      <c r="AJ40" s="262">
        <f>IF($C40&lt;AH41,0,IF($D40=0,0,-CUMPRINC($D40/12,$C40,$B40,AH41,AH42,0)))</f>
        <v>0</v>
      </c>
      <c r="AK40" s="262"/>
      <c r="AL40" s="262">
        <f>IF(AJ40=0,0,AF40-AJ40)</f>
        <v>0</v>
      </c>
      <c r="AM40" s="266">
        <f>IF($C40&lt;AH41,0,IF($D40=0,0,-CUMIPMT($D40/12,$C40,$B40,AH41,AH42,0)))</f>
        <v>0</v>
      </c>
    </row>
    <row r="41" spans="1:39">
      <c r="A41" s="267" t="s">
        <v>228</v>
      </c>
      <c r="F41" s="97"/>
      <c r="P41" s="37">
        <v>1</v>
      </c>
      <c r="Q41" s="103"/>
      <c r="R41" s="37"/>
      <c r="S41" s="37"/>
      <c r="T41" s="37"/>
      <c r="U41" s="37"/>
      <c r="V41" s="37">
        <v>13</v>
      </c>
      <c r="W41" s="103"/>
      <c r="X41" s="37"/>
      <c r="Y41" s="37"/>
      <c r="Z41" s="37"/>
      <c r="AA41" s="37"/>
      <c r="AB41" s="37">
        <v>25</v>
      </c>
      <c r="AC41" s="37"/>
      <c r="AD41" s="37"/>
      <c r="AE41" s="37"/>
      <c r="AF41" s="37"/>
      <c r="AG41" s="37"/>
      <c r="AH41">
        <v>37</v>
      </c>
      <c r="AM41" s="171"/>
    </row>
    <row r="42" spans="1:39">
      <c r="A42" s="267" t="s">
        <v>229</v>
      </c>
      <c r="F42" s="97"/>
      <c r="P42" s="37">
        <v>12</v>
      </c>
      <c r="Q42" s="103"/>
      <c r="R42" s="37"/>
      <c r="S42" s="37"/>
      <c r="T42" s="37"/>
      <c r="U42" s="37"/>
      <c r="V42" s="37">
        <v>24</v>
      </c>
      <c r="W42" s="103"/>
      <c r="X42" s="37"/>
      <c r="Y42" s="37"/>
      <c r="Z42" s="37"/>
      <c r="AA42" s="37"/>
      <c r="AB42" s="37">
        <v>36</v>
      </c>
      <c r="AC42" s="37"/>
      <c r="AD42" s="37"/>
      <c r="AE42" s="37"/>
      <c r="AF42" s="37"/>
      <c r="AG42" s="37"/>
      <c r="AH42">
        <v>48</v>
      </c>
      <c r="AM42" s="171"/>
    </row>
    <row r="43" spans="1:39" ht="12.9" thickBot="1">
      <c r="A43" s="268" t="s">
        <v>279</v>
      </c>
      <c r="B43" s="186"/>
      <c r="C43" s="269"/>
      <c r="D43" s="186"/>
      <c r="E43" s="186"/>
      <c r="F43" s="270"/>
      <c r="G43" s="186"/>
      <c r="H43" s="271">
        <f>SUM(H40:H42)</f>
        <v>0</v>
      </c>
      <c r="I43" s="186"/>
      <c r="J43" s="271"/>
      <c r="K43" s="272"/>
      <c r="L43" s="271">
        <f>SUM(L40:L42)</f>
        <v>0</v>
      </c>
      <c r="M43" s="271"/>
      <c r="N43" s="271">
        <f>SUM(N40:N42)</f>
        <v>0</v>
      </c>
      <c r="O43" s="271">
        <f>SUM(O40:O42)</f>
        <v>0</v>
      </c>
      <c r="P43" s="271"/>
      <c r="Q43" s="272"/>
      <c r="R43" s="271">
        <f>SUM(R40:R42)</f>
        <v>0</v>
      </c>
      <c r="S43" s="271"/>
      <c r="T43" s="271">
        <f>SUM(T40:T42)</f>
        <v>0</v>
      </c>
      <c r="U43" s="271">
        <f>SUM(U40:U42)</f>
        <v>0</v>
      </c>
      <c r="V43" s="271"/>
      <c r="W43" s="271"/>
      <c r="X43" s="271">
        <f>SUM(X40:X42)</f>
        <v>0</v>
      </c>
      <c r="Y43" s="271"/>
      <c r="Z43" s="271">
        <f>SUM(Z40:Z42)</f>
        <v>0</v>
      </c>
      <c r="AA43" s="271">
        <f>SUM(AA40:AA42)</f>
        <v>0</v>
      </c>
      <c r="AB43" s="186"/>
      <c r="AC43" s="186"/>
      <c r="AD43" s="271">
        <f>SUM(AD40:AD42)</f>
        <v>0</v>
      </c>
      <c r="AE43" s="186"/>
      <c r="AF43" s="271">
        <f>SUM(AF40:AF42)</f>
        <v>0</v>
      </c>
      <c r="AG43" s="271">
        <f>SUM(AG40:AG42)</f>
        <v>0</v>
      </c>
      <c r="AH43" s="186"/>
      <c r="AI43" s="186"/>
      <c r="AJ43" s="271">
        <f>SUM(AJ40:AJ42)</f>
        <v>0</v>
      </c>
      <c r="AK43" s="186"/>
      <c r="AL43" s="271">
        <f>SUM(AL40:AL42)</f>
        <v>0</v>
      </c>
      <c r="AM43" s="271">
        <f>SUM(AM40:AM42)</f>
        <v>0</v>
      </c>
    </row>
    <row r="44" spans="1:39">
      <c r="A44" s="169" t="s">
        <v>231</v>
      </c>
      <c r="B44" s="37">
        <f>'4. T7 LAINAT '!C41</f>
        <v>0</v>
      </c>
      <c r="C44" s="170">
        <f>12*'4. T7 LAINAT '!D41</f>
        <v>0</v>
      </c>
      <c r="D44" s="188">
        <f>'4. T7 LAINAT '!E41</f>
        <v>0</v>
      </c>
      <c r="F44" s="97"/>
      <c r="J44" s="103">
        <f>'4. T7 LAINAT '!F41</f>
        <v>0</v>
      </c>
      <c r="K44" s="174"/>
      <c r="L44" s="174">
        <f>IF($D44=0,0,-CUMPRINC($D44/12,$C44,$B44,J45,J46,0))</f>
        <v>0</v>
      </c>
      <c r="M44" s="174"/>
      <c r="N44" s="174">
        <f>J44-L44</f>
        <v>0</v>
      </c>
      <c r="O44" s="262">
        <f>IF($C44&lt;J45,0,IF($D44=0,0,-CUMIPMT($D44/12,$C44,$B44,J45,J46,0)))</f>
        <v>0</v>
      </c>
      <c r="P44" s="174"/>
      <c r="Q44" s="174"/>
      <c r="R44" s="262">
        <f>IF($C44&lt;P45,0,IF($D44=0,0,-CUMPRINC($D44/12,$C44,$B44,P45,P46,0)))</f>
        <v>0</v>
      </c>
      <c r="S44" s="174"/>
      <c r="T44" s="174">
        <f>N44-R44</f>
        <v>0</v>
      </c>
      <c r="U44" s="262">
        <f>IF($C44&lt;P45,0,IF($D44=0,0,-CUMIPMT($D44/12,$C44,$B44,P45,P46,0)))</f>
        <v>0</v>
      </c>
      <c r="V44" s="174"/>
      <c r="W44" s="174"/>
      <c r="X44" s="262">
        <f>IF($C44&lt;V45,0,IF($D44=0,0,-CUMPRINC($D44/12,$C44,$B44,V45,V46,0)))</f>
        <v>0</v>
      </c>
      <c r="Y44" s="174"/>
      <c r="Z44" s="174">
        <f>T44-X44</f>
        <v>0</v>
      </c>
      <c r="AA44" s="262">
        <f>IF($C44&lt;V45,0,IF($D44=0,0,-CUMIPMT($D44/12,$C44,$B44,V45,V46,0)))</f>
        <v>0</v>
      </c>
      <c r="AB44" s="174"/>
      <c r="AC44" s="174"/>
      <c r="AD44" s="262">
        <f>IF($C44&lt;AB45,0,IF($D44=0,0,-CUMPRINC($D44/12,$C44,$B44,AB45,AB46,0)))</f>
        <v>0</v>
      </c>
      <c r="AE44" s="174"/>
      <c r="AF44" s="174">
        <f>Z44-AD44</f>
        <v>0</v>
      </c>
      <c r="AG44" s="266">
        <f>IF($C44&lt;AB45,0,IF($D44=0,0,-CUMIPMT($D44/12,$C44,$B44,AB45,AB46,0)))</f>
        <v>0</v>
      </c>
      <c r="AH44" s="174"/>
      <c r="AI44" s="174"/>
      <c r="AJ44" s="262">
        <f>IF($C44&lt;AH45,0,IF($D44=0,0,-CUMPRINC($D44/12,$C44,$B44,AH45,AH46,0)))</f>
        <v>0</v>
      </c>
      <c r="AK44" s="174"/>
      <c r="AL44" s="174">
        <f>AF44-AJ44</f>
        <v>0</v>
      </c>
      <c r="AM44" s="266">
        <f>IF($C44&lt;AH45,0,IF($D44=0,0,-CUMIPMT($D44/12,$C44,$B44,AH45,AH46,0)))</f>
        <v>0</v>
      </c>
    </row>
    <row r="45" spans="1:39">
      <c r="A45" s="190" t="s">
        <v>228</v>
      </c>
      <c r="F45" s="97"/>
      <c r="J45" s="37">
        <v>1</v>
      </c>
      <c r="K45" s="103"/>
      <c r="L45" s="37"/>
      <c r="M45" s="37"/>
      <c r="N45" s="37"/>
      <c r="O45" s="37"/>
      <c r="P45" s="37">
        <v>13</v>
      </c>
      <c r="Q45" s="103"/>
      <c r="R45" s="37"/>
      <c r="S45" s="37"/>
      <c r="T45" s="37"/>
      <c r="U45" s="37"/>
      <c r="V45" s="37">
        <v>25</v>
      </c>
      <c r="W45" s="37"/>
      <c r="X45" s="37"/>
      <c r="Y45" s="37"/>
      <c r="Z45" s="37"/>
      <c r="AA45" s="37"/>
      <c r="AB45">
        <v>37</v>
      </c>
      <c r="AH45">
        <v>49</v>
      </c>
    </row>
    <row r="46" spans="1:39" ht="12.9" thickBot="1">
      <c r="A46" s="190" t="s">
        <v>229</v>
      </c>
      <c r="F46" s="97"/>
      <c r="J46" s="37">
        <v>12</v>
      </c>
      <c r="K46" s="103"/>
      <c r="L46" s="37"/>
      <c r="M46" s="37"/>
      <c r="N46" s="37"/>
      <c r="O46" s="37"/>
      <c r="P46" s="37">
        <v>24</v>
      </c>
      <c r="Q46" s="103"/>
      <c r="R46" s="37"/>
      <c r="S46" s="37"/>
      <c r="T46" s="37"/>
      <c r="U46" s="37"/>
      <c r="V46" s="37">
        <v>36</v>
      </c>
      <c r="W46" s="37"/>
      <c r="X46" s="37"/>
      <c r="Y46" s="37"/>
      <c r="Z46" s="37"/>
      <c r="AA46" s="37"/>
      <c r="AB46">
        <v>48</v>
      </c>
      <c r="AH46">
        <v>60</v>
      </c>
    </row>
    <row r="47" spans="1:39" s="2" customFormat="1">
      <c r="A47" s="169" t="s">
        <v>232</v>
      </c>
      <c r="B47" s="37">
        <f>'4. T7 LAINAT '!C42</f>
        <v>0</v>
      </c>
      <c r="C47" s="86">
        <f>'4. T7 LAINAT '!D42*12</f>
        <v>0</v>
      </c>
      <c r="D47" s="188">
        <f>'4. T7 LAINAT '!E42</f>
        <v>0</v>
      </c>
      <c r="F47" s="189"/>
      <c r="J47" s="103">
        <f>'4. T7 LAINAT '!F42</f>
        <v>0</v>
      </c>
      <c r="K47" s="174"/>
      <c r="L47" s="174">
        <f>IF($D47=0,0,IF($J47=0,0,-CUMPRINC($D47/12,$C47,$B47,P48,P49,0)))</f>
        <v>0</v>
      </c>
      <c r="M47" s="174"/>
      <c r="N47" s="174"/>
      <c r="O47" s="174">
        <v>0</v>
      </c>
      <c r="P47" s="103">
        <f>'4. T7 LAINAT '!I42</f>
        <v>0</v>
      </c>
      <c r="Q47" s="174"/>
      <c r="R47" s="262">
        <f>IF($C47&lt;P48,0,IF($D47=0,0,-CUMPRINC($D47/12,$C47,$B47,P48,P49,0)))</f>
        <v>0</v>
      </c>
      <c r="S47" s="191"/>
      <c r="T47" s="192">
        <f>P47-R47</f>
        <v>0</v>
      </c>
      <c r="U47" s="262">
        <f>IF($C47&lt;P48,0,IF($D47=0,0,-CUMIPMT($D47/12,$C47,$B47,P48,P49,0)))</f>
        <v>0</v>
      </c>
      <c r="V47" s="174"/>
      <c r="W47" s="174"/>
      <c r="X47" s="262">
        <f>IF($C47&lt;V48,0,IF($D47=0,0,-CUMPRINC($D47/12,$C47,$B47,V48,V49,0)))</f>
        <v>0</v>
      </c>
      <c r="Y47" s="174"/>
      <c r="Z47" s="174">
        <f>T47-X47</f>
        <v>0</v>
      </c>
      <c r="AA47" s="262">
        <f>IF($C47&lt;V48,0,IF($D47=0,0,-CUMIPMT($D47/12,$C47,$B47,V48,V49,0)))</f>
        <v>0</v>
      </c>
      <c r="AB47" s="174"/>
      <c r="AC47" s="174"/>
      <c r="AD47" s="262">
        <f>IF($C47&lt;AB48,0,IF($D47=0,0,-CUMPRINC($D47/12,$C47,$B47,AB48,AB49,0)))</f>
        <v>0</v>
      </c>
      <c r="AE47" s="174"/>
      <c r="AF47" s="174">
        <f>Z47-AD47</f>
        <v>0</v>
      </c>
      <c r="AG47" s="266">
        <f>IF($C47&lt;AB48,0,IF($D47=0,0,-CUMIPMT($D47/12,$C47,$B47,AB48,AB49,0)))</f>
        <v>0</v>
      </c>
      <c r="AH47" s="174"/>
      <c r="AI47" s="174"/>
      <c r="AJ47" s="262">
        <f>IF($C47&lt;AH48,0,IF($D47=0,0,-CUMPRINC($D47/12,$C47,$B47,AH48,AH49,0)))</f>
        <v>0</v>
      </c>
      <c r="AK47" s="174"/>
      <c r="AL47" s="174">
        <f>AF47-AJ47</f>
        <v>0</v>
      </c>
      <c r="AM47" s="266">
        <f>IF($C47&lt;AH48,0,IF($D47=0,0,-CUMIPMT($D47/12,$C47,$B47,AH48,AH49,0)))</f>
        <v>0</v>
      </c>
    </row>
    <row r="48" spans="1:39">
      <c r="A48" s="190" t="s">
        <v>228</v>
      </c>
      <c r="F48" s="97"/>
      <c r="J48" s="37"/>
      <c r="K48" s="37"/>
      <c r="L48" s="37"/>
      <c r="M48" s="37"/>
      <c r="N48" s="37"/>
      <c r="O48" s="37"/>
      <c r="P48" s="37">
        <v>1</v>
      </c>
      <c r="Q48" s="103"/>
      <c r="R48" s="37"/>
      <c r="S48" s="37"/>
      <c r="T48" s="37"/>
      <c r="U48" s="37"/>
      <c r="V48" s="37">
        <v>13</v>
      </c>
      <c r="W48" s="103"/>
      <c r="X48" s="37"/>
      <c r="Y48" s="37"/>
      <c r="Z48" s="37"/>
      <c r="AA48" s="37"/>
      <c r="AB48" s="88">
        <v>25</v>
      </c>
      <c r="AH48" s="88">
        <v>37</v>
      </c>
    </row>
    <row r="49" spans="1:39" ht="12.9" thickBot="1">
      <c r="A49" s="190" t="s">
        <v>229</v>
      </c>
      <c r="F49" s="97"/>
      <c r="J49" s="37"/>
      <c r="K49" s="37"/>
      <c r="L49" s="37"/>
      <c r="M49" s="37"/>
      <c r="N49" s="37"/>
      <c r="O49" s="37"/>
      <c r="P49" s="37">
        <v>12</v>
      </c>
      <c r="Q49" s="103"/>
      <c r="R49" s="37"/>
      <c r="S49" s="37"/>
      <c r="T49" s="37"/>
      <c r="U49" s="37"/>
      <c r="V49" s="37">
        <v>24</v>
      </c>
      <c r="W49" s="103"/>
      <c r="X49" s="37"/>
      <c r="Y49" s="37"/>
      <c r="Z49" s="37"/>
      <c r="AA49" s="37"/>
      <c r="AB49" s="88">
        <v>36</v>
      </c>
      <c r="AH49" s="88">
        <v>48</v>
      </c>
    </row>
    <row r="50" spans="1:39">
      <c r="A50" s="169" t="s">
        <v>233</v>
      </c>
      <c r="B50" s="37">
        <f>'4. T7 LAINAT '!C43</f>
        <v>0</v>
      </c>
      <c r="C50" s="86">
        <f>'4. T7 LAINAT '!D43*12</f>
        <v>0</v>
      </c>
      <c r="D50" s="188">
        <f>'4. T7 LAINAT '!E43</f>
        <v>0</v>
      </c>
      <c r="F50" s="97"/>
      <c r="J50" s="37"/>
      <c r="K50" s="37"/>
      <c r="L50" s="37"/>
      <c r="M50" s="37"/>
      <c r="N50" s="37"/>
      <c r="O50" s="37"/>
      <c r="P50" s="37"/>
      <c r="Q50" s="103"/>
      <c r="R50" s="37"/>
      <c r="S50" s="37"/>
      <c r="T50" s="37"/>
      <c r="U50" s="37"/>
      <c r="V50" s="37">
        <f>'4. T7 LAINAT '!L43</f>
        <v>0</v>
      </c>
      <c r="W50" s="103"/>
      <c r="X50" s="262">
        <f>IF($C50&lt;V51,0,IF($D50=0,0,-CUMPRINC($D50/12,$C50,$B50,V51,V52,0)))</f>
        <v>0</v>
      </c>
      <c r="Y50" s="174"/>
      <c r="Z50" s="174">
        <f>V50-X50</f>
        <v>0</v>
      </c>
      <c r="AA50" s="262">
        <f>IF($C50&lt;V51,0,IF($D50=0,0,-CUMIPMT($D50/12,$C50,$B50,V51,V52,0)))</f>
        <v>0</v>
      </c>
      <c r="AB50" s="174"/>
      <c r="AC50" s="174"/>
      <c r="AD50" s="262">
        <f>IF($C50&lt;AB51,0,IF($D50=0,0,-CUMPRINC($D50/12,$C50,$B50,AB51,AB52,0)))</f>
        <v>0</v>
      </c>
      <c r="AE50" s="174"/>
      <c r="AF50" s="174">
        <f>Z50-AD50</f>
        <v>0</v>
      </c>
      <c r="AG50" s="266">
        <f>IF($C50&lt;AB51,0,IF($D50=0,0,-CUMIPMT($D50/12,$C50,$B50,AB51,AB52,0)))</f>
        <v>0</v>
      </c>
      <c r="AH50" s="174"/>
      <c r="AI50" s="174"/>
      <c r="AJ50" s="262">
        <f>IF($C50&lt;AH51,0,IF($D50=0,0,-CUMPRINC($D50/12,$C50,$B50,AH51,AH52,0)))</f>
        <v>0</v>
      </c>
      <c r="AK50" s="174"/>
      <c r="AL50" s="174">
        <f>AF50-AJ50</f>
        <v>0</v>
      </c>
      <c r="AM50" s="266">
        <f>IF($C50&lt;AH51,0,IF($D50=0,0,-CUMIPMT($D50/12,$C50,$B50,AH51,AH52,0)))</f>
        <v>0</v>
      </c>
    </row>
    <row r="51" spans="1:39">
      <c r="A51" s="190" t="s">
        <v>228</v>
      </c>
      <c r="F51" s="97"/>
      <c r="J51" s="37"/>
      <c r="K51" s="37"/>
      <c r="L51" s="37"/>
      <c r="M51" s="37"/>
      <c r="N51" s="37"/>
      <c r="O51" s="37"/>
      <c r="P51" s="37"/>
      <c r="Q51" s="103"/>
      <c r="R51" s="37"/>
      <c r="S51" s="37"/>
      <c r="T51" s="37"/>
      <c r="U51" s="37"/>
      <c r="V51" s="37">
        <v>1</v>
      </c>
      <c r="W51" s="103"/>
      <c r="X51" s="37"/>
      <c r="Y51" s="37"/>
      <c r="Z51" s="37"/>
      <c r="AA51" s="37"/>
      <c r="AB51" s="37">
        <v>13</v>
      </c>
      <c r="AH51" s="37">
        <v>25</v>
      </c>
    </row>
    <row r="52" spans="1:39" ht="12.9" thickBot="1">
      <c r="A52" s="190" t="s">
        <v>229</v>
      </c>
      <c r="F52" s="97"/>
      <c r="J52" s="37"/>
      <c r="K52" s="37"/>
      <c r="L52" s="37"/>
      <c r="M52" s="37"/>
      <c r="N52" s="37"/>
      <c r="O52" s="37"/>
      <c r="P52" s="37"/>
      <c r="Q52" s="103"/>
      <c r="R52" s="37"/>
      <c r="S52" s="37"/>
      <c r="T52" s="37"/>
      <c r="U52" s="37"/>
      <c r="V52" s="37">
        <v>12</v>
      </c>
      <c r="W52" s="103"/>
      <c r="X52" s="37"/>
      <c r="Y52" s="37"/>
      <c r="Z52" s="37"/>
      <c r="AA52" s="37"/>
      <c r="AB52" s="37">
        <v>24</v>
      </c>
      <c r="AH52" s="37">
        <v>36</v>
      </c>
    </row>
    <row r="53" spans="1:39">
      <c r="A53" s="169" t="s">
        <v>283</v>
      </c>
      <c r="B53" s="37">
        <f>'4. T7 LAINAT '!C44</f>
        <v>0</v>
      </c>
      <c r="C53" s="37">
        <f>'4. T7 LAINAT '!D44*12</f>
        <v>0</v>
      </c>
      <c r="D53" s="188">
        <f>'4. T7 LAINAT '!E44</f>
        <v>0</v>
      </c>
      <c r="F53" s="97"/>
      <c r="J53" s="37"/>
      <c r="K53" s="37"/>
      <c r="L53" s="37"/>
      <c r="M53" s="37"/>
      <c r="N53" s="37"/>
      <c r="O53" s="37"/>
      <c r="P53" s="37"/>
      <c r="Q53" s="103"/>
      <c r="R53" s="37"/>
      <c r="S53" s="37"/>
      <c r="T53" s="37"/>
      <c r="U53" s="37"/>
      <c r="V53" s="37" t="e">
        <f>'4. T7 LAINAT '!#REF!</f>
        <v>#REF!</v>
      </c>
      <c r="W53" s="103"/>
      <c r="X53" s="174">
        <f>IF($D53=0,0,IF(V53=0,0,-CUMPRINC($D53/12,$C53,$B53,V54,V55,0)))</f>
        <v>0</v>
      </c>
      <c r="Y53" s="174"/>
      <c r="Z53" s="174" t="e">
        <f>V53-X53</f>
        <v>#REF!</v>
      </c>
      <c r="AA53" s="174">
        <f>IF($D53=0,0,IF($V53=0,0,-CUMIPMT($D53/12,$C53,$B53,V54,V55,0)))</f>
        <v>0</v>
      </c>
      <c r="AB53" s="174">
        <f>'4. T7 LAINAT '!O44</f>
        <v>0</v>
      </c>
      <c r="AC53" s="174"/>
      <c r="AD53" s="262">
        <f>IF($C53&lt;AB54,0,IF($D53=0,0,-CUMPRINC($D53/12,$C53,$B53,AB54,AB55,0)))</f>
        <v>0</v>
      </c>
      <c r="AE53" s="174"/>
      <c r="AF53" s="174">
        <f>AB53-AD53</f>
        <v>0</v>
      </c>
      <c r="AG53" s="266">
        <f>IF($C53&lt;AB54,0,IF($D53=0,0,-CUMIPMT($D53/12,$C53,$B53,AB54,AB55,0)))</f>
        <v>0</v>
      </c>
      <c r="AH53" s="174"/>
      <c r="AI53" s="174"/>
      <c r="AJ53" s="262">
        <f>IF($C53&lt;AH54,0,IF($D53=0,0,-CUMPRINC($D53/12,$C53,$B53,AH54,AH55,0)))</f>
        <v>0</v>
      </c>
      <c r="AK53" s="174"/>
      <c r="AL53" s="174">
        <f>AF53-AJ53</f>
        <v>0</v>
      </c>
      <c r="AM53" s="266">
        <f>IF($C53&lt;AH54,0,IF($D53=0,0,-CUMIPMT($D53/12,$C53,$B53,AH54,AH55,0)))</f>
        <v>0</v>
      </c>
    </row>
    <row r="54" spans="1:39">
      <c r="A54" s="190" t="s">
        <v>228</v>
      </c>
      <c r="F54" s="97"/>
      <c r="J54" s="37"/>
      <c r="K54" s="37"/>
      <c r="L54" s="37"/>
      <c r="M54" s="37"/>
      <c r="N54" s="37"/>
      <c r="O54" s="37"/>
      <c r="P54" s="37"/>
      <c r="Q54" s="103"/>
      <c r="R54" s="37"/>
      <c r="S54" s="37"/>
      <c r="T54" s="37"/>
      <c r="U54" s="37"/>
      <c r="V54" s="37"/>
      <c r="W54" s="103"/>
      <c r="X54" s="37"/>
      <c r="Y54" s="37"/>
      <c r="Z54" s="37"/>
      <c r="AA54" s="37"/>
      <c r="AB54" s="37">
        <v>1</v>
      </c>
      <c r="AH54" s="37">
        <v>13</v>
      </c>
    </row>
    <row r="55" spans="1:39">
      <c r="A55" s="190" t="s">
        <v>229</v>
      </c>
      <c r="F55" s="97"/>
      <c r="J55" s="37"/>
      <c r="K55" s="37"/>
      <c r="L55" s="37"/>
      <c r="M55" s="37"/>
      <c r="N55" s="37"/>
      <c r="O55" s="37"/>
      <c r="P55" s="37"/>
      <c r="Q55" s="103"/>
      <c r="R55" s="37"/>
      <c r="S55" s="37"/>
      <c r="T55" s="37"/>
      <c r="U55" s="37"/>
      <c r="V55" s="37"/>
      <c r="W55" s="103"/>
      <c r="X55" s="37"/>
      <c r="Y55" s="37"/>
      <c r="Z55" s="37"/>
      <c r="AA55" s="37"/>
      <c r="AB55" s="37">
        <v>12</v>
      </c>
      <c r="AH55" s="37">
        <v>24</v>
      </c>
    </row>
    <row r="56" spans="1:39" s="2" customFormat="1" ht="12.9" thickBot="1">
      <c r="A56" s="203" t="s">
        <v>256</v>
      </c>
      <c r="B56" s="204"/>
      <c r="C56" s="205"/>
      <c r="D56" s="204"/>
      <c r="E56" s="204"/>
      <c r="F56" s="206"/>
      <c r="G56" s="204"/>
      <c r="H56" s="204"/>
      <c r="I56" s="204"/>
      <c r="J56" s="299">
        <f>J44+J47+J50+J53</f>
        <v>0</v>
      </c>
      <c r="K56" s="299"/>
      <c r="L56" s="299">
        <f>SUM(L44:L52)</f>
        <v>0</v>
      </c>
      <c r="M56" s="299"/>
      <c r="N56" s="299">
        <f>SUM(N44:N52)</f>
        <v>0</v>
      </c>
      <c r="O56" s="299">
        <f>SUM(O44:O52)</f>
        <v>0</v>
      </c>
      <c r="P56" s="299">
        <f>P44+P47+P50+P53</f>
        <v>0</v>
      </c>
      <c r="Q56" s="299"/>
      <c r="R56" s="299">
        <f>SUM(R44:R52)</f>
        <v>0</v>
      </c>
      <c r="S56" s="299"/>
      <c r="T56" s="299">
        <f>SUM(T44:T52)</f>
        <v>0</v>
      </c>
      <c r="U56" s="299">
        <f>SUM(U44:U52)</f>
        <v>0</v>
      </c>
      <c r="V56" s="299" t="e">
        <f>V44+V47+V50+V53</f>
        <v>#REF!</v>
      </c>
      <c r="W56" s="299"/>
      <c r="X56" s="299">
        <f>SUM(X44:X53)</f>
        <v>0</v>
      </c>
      <c r="Y56" s="299"/>
      <c r="Z56" s="299">
        <f>SUM(Z44:Z52)</f>
        <v>0</v>
      </c>
      <c r="AA56" s="299">
        <f>SUM(AA44:AA52)</f>
        <v>0</v>
      </c>
      <c r="AB56" s="299">
        <f>AB44+AB47+AB50+AB53</f>
        <v>0</v>
      </c>
      <c r="AC56" s="299"/>
      <c r="AD56" s="299">
        <f>AD44+AD47+AD50+AD53</f>
        <v>0</v>
      </c>
      <c r="AE56" s="299"/>
      <c r="AF56" s="299">
        <f>AF44+AF47+AF50+AF53</f>
        <v>0</v>
      </c>
      <c r="AG56" s="299">
        <f>AG44+AG47+AG50+AG53</f>
        <v>0</v>
      </c>
      <c r="AH56" s="299">
        <f>AH44+AH47+AH50+AH53</f>
        <v>0</v>
      </c>
      <c r="AI56" s="299"/>
      <c r="AJ56" s="299">
        <f>AJ44+AJ47+AJ50+AJ53</f>
        <v>0</v>
      </c>
      <c r="AK56" s="299"/>
      <c r="AL56" s="299">
        <f>AL44+AL47+AL50+AL53</f>
        <v>0</v>
      </c>
      <c r="AM56" s="299">
        <f>AM44+AM47+AM50+AM53</f>
        <v>0</v>
      </c>
    </row>
    <row r="57" spans="1:39" s="2" customFormat="1" ht="12.9" thickBot="1">
      <c r="A57" s="169"/>
      <c r="C57" s="292"/>
      <c r="E57" s="2281">
        <f>E4</f>
        <v>0</v>
      </c>
      <c r="F57" s="2281"/>
      <c r="G57" s="2281"/>
      <c r="H57" s="2281"/>
      <c r="I57" s="2282"/>
      <c r="J57" s="2267">
        <f>J4</f>
        <v>2025</v>
      </c>
      <c r="K57" s="2268"/>
      <c r="L57" s="2268"/>
      <c r="M57" s="2268"/>
      <c r="N57" s="2268"/>
      <c r="O57" s="2269"/>
      <c r="P57" s="2267">
        <f>P4</f>
        <v>2026</v>
      </c>
      <c r="Q57" s="2268"/>
      <c r="R57" s="2268"/>
      <c r="S57" s="2268"/>
      <c r="T57" s="2268"/>
      <c r="U57" s="2269"/>
      <c r="V57" s="2267">
        <f>V4</f>
        <v>2027</v>
      </c>
      <c r="W57" s="2268"/>
      <c r="X57" s="2268"/>
      <c r="Y57" s="2268"/>
      <c r="Z57" s="2268"/>
      <c r="AA57" s="2269"/>
      <c r="AB57" s="2267">
        <f>AB4</f>
        <v>2028</v>
      </c>
      <c r="AC57" s="2268"/>
      <c r="AD57" s="2268"/>
      <c r="AE57" s="2268"/>
      <c r="AF57" s="2268"/>
      <c r="AG57" s="2269"/>
      <c r="AH57" s="2267">
        <f>AH4</f>
        <v>2029</v>
      </c>
      <c r="AI57" s="2268"/>
      <c r="AJ57" s="2268"/>
      <c r="AK57" s="2268"/>
      <c r="AL57" s="2268"/>
      <c r="AM57" s="2269"/>
    </row>
    <row r="58" spans="1:39" s="2" customFormat="1">
      <c r="A58" s="169"/>
      <c r="C58" s="292"/>
      <c r="E58" s="291"/>
      <c r="F58" s="174"/>
      <c r="G58" s="6" t="s">
        <v>125</v>
      </c>
      <c r="H58" s="291"/>
      <c r="I58" s="291"/>
      <c r="J58" s="306"/>
      <c r="K58" s="262"/>
      <c r="L58" s="307" t="s">
        <v>125</v>
      </c>
      <c r="M58" s="308"/>
      <c r="N58" s="308"/>
      <c r="O58" s="266"/>
      <c r="P58" s="306"/>
      <c r="Q58" s="262"/>
      <c r="R58" s="307" t="s">
        <v>125</v>
      </c>
      <c r="S58" s="308"/>
      <c r="T58" s="308"/>
      <c r="U58" s="266"/>
      <c r="V58" s="306"/>
      <c r="W58" s="262"/>
      <c r="X58" s="307" t="s">
        <v>125</v>
      </c>
      <c r="Y58" s="308"/>
      <c r="Z58" s="308"/>
      <c r="AA58" s="266"/>
      <c r="AB58" s="306"/>
      <c r="AC58" s="262"/>
      <c r="AD58" s="307" t="s">
        <v>125</v>
      </c>
      <c r="AE58" s="308"/>
      <c r="AF58" s="308"/>
      <c r="AG58" s="266"/>
      <c r="AH58" s="306"/>
      <c r="AI58" s="262"/>
      <c r="AJ58" s="307" t="s">
        <v>125</v>
      </c>
      <c r="AK58" s="308"/>
      <c r="AL58" s="308"/>
      <c r="AM58" s="266"/>
    </row>
    <row r="59" spans="1:39" s="2" customFormat="1" ht="12.9" thickBot="1">
      <c r="A59" s="169" t="s">
        <v>311</v>
      </c>
      <c r="C59" s="292"/>
      <c r="E59" s="296" t="s">
        <v>129</v>
      </c>
      <c r="F59" s="174"/>
      <c r="G59" s="6" t="s">
        <v>310</v>
      </c>
      <c r="H59" s="90" t="s">
        <v>308</v>
      </c>
      <c r="I59" s="90" t="s">
        <v>309</v>
      </c>
      <c r="J59" s="309"/>
      <c r="K59" s="310"/>
      <c r="L59" s="311" t="s">
        <v>310</v>
      </c>
      <c r="M59" s="312" t="s">
        <v>308</v>
      </c>
      <c r="N59" s="312" t="s">
        <v>309</v>
      </c>
      <c r="O59" s="313"/>
      <c r="P59" s="314" t="s">
        <v>129</v>
      </c>
      <c r="Q59" s="310"/>
      <c r="R59" s="311" t="s">
        <v>310</v>
      </c>
      <c r="S59" s="312" t="s">
        <v>308</v>
      </c>
      <c r="T59" s="312" t="s">
        <v>309</v>
      </c>
      <c r="U59" s="313"/>
      <c r="V59" s="314" t="s">
        <v>129</v>
      </c>
      <c r="W59" s="310"/>
      <c r="X59" s="311" t="s">
        <v>310</v>
      </c>
      <c r="Y59" s="312" t="s">
        <v>308</v>
      </c>
      <c r="Z59" s="312" t="s">
        <v>309</v>
      </c>
      <c r="AA59" s="313"/>
      <c r="AB59" s="314" t="s">
        <v>129</v>
      </c>
      <c r="AC59" s="310"/>
      <c r="AD59" s="311" t="s">
        <v>310</v>
      </c>
      <c r="AE59" s="312" t="s">
        <v>308</v>
      </c>
      <c r="AF59" s="312" t="s">
        <v>309</v>
      </c>
      <c r="AG59" s="313"/>
      <c r="AH59" s="314" t="s">
        <v>129</v>
      </c>
      <c r="AI59" s="310"/>
      <c r="AJ59" s="311" t="s">
        <v>310</v>
      </c>
      <c r="AK59" s="312" t="s">
        <v>308</v>
      </c>
      <c r="AL59" s="312" t="s">
        <v>309</v>
      </c>
      <c r="AM59" s="313"/>
    </row>
    <row r="60" spans="1:39" s="2" customFormat="1">
      <c r="A60" s="169" t="s">
        <v>227</v>
      </c>
      <c r="C60" s="292"/>
      <c r="F60" s="189"/>
      <c r="H60" s="304">
        <f>L40</f>
        <v>0</v>
      </c>
      <c r="I60" s="174">
        <f>B40-H60</f>
        <v>0</v>
      </c>
      <c r="J60" s="303"/>
      <c r="K60" s="304"/>
      <c r="L60" s="304"/>
      <c r="M60" s="304">
        <f>R40</f>
        <v>0</v>
      </c>
      <c r="N60" s="304">
        <f>T40</f>
        <v>0</v>
      </c>
      <c r="O60" s="305"/>
      <c r="P60" s="304"/>
      <c r="Q60" s="304"/>
      <c r="R60" s="304">
        <f>R44</f>
        <v>0</v>
      </c>
      <c r="S60" s="304">
        <f>X40</f>
        <v>0</v>
      </c>
      <c r="T60" s="304">
        <f>Z40</f>
        <v>0</v>
      </c>
      <c r="U60" s="305"/>
      <c r="V60" s="303"/>
      <c r="W60" s="304"/>
      <c r="X60" s="304"/>
      <c r="Y60" s="304">
        <f>AD40</f>
        <v>0</v>
      </c>
      <c r="Z60" s="304">
        <f>AF40</f>
        <v>0</v>
      </c>
      <c r="AA60" s="305"/>
      <c r="AB60" s="303"/>
      <c r="AC60" s="304"/>
      <c r="AD60" s="304"/>
      <c r="AE60" s="304">
        <f>AJ40</f>
        <v>0</v>
      </c>
      <c r="AF60" s="304">
        <f>AL40</f>
        <v>0</v>
      </c>
      <c r="AG60" s="305"/>
      <c r="AH60" s="303"/>
      <c r="AI60" s="304"/>
      <c r="AJ60" s="304"/>
      <c r="AK60" s="304"/>
      <c r="AL60" s="304"/>
      <c r="AM60" s="305"/>
    </row>
    <row r="61" spans="1:39" s="2" customFormat="1">
      <c r="A61" s="169" t="s">
        <v>231</v>
      </c>
      <c r="C61" s="292"/>
      <c r="F61" s="189"/>
      <c r="J61" s="300">
        <f>J44</f>
        <v>0</v>
      </c>
      <c r="K61" s="207"/>
      <c r="L61" s="207">
        <f>L44</f>
        <v>0</v>
      </c>
      <c r="M61" s="207">
        <f>IF(N44&gt;0,R44,0)</f>
        <v>0</v>
      </c>
      <c r="N61" s="207"/>
      <c r="O61" s="301"/>
      <c r="P61" s="207">
        <f>P44</f>
        <v>0</v>
      </c>
      <c r="Q61" s="207"/>
      <c r="R61" s="207">
        <f>IF(P61&gt;0,R44,0)</f>
        <v>0</v>
      </c>
      <c r="S61" s="207">
        <f>IF(N44&gt;0,X44,0)</f>
        <v>0</v>
      </c>
      <c r="T61" s="304">
        <f>Z44</f>
        <v>0</v>
      </c>
      <c r="U61" s="301"/>
      <c r="V61" s="207">
        <f>V44</f>
        <v>0</v>
      </c>
      <c r="W61" s="207"/>
      <c r="X61" s="207">
        <f>IF(V61&gt;0,X44,0)</f>
        <v>0</v>
      </c>
      <c r="Y61" s="207">
        <f>IF(T44&gt;0,AD44,0)</f>
        <v>0</v>
      </c>
      <c r="Z61" s="304">
        <f>AF44</f>
        <v>0</v>
      </c>
      <c r="AA61" s="301"/>
      <c r="AB61" s="207">
        <f>AB44</f>
        <v>0</v>
      </c>
      <c r="AC61" s="207"/>
      <c r="AD61" s="207">
        <f>IF(AB61&gt;0,AD44,0)</f>
        <v>0</v>
      </c>
      <c r="AE61" s="207">
        <f>IF(Z44&gt;0,AJ44,0)</f>
        <v>0</v>
      </c>
      <c r="AF61" s="304">
        <f>AL44</f>
        <v>0</v>
      </c>
      <c r="AG61" s="301"/>
      <c r="AH61" s="207">
        <f>AH44</f>
        <v>0</v>
      </c>
      <c r="AI61" s="207"/>
      <c r="AJ61" s="207">
        <f>IF(AH61&gt;0,AJ44,0)</f>
        <v>0</v>
      </c>
      <c r="AK61" s="207">
        <f>IF(AF44&gt;0,AP44,0)</f>
        <v>0</v>
      </c>
      <c r="AL61" s="304">
        <f>AR44</f>
        <v>0</v>
      </c>
      <c r="AM61" s="301"/>
    </row>
    <row r="62" spans="1:39" s="2" customFormat="1">
      <c r="A62" s="169" t="s">
        <v>232</v>
      </c>
      <c r="C62" s="292"/>
      <c r="F62" s="189"/>
      <c r="J62" s="300"/>
      <c r="K62" s="207"/>
      <c r="L62" s="207"/>
      <c r="M62" s="207">
        <f>IF(N47&gt;0,R47,0)</f>
        <v>0</v>
      </c>
      <c r="N62" s="207"/>
      <c r="O62" s="301"/>
      <c r="P62" s="207">
        <f>P47</f>
        <v>0</v>
      </c>
      <c r="Q62" s="207"/>
      <c r="R62" s="207">
        <f>IF(P62&gt;0,R47,0)</f>
        <v>0</v>
      </c>
      <c r="S62" s="207">
        <f>IF(N47&gt;0,X47,0)</f>
        <v>0</v>
      </c>
      <c r="T62" s="304">
        <f>Z47</f>
        <v>0</v>
      </c>
      <c r="U62" s="301"/>
      <c r="V62" s="207">
        <f>V47</f>
        <v>0</v>
      </c>
      <c r="W62" s="207"/>
      <c r="X62" s="207">
        <f>IF(V62&gt;0,X47,0)</f>
        <v>0</v>
      </c>
      <c r="Y62" s="207">
        <f>IF(T47&gt;0,AD47,0)</f>
        <v>0</v>
      </c>
      <c r="Z62" s="304">
        <f>AF47</f>
        <v>0</v>
      </c>
      <c r="AA62" s="301"/>
      <c r="AB62" s="207">
        <f>AB47</f>
        <v>0</v>
      </c>
      <c r="AC62" s="207"/>
      <c r="AD62" s="207">
        <f>IF(AB62&gt;0,AD47,0)</f>
        <v>0</v>
      </c>
      <c r="AE62" s="207">
        <f>IF(Z47&gt;0,AJ47,0)</f>
        <v>0</v>
      </c>
      <c r="AF62" s="304">
        <f>AL47</f>
        <v>0</v>
      </c>
      <c r="AG62" s="301"/>
      <c r="AH62" s="207">
        <f>AH47</f>
        <v>0</v>
      </c>
      <c r="AI62" s="207"/>
      <c r="AJ62" s="207">
        <f>IF(AH62&gt;0,AJ47,0)</f>
        <v>0</v>
      </c>
      <c r="AK62" s="207">
        <f>IF(AF47&gt;0,AP47,0)</f>
        <v>0</v>
      </c>
      <c r="AL62" s="304">
        <f>AR47</f>
        <v>0</v>
      </c>
      <c r="AM62" s="301"/>
    </row>
    <row r="63" spans="1:39" s="2" customFormat="1">
      <c r="A63" s="169" t="s">
        <v>233</v>
      </c>
      <c r="C63" s="292"/>
      <c r="F63" s="189"/>
      <c r="J63" s="300"/>
      <c r="K63" s="207"/>
      <c r="L63" s="207"/>
      <c r="M63" s="207">
        <f>IF(N50&gt;0,R50,0)</f>
        <v>0</v>
      </c>
      <c r="N63" s="207"/>
      <c r="O63" s="301"/>
      <c r="P63" s="207">
        <f>P50</f>
        <v>0</v>
      </c>
      <c r="Q63" s="207"/>
      <c r="R63" s="207">
        <f>IF(P63&gt;0,R50,0)</f>
        <v>0</v>
      </c>
      <c r="S63" s="207">
        <f>IF(N50&gt;0,X50,0)</f>
        <v>0</v>
      </c>
      <c r="T63" s="304">
        <f>Z50</f>
        <v>0</v>
      </c>
      <c r="U63" s="301"/>
      <c r="V63" s="207">
        <f>V50</f>
        <v>0</v>
      </c>
      <c r="W63" s="207"/>
      <c r="X63" s="207">
        <f>IF(V63&gt;0,X50,0)</f>
        <v>0</v>
      </c>
      <c r="Y63" s="207">
        <f>IF(T50&gt;0,AD50,0)</f>
        <v>0</v>
      </c>
      <c r="Z63" s="304">
        <f>AF50</f>
        <v>0</v>
      </c>
      <c r="AA63" s="301"/>
      <c r="AB63" s="207">
        <f>AB50</f>
        <v>0</v>
      </c>
      <c r="AC63" s="207"/>
      <c r="AD63" s="207">
        <f>IF(AB63&gt;0,AD50,0)</f>
        <v>0</v>
      </c>
      <c r="AE63" s="207">
        <f>IF(Z50&gt;0,AJ50,0)</f>
        <v>0</v>
      </c>
      <c r="AF63" s="304">
        <f>AL50</f>
        <v>0</v>
      </c>
      <c r="AG63" s="301"/>
      <c r="AH63" s="207">
        <f>AH50</f>
        <v>0</v>
      </c>
      <c r="AI63" s="207"/>
      <c r="AJ63" s="207">
        <f>IF(AH63&gt;0,AJ50,0)</f>
        <v>0</v>
      </c>
      <c r="AK63" s="207">
        <f>IF(AF50&gt;0,AP50,0)</f>
        <v>0</v>
      </c>
      <c r="AL63" s="304">
        <f>AR50</f>
        <v>0</v>
      </c>
      <c r="AM63" s="301"/>
    </row>
    <row r="64" spans="1:39" s="2" customFormat="1">
      <c r="A64" s="169" t="s">
        <v>283</v>
      </c>
      <c r="C64" s="292"/>
      <c r="F64" s="189"/>
      <c r="J64" s="300"/>
      <c r="K64" s="207"/>
      <c r="L64" s="207"/>
      <c r="M64" s="207">
        <f>IF(N53&gt;0,R53,0)</f>
        <v>0</v>
      </c>
      <c r="N64" s="207"/>
      <c r="O64" s="301"/>
      <c r="P64" s="207">
        <f>P53</f>
        <v>0</v>
      </c>
      <c r="Q64" s="207"/>
      <c r="R64" s="207">
        <f>IF(P64&gt;0,R53,0)</f>
        <v>0</v>
      </c>
      <c r="S64" s="207">
        <f>IF(N53&gt;0,X53,0)</f>
        <v>0</v>
      </c>
      <c r="T64" s="304" t="e">
        <f>Z53</f>
        <v>#REF!</v>
      </c>
      <c r="U64" s="301"/>
      <c r="V64" s="207" t="e">
        <f>V53</f>
        <v>#REF!</v>
      </c>
      <c r="W64" s="207"/>
      <c r="X64" s="207" t="e">
        <f>IF(V64&gt;0,X53,0)</f>
        <v>#REF!</v>
      </c>
      <c r="Y64" s="207">
        <f>IF(T53&gt;0,AD53,0)</f>
        <v>0</v>
      </c>
      <c r="Z64" s="304">
        <f>AF53</f>
        <v>0</v>
      </c>
      <c r="AA64" s="301"/>
      <c r="AB64" s="207">
        <f>AB53</f>
        <v>0</v>
      </c>
      <c r="AC64" s="207"/>
      <c r="AD64" s="207">
        <f>IF(AB64&gt;0,AD53,0)</f>
        <v>0</v>
      </c>
      <c r="AE64" s="207" t="e">
        <f>IF(Z53&gt;0,AJ53,0)</f>
        <v>#REF!</v>
      </c>
      <c r="AF64" s="304">
        <f>AL53</f>
        <v>0</v>
      </c>
      <c r="AG64" s="301"/>
      <c r="AH64" s="207">
        <f>AH53</f>
        <v>0</v>
      </c>
      <c r="AI64" s="207"/>
      <c r="AJ64" s="207">
        <f>IF(AH64&gt;0,AJ53,0)</f>
        <v>0</v>
      </c>
      <c r="AK64" s="207">
        <f>IF(AF53&gt;0,AP53,0)</f>
        <v>0</v>
      </c>
      <c r="AL64" s="304">
        <f>AR53</f>
        <v>0</v>
      </c>
      <c r="AM64" s="301"/>
    </row>
    <row r="65" spans="1:39" s="2" customFormat="1">
      <c r="A65" s="169"/>
      <c r="C65" s="292"/>
      <c r="F65" s="189"/>
      <c r="J65" s="299">
        <f>SUM(J60:J64)</f>
        <v>0</v>
      </c>
      <c r="K65" s="299"/>
      <c r="L65" s="299">
        <f>SUM(L60:L64)</f>
        <v>0</v>
      </c>
      <c r="M65" s="299">
        <f>SUM(M60:M64)</f>
        <v>0</v>
      </c>
      <c r="N65" s="299">
        <f>SUM(N60:N64)</f>
        <v>0</v>
      </c>
      <c r="O65" s="302"/>
      <c r="P65" s="299">
        <f>SUM(P60:P64)</f>
        <v>0</v>
      </c>
      <c r="Q65" s="299"/>
      <c r="R65" s="299">
        <f>SUM(R60:R64)</f>
        <v>0</v>
      </c>
      <c r="S65" s="299">
        <f>SUM(S60:S64)</f>
        <v>0</v>
      </c>
      <c r="T65" s="299" t="e">
        <f>SUM(T60:T64)</f>
        <v>#REF!</v>
      </c>
      <c r="U65" s="302"/>
      <c r="V65" s="299" t="e">
        <f>SUM(V60:V64)</f>
        <v>#REF!</v>
      </c>
      <c r="W65" s="299"/>
      <c r="X65" s="299" t="e">
        <f>SUM(X60:X64)</f>
        <v>#REF!</v>
      </c>
      <c r="Y65" s="299">
        <f>SUM(Y60:Y64)</f>
        <v>0</v>
      </c>
      <c r="Z65" s="299">
        <f>SUM(Z60:Z64)</f>
        <v>0</v>
      </c>
      <c r="AA65" s="302"/>
      <c r="AB65" s="299">
        <f>SUM(AB60:AB64)</f>
        <v>0</v>
      </c>
      <c r="AC65" s="299"/>
      <c r="AD65" s="299">
        <f>SUM(AD60:AD64)</f>
        <v>0</v>
      </c>
      <c r="AE65" s="299" t="e">
        <f>SUM(AE60:AE64)</f>
        <v>#REF!</v>
      </c>
      <c r="AF65" s="299">
        <f>SUM(AF60:AF64)</f>
        <v>0</v>
      </c>
      <c r="AG65" s="302"/>
      <c r="AH65" s="299">
        <f>SUM(AH60:AH64)</f>
        <v>0</v>
      </c>
      <c r="AI65" s="299"/>
      <c r="AJ65" s="299">
        <f>SUM(AJ60:AJ64)</f>
        <v>0</v>
      </c>
      <c r="AK65" s="207">
        <f>IF(AL54&gt;0,AP54,0)</f>
        <v>0</v>
      </c>
      <c r="AL65" s="299">
        <f>SUM(AL60:AL64)</f>
        <v>0</v>
      </c>
      <c r="AM65" s="302"/>
    </row>
    <row r="66" spans="1:39" s="2" customFormat="1">
      <c r="A66" s="169"/>
      <c r="C66" s="292"/>
      <c r="F66" s="189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H66" s="174"/>
      <c r="AI66" s="174"/>
      <c r="AJ66" s="174"/>
      <c r="AK66" s="174"/>
      <c r="AL66" s="174"/>
      <c r="AM66" s="174"/>
    </row>
    <row r="67" spans="1:39" s="2" customFormat="1">
      <c r="A67" s="169"/>
      <c r="C67" s="292"/>
      <c r="F67" s="189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H67" s="174"/>
      <c r="AI67" s="174"/>
      <c r="AJ67" s="174"/>
      <c r="AK67" s="174"/>
      <c r="AL67" s="174"/>
      <c r="AM67" s="174"/>
    </row>
    <row r="68" spans="1:39" s="2" customFormat="1">
      <c r="A68" s="169"/>
      <c r="C68" s="292"/>
      <c r="F68" s="189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H68" s="174"/>
      <c r="AI68" s="174"/>
      <c r="AJ68" s="174"/>
      <c r="AK68" s="174"/>
      <c r="AL68" s="174"/>
      <c r="AM68" s="174"/>
    </row>
    <row r="69" spans="1:39" s="2" customFormat="1">
      <c r="A69" s="169"/>
      <c r="C69" s="292"/>
      <c r="F69" s="189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H69" s="174"/>
      <c r="AI69" s="174"/>
      <c r="AJ69" s="174"/>
      <c r="AK69" s="174"/>
      <c r="AL69" s="174"/>
      <c r="AM69" s="174"/>
    </row>
    <row r="70" spans="1:39" s="2" customFormat="1">
      <c r="A70" s="169"/>
      <c r="C70" s="292"/>
      <c r="F70" s="189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H70" s="174"/>
      <c r="AI70" s="174"/>
      <c r="AJ70" s="174"/>
      <c r="AK70" s="174"/>
      <c r="AL70" s="174"/>
      <c r="AM70" s="174"/>
    </row>
    <row r="71" spans="1:39">
      <c r="B71" s="1" t="s">
        <v>0</v>
      </c>
    </row>
    <row r="72" spans="1:39" ht="15.45">
      <c r="A72" s="22"/>
      <c r="B72" s="24"/>
      <c r="C72"/>
      <c r="D72" s="2280"/>
      <c r="E72" s="2280"/>
      <c r="F72" s="2280"/>
      <c r="G72" s="2280"/>
      <c r="H72" s="2280"/>
      <c r="I72" s="2280"/>
      <c r="J72" s="86"/>
      <c r="K72" s="2280"/>
      <c r="L72" s="2280"/>
      <c r="M72" s="2280"/>
      <c r="N72" s="2280"/>
      <c r="O72" s="86"/>
      <c r="U72" s="1"/>
    </row>
    <row r="73" spans="1:39" s="2" customFormat="1">
      <c r="B73" s="6"/>
      <c r="C73"/>
      <c r="D73"/>
      <c r="E73"/>
      <c r="I73" s="40"/>
      <c r="J73"/>
      <c r="K73"/>
      <c r="O73" s="40"/>
      <c r="U73" s="1156"/>
    </row>
    <row r="74" spans="1:39" s="2" customFormat="1">
      <c r="A74" s="1"/>
      <c r="B74" s="1157"/>
      <c r="C74"/>
      <c r="D74" s="1154"/>
      <c r="E74" s="1154"/>
      <c r="F74" s="1154"/>
      <c r="G74" s="1154"/>
      <c r="H74" s="1154"/>
      <c r="I74" s="1154"/>
      <c r="J74" s="1154"/>
      <c r="K74" s="1154"/>
      <c r="L74" s="1154"/>
      <c r="M74" s="1154"/>
      <c r="N74" s="1154"/>
      <c r="O74" s="1154"/>
      <c r="Q74" s="1154"/>
      <c r="U74" s="1156"/>
    </row>
    <row r="75" spans="1:39" s="2" customFormat="1">
      <c r="A75" s="1"/>
      <c r="B75" s="1158"/>
      <c r="C75"/>
      <c r="D75" s="1154"/>
      <c r="E75" s="1154"/>
      <c r="F75" s="1154"/>
      <c r="G75" s="1154"/>
      <c r="H75" s="1154"/>
      <c r="I75" s="1154"/>
      <c r="J75" s="1154"/>
      <c r="K75" s="1154"/>
      <c r="L75" s="1154"/>
      <c r="M75" s="1154"/>
      <c r="N75" s="1154"/>
      <c r="O75" s="1154"/>
      <c r="Q75" s="1154"/>
      <c r="U75" s="1156"/>
    </row>
    <row r="76" spans="1:39" s="2" customFormat="1">
      <c r="A76" s="169"/>
      <c r="B76" s="1157"/>
      <c r="C76" s="1"/>
      <c r="D76" s="1159"/>
      <c r="E76" s="1159"/>
      <c r="G76" s="1160"/>
      <c r="H76" s="1160"/>
      <c r="J76" s="1159"/>
      <c r="K76" s="1159"/>
      <c r="M76" s="1160"/>
      <c r="N76" s="1160"/>
      <c r="U76" s="1156"/>
    </row>
    <row r="77" spans="1:39" s="2" customFormat="1">
      <c r="A77" s="1"/>
      <c r="B77" s="1158"/>
      <c r="C77" s="38"/>
      <c r="D77" s="37"/>
      <c r="E77" s="37"/>
      <c r="F77" s="103"/>
      <c r="G77" s="103"/>
      <c r="H77" s="103"/>
      <c r="I77" s="1161"/>
      <c r="J77" s="37"/>
      <c r="K77" s="37"/>
      <c r="L77" s="103"/>
      <c r="M77" s="103"/>
      <c r="N77" s="103"/>
      <c r="O77" s="1161"/>
      <c r="P77" s="40"/>
      <c r="Q77" s="1162"/>
      <c r="R77" s="174"/>
      <c r="U77" s="1156"/>
    </row>
    <row r="78" spans="1:39" s="2" customFormat="1">
      <c r="A78" s="1163"/>
      <c r="B78" s="1157"/>
      <c r="C78" s="38"/>
      <c r="D78" s="37"/>
      <c r="E78" s="37"/>
      <c r="F78" s="103"/>
      <c r="G78" s="103"/>
      <c r="H78" s="103"/>
      <c r="I78" s="1161"/>
      <c r="J78" s="37"/>
      <c r="K78" s="37"/>
      <c r="L78" s="103"/>
      <c r="M78" s="103"/>
      <c r="N78" s="103"/>
      <c r="O78" s="1161"/>
      <c r="P78" s="40"/>
      <c r="Q78" s="1162"/>
      <c r="R78" s="174"/>
      <c r="U78" s="1156"/>
    </row>
    <row r="79" spans="1:39" s="2" customFormat="1">
      <c r="A79" s="169"/>
      <c r="B79" s="1157"/>
      <c r="C79" s="38"/>
      <c r="D79" s="37"/>
      <c r="E79" s="37"/>
      <c r="F79" s="103"/>
      <c r="G79" s="103"/>
      <c r="H79" s="103"/>
      <c r="I79" s="1161"/>
      <c r="J79" s="37"/>
      <c r="K79" s="37"/>
      <c r="L79" s="103"/>
      <c r="M79" s="103"/>
      <c r="N79" s="103"/>
      <c r="O79" s="1161"/>
      <c r="P79" s="40"/>
      <c r="Q79" s="1162"/>
      <c r="R79" s="174"/>
    </row>
    <row r="80" spans="1:39" s="2" customFormat="1" ht="22.5" customHeight="1">
      <c r="A80" s="1164"/>
      <c r="B80" s="1165"/>
      <c r="C80" s="38"/>
      <c r="D80" s="37"/>
      <c r="E80" s="37"/>
      <c r="F80" s="103"/>
      <c r="G80" s="103"/>
      <c r="H80" s="103"/>
      <c r="I80" s="1161"/>
      <c r="J80" s="37"/>
      <c r="K80" s="37"/>
      <c r="L80" s="103"/>
      <c r="M80" s="103"/>
      <c r="N80" s="103"/>
      <c r="O80" s="1161"/>
      <c r="P80" s="40"/>
      <c r="Q80" s="1162"/>
      <c r="R80" s="174"/>
    </row>
    <row r="81" spans="1:18" s="2" customFormat="1" ht="13.5" customHeight="1">
      <c r="A81" s="1166"/>
      <c r="B81" s="1167"/>
      <c r="C81" s="38"/>
      <c r="D81" s="37"/>
      <c r="E81" s="37"/>
      <c r="F81" s="103"/>
      <c r="G81" s="103"/>
      <c r="H81" s="103"/>
      <c r="I81" s="1161"/>
      <c r="J81" s="37"/>
      <c r="K81" s="37"/>
      <c r="L81" s="103"/>
      <c r="M81" s="103"/>
      <c r="N81" s="103"/>
      <c r="O81" s="1161"/>
      <c r="P81" s="40"/>
      <c r="Q81" s="1162"/>
      <c r="R81" s="174"/>
    </row>
    <row r="82" spans="1:18">
      <c r="A82" s="1"/>
      <c r="B82" s="1168"/>
      <c r="C82" s="38"/>
      <c r="D82" s="37"/>
      <c r="E82" s="37"/>
      <c r="F82" s="103"/>
      <c r="G82" s="103"/>
      <c r="H82" s="103"/>
      <c r="I82" s="1161"/>
      <c r="J82" s="37"/>
      <c r="K82" s="37"/>
      <c r="L82" s="103"/>
      <c r="M82" s="103"/>
      <c r="N82" s="103"/>
      <c r="O82" s="1161"/>
      <c r="P82" s="40"/>
      <c r="Q82" s="1162"/>
      <c r="R82" s="174"/>
    </row>
    <row r="83" spans="1:18">
      <c r="A83" s="1"/>
      <c r="B83" s="1169"/>
      <c r="C83" s="38"/>
      <c r="D83" s="37"/>
      <c r="E83" s="37"/>
      <c r="F83" s="103"/>
      <c r="G83" s="103"/>
      <c r="H83" s="103"/>
      <c r="I83" s="1161"/>
      <c r="J83" s="37"/>
      <c r="K83" s="37"/>
      <c r="L83" s="103"/>
      <c r="M83" s="103"/>
      <c r="N83" s="103"/>
      <c r="O83" s="1161"/>
      <c r="P83" s="40"/>
      <c r="Q83" s="1162"/>
      <c r="R83" s="174"/>
    </row>
    <row r="84" spans="1:18" s="2" customFormat="1">
      <c r="A84" s="169"/>
      <c r="B84" s="1170"/>
      <c r="C84" s="38"/>
      <c r="D84" s="37"/>
      <c r="E84" s="37"/>
      <c r="F84" s="103"/>
      <c r="G84" s="103"/>
      <c r="H84" s="103"/>
      <c r="I84" s="1161"/>
      <c r="J84" s="37"/>
      <c r="K84" s="37"/>
      <c r="L84" s="103"/>
      <c r="M84" s="103"/>
      <c r="N84" s="103"/>
      <c r="O84" s="1161"/>
      <c r="P84" s="40"/>
      <c r="Q84" s="1162"/>
      <c r="R84" s="174"/>
    </row>
    <row r="85" spans="1:18">
      <c r="A85" s="1"/>
      <c r="B85" s="1169"/>
      <c r="C85" s="38"/>
      <c r="D85" s="37"/>
      <c r="E85" s="37"/>
      <c r="F85" s="103"/>
      <c r="G85" s="103"/>
      <c r="H85" s="103"/>
      <c r="I85" s="1161"/>
      <c r="J85" s="37"/>
      <c r="K85" s="37"/>
      <c r="L85" s="103"/>
      <c r="M85" s="103"/>
      <c r="N85" s="103"/>
      <c r="O85" s="1161"/>
      <c r="P85" s="40"/>
      <c r="Q85" s="1162"/>
      <c r="R85" s="174"/>
    </row>
    <row r="86" spans="1:18">
      <c r="A86" s="1"/>
      <c r="B86" s="1169"/>
      <c r="C86" s="38"/>
      <c r="D86" s="37"/>
      <c r="E86" s="37"/>
      <c r="F86" s="103"/>
      <c r="G86" s="103"/>
      <c r="H86" s="103"/>
      <c r="I86" s="1161"/>
      <c r="J86" s="37"/>
      <c r="K86" s="37"/>
      <c r="L86" s="103"/>
      <c r="M86" s="103"/>
      <c r="N86" s="103"/>
      <c r="O86" s="1161"/>
      <c r="P86" s="40"/>
      <c r="Q86" s="1162"/>
      <c r="R86" s="174"/>
    </row>
    <row r="87" spans="1:18" s="2" customFormat="1">
      <c r="A87" s="169"/>
      <c r="B87" s="1170"/>
      <c r="C87" s="38"/>
      <c r="D87" s="37"/>
      <c r="E87" s="37"/>
      <c r="F87" s="103"/>
      <c r="G87" s="103"/>
      <c r="H87" s="103"/>
      <c r="I87" s="1161"/>
      <c r="J87" s="37"/>
      <c r="K87" s="37"/>
      <c r="L87" s="103"/>
      <c r="M87" s="103"/>
      <c r="N87" s="103"/>
      <c r="O87" s="1161"/>
      <c r="P87" s="40"/>
      <c r="Q87" s="1162"/>
      <c r="R87" s="174"/>
    </row>
    <row r="88" spans="1:18">
      <c r="A88" s="476"/>
      <c r="B88" s="1171"/>
      <c r="C88" s="38"/>
      <c r="D88" s="37"/>
      <c r="E88" s="37"/>
      <c r="F88" s="103"/>
      <c r="G88" s="103"/>
      <c r="H88" s="103"/>
      <c r="I88" s="1161"/>
      <c r="J88" s="37"/>
      <c r="K88" s="37"/>
      <c r="L88" s="103"/>
      <c r="M88" s="103"/>
      <c r="N88" s="103"/>
      <c r="O88" s="1161"/>
      <c r="P88" s="40"/>
      <c r="Q88" s="1162"/>
      <c r="R88" s="174"/>
    </row>
    <row r="89" spans="1:18">
      <c r="A89" s="1"/>
      <c r="B89" s="1172"/>
      <c r="C89" s="38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</row>
    <row r="90" spans="1:18" s="2" customFormat="1">
      <c r="A90" s="169"/>
      <c r="B90" s="1173"/>
      <c r="C90" s="2031"/>
      <c r="D90" s="2031"/>
      <c r="E90" s="2031"/>
      <c r="F90" s="2031"/>
      <c r="G90" s="2031"/>
      <c r="H90" s="2031"/>
      <c r="I90" s="2275"/>
      <c r="J90" s="2031"/>
      <c r="K90" s="2031"/>
      <c r="L90" s="2031"/>
      <c r="M90" s="2031"/>
      <c r="N90" s="2031"/>
      <c r="O90" s="2275"/>
      <c r="P90"/>
      <c r="Q90"/>
    </row>
    <row r="91" spans="1:18">
      <c r="A91" s="1163"/>
      <c r="B91" s="119"/>
      <c r="C91" s="2032"/>
      <c r="D91" s="2032"/>
      <c r="E91" s="2032"/>
      <c r="F91" s="2032"/>
      <c r="G91" s="2032"/>
      <c r="H91" s="2032"/>
      <c r="I91" s="1740"/>
      <c r="J91" s="2032"/>
      <c r="K91" s="2032"/>
      <c r="L91" s="2032"/>
      <c r="M91" s="2032"/>
      <c r="N91" s="2032"/>
      <c r="O91" s="1740"/>
      <c r="P91" s="2"/>
      <c r="Q91" s="2"/>
    </row>
    <row r="92" spans="1:18">
      <c r="A92" s="138"/>
      <c r="B92" s="119"/>
      <c r="C92" s="2032"/>
      <c r="D92" s="2032"/>
      <c r="E92" s="2032"/>
      <c r="F92" s="2032"/>
      <c r="G92" s="2032"/>
      <c r="H92" s="2032"/>
      <c r="I92" s="1740"/>
      <c r="J92" s="2032"/>
      <c r="K92" s="2032"/>
      <c r="L92" s="2032"/>
      <c r="M92" s="2032"/>
      <c r="N92" s="2032"/>
      <c r="O92" s="1740"/>
    </row>
    <row r="93" spans="1:18">
      <c r="A93" s="111"/>
      <c r="B93" s="119"/>
      <c r="C93" s="120"/>
      <c r="D93" s="120"/>
      <c r="E93" s="120"/>
    </row>
    <row r="94" spans="1:18" s="2" customFormat="1">
      <c r="A94" s="28" t="s">
        <v>480</v>
      </c>
      <c r="B94" s="48">
        <f>'2. &amp; 7. T2 TULOSSUUN. '!I8</f>
        <v>2025</v>
      </c>
      <c r="C94" s="48"/>
      <c r="D94" s="48">
        <f>'2. &amp; 7. T2 TULOSSUUN. '!K8</f>
        <v>2026</v>
      </c>
      <c r="E94" s="48"/>
      <c r="F94" s="48">
        <f>'2. &amp; 7. T2 TULOSSUUN. '!M8</f>
        <v>2027</v>
      </c>
      <c r="G94" s="48"/>
      <c r="H94" s="48">
        <f>'2. &amp; 7. T2 TULOSSUUN. '!O8</f>
        <v>2028</v>
      </c>
      <c r="I94" s="48"/>
      <c r="J94" s="48"/>
    </row>
    <row r="95" spans="1:18">
      <c r="A95" s="4" t="s">
        <v>146</v>
      </c>
      <c r="B95" s="2273">
        <f>'5. E1 KUSTANNUKSET '!F47+'5. E1 KUSTANNUKSET '!F50+'5. E1 KUSTANNUKSET '!F54+'5. E1 KUSTANNUKSET '!F55+'5. E1 KUSTANNUKSET '!F56+'5. E1 KUSTANNUKSET '!F57+'5. E1 KUSTANNUKSET '!F58+'5. E1 KUSTANNUKSET '!F59+'5. E1 KUSTANNUKSET '!F65+'5. E1 KUSTANNUKSET '!F66+'5. E1 KUSTANNUKSET '!F68+'5. E1 KUSTANNUKSET '!F69+'5. E1 KUSTANNUKSET '!F74+'5. E1 KUSTANNUKSET '!F87+'5. E1 KUSTANNUKSET '!F88+'5. E1 KUSTANNUKSET '!F94+'5. E1 KUSTANNUKSET '!F99+'5. E1 KUSTANNUKSET '!F105+'5. E1 KUSTANNUKSET '!F108+'5. E1 KUSTANNUKSET '!F109+'5. E1 KUSTANNUKSET '!F110+'5. E1 KUSTANNUKSET '!F116+'5. E1 KUSTANNUKSET '!F117+'5. E1 KUSTANNUKSET '!F120+'5. E1 KUSTANNUKSET '!F122</f>
        <v>0</v>
      </c>
      <c r="C95" s="2274"/>
      <c r="D95" s="2273">
        <f>'5. E1 KUSTANNUKSET '!H47+'5. E1 KUSTANNUKSET '!H50+'5. E1 KUSTANNUKSET '!H54+'5. E1 KUSTANNUKSET '!H55+'5. E1 KUSTANNUKSET '!H56+'5. E1 KUSTANNUKSET '!H57+'5. E1 KUSTANNUKSET '!H58+'5. E1 KUSTANNUKSET '!H59+'5. E1 KUSTANNUKSET '!H65+'5. E1 KUSTANNUKSET '!H66+'5. E1 KUSTANNUKSET '!H68+'5. E1 KUSTANNUKSET '!H69+'5. E1 KUSTANNUKSET '!H74+'5. E1 KUSTANNUKSET '!H87+'5. E1 KUSTANNUKSET '!H88+'5. E1 KUSTANNUKSET '!H94+'5. E1 KUSTANNUKSET '!H99+'5. E1 KUSTANNUKSET '!H105+'5. E1 KUSTANNUKSET '!H108+'5. E1 KUSTANNUKSET '!H109+'5. E1 KUSTANNUKSET '!H110+'5. E1 KUSTANNUKSET '!H116+'5. E1 KUSTANNUKSET '!H117+'5. E1 KUSTANNUKSET '!H120+'5. E1 KUSTANNUKSET '!F122</f>
        <v>0</v>
      </c>
      <c r="E95" s="2274"/>
      <c r="F95" s="2273">
        <f>'5. E1 KUSTANNUKSET '!J47+'5. E1 KUSTANNUKSET '!J50+'5. E1 KUSTANNUKSET '!J54+'5. E1 KUSTANNUKSET '!J55+'5. E1 KUSTANNUKSET '!J56+'5. E1 KUSTANNUKSET '!J57+'5. E1 KUSTANNUKSET '!J58+'5. E1 KUSTANNUKSET '!J59+'5. E1 KUSTANNUKSET '!J65+'5. E1 KUSTANNUKSET '!J66+'5. E1 KUSTANNUKSET '!J68+'5. E1 KUSTANNUKSET '!J69+'5. E1 KUSTANNUKSET '!J74+'5. E1 KUSTANNUKSET '!J87+'5. E1 KUSTANNUKSET '!J88+'5. E1 KUSTANNUKSET '!J94+'5. E1 KUSTANNUKSET '!J99+'5. E1 KUSTANNUKSET '!J105+'5. E1 KUSTANNUKSET '!J108+'5. E1 KUSTANNUKSET '!J109+'5. E1 KUSTANNUKSET '!J110+'5. E1 KUSTANNUKSET '!J116+'5. E1 KUSTANNUKSET '!J117+'5. E1 KUSTANNUKSET '!J120+'5. E1 KUSTANNUKSET '!H122</f>
        <v>0</v>
      </c>
      <c r="G95" s="2274"/>
      <c r="H95" s="2273">
        <f>'5. E1 KUSTANNUKSET '!L47+'5. E1 KUSTANNUKSET '!L50+'5. E1 KUSTANNUKSET '!L54+'5. E1 KUSTANNUKSET '!L55+'5. E1 KUSTANNUKSET '!L56+'5. E1 KUSTANNUKSET '!L57+'5. E1 KUSTANNUKSET '!L58+'5. E1 KUSTANNUKSET '!L59+'5. E1 KUSTANNUKSET '!L65+'5. E1 KUSTANNUKSET '!L66+'5. E1 KUSTANNUKSET '!L68+'5. E1 KUSTANNUKSET '!L69+'5. E1 KUSTANNUKSET '!L74+'5. E1 KUSTANNUKSET '!L87+'5. E1 KUSTANNUKSET '!L88+'5. E1 KUSTANNUKSET '!L94+'5. E1 KUSTANNUKSET '!L99+'5. E1 KUSTANNUKSET '!L105+'5. E1 KUSTANNUKSET '!L108+'5. E1 KUSTANNUKSET '!L109+'5. E1 KUSTANNUKSET '!L110+'5. E1 KUSTANNUKSET '!L116+'5. E1 KUSTANNUKSET '!L117+'5. E1 KUSTANNUKSET '!L120</f>
        <v>0</v>
      </c>
      <c r="I95" s="2274"/>
      <c r="J95" s="2276"/>
      <c r="K95" s="2276"/>
    </row>
    <row r="96" spans="1:18">
      <c r="A96" s="4" t="s">
        <v>483</v>
      </c>
      <c r="B96" s="2273">
        <f>B95*'9. T5 KASSABUDJETTI  '!$F$29%</f>
        <v>0</v>
      </c>
      <c r="C96" s="2274"/>
      <c r="D96" s="2273">
        <f>D95*'9. T5 KASSABUDJETTI  '!$F$29%</f>
        <v>0</v>
      </c>
      <c r="E96" s="2274"/>
      <c r="F96" s="2273">
        <f>F95*'9. T5 KASSABUDJETTI  '!$F$29%</f>
        <v>0</v>
      </c>
      <c r="G96" s="2274"/>
      <c r="H96" s="2273">
        <f>H95*'9. T5 KASSABUDJETTI  '!$F$29%</f>
        <v>0</v>
      </c>
      <c r="I96" s="2274"/>
      <c r="J96" s="338"/>
      <c r="K96" s="338"/>
    </row>
    <row r="97" spans="1:19">
      <c r="A97" s="4" t="s">
        <v>147</v>
      </c>
      <c r="B97" s="2278">
        <f>'5. E1 KUSTANNUKSET '!F48+'5. E1 KUSTANNUKSET '!F49+'5. E1 KUSTANNUKSET '!F51+'5. E1 KUSTANNUKSET '!F61+'5. E1 KUSTANNUKSET '!F62+'5. E1 KUSTANNUKSET '!F67+'5. E1 KUSTANNUKSET '!F79+'5. E1 KUSTANNUKSET '!F83+'5. E1 KUSTANNUKSET '!F86+'5. E1 KUSTANNUKSET '!F106+'5. E1 KUSTANNUKSET '!F111+'5. E1 KUSTANNUKSET '!F112+'5. E1 KUSTANNUKSET '!F118+'5. E1 KUSTANNUKSET '!F123</f>
        <v>0</v>
      </c>
      <c r="C97" s="2279"/>
      <c r="D97" s="2278">
        <f>'5. E1 KUSTANNUKSET '!H48+'5. E1 KUSTANNUKSET '!H49+'5. E1 KUSTANNUKSET '!H51+'5. E1 KUSTANNUKSET '!H61+'5. E1 KUSTANNUKSET '!H62+'5. E1 KUSTANNUKSET '!H67+'5. E1 KUSTANNUKSET '!H79+'5. E1 KUSTANNUKSET '!H83+'5. E1 KUSTANNUKSET '!H86+'5. E1 KUSTANNUKSET '!H106+'5. E1 KUSTANNUKSET '!H111+'5. E1 KUSTANNUKSET '!H112+'5. E1 KUSTANNUKSET '!H118+'5. E1 KUSTANNUKSET '!H123</f>
        <v>0</v>
      </c>
      <c r="E97" s="2279"/>
      <c r="F97" s="2278">
        <f>'5. E1 KUSTANNUKSET '!J48+'5. E1 KUSTANNUKSET '!J49+'5. E1 KUSTANNUKSET '!J51+'5. E1 KUSTANNUKSET '!J61+'5. E1 KUSTANNUKSET '!J62+'5. E1 KUSTANNUKSET '!J67+'5. E1 KUSTANNUKSET '!J79+'5. E1 KUSTANNUKSET '!J83+'5. E1 KUSTANNUKSET '!J86+'5. E1 KUSTANNUKSET '!J106+'5. E1 KUSTANNUKSET '!J111+'5. E1 KUSTANNUKSET '!J112+'5. E1 KUSTANNUKSET '!J118+'5. E1 KUSTANNUKSET '!J123</f>
        <v>0</v>
      </c>
      <c r="G97" s="2279"/>
      <c r="H97" s="2278">
        <f>'5. E1 KUSTANNUKSET '!L48+'5. E1 KUSTANNUKSET '!L49+'5. E1 KUSTANNUKSET '!L51+'5. E1 KUSTANNUKSET '!L61+'5. E1 KUSTANNUKSET '!L62+'5. E1 KUSTANNUKSET '!L67+'5. E1 KUSTANNUKSET '!L79+'5. E1 KUSTANNUKSET '!L83+'5. E1 KUSTANNUKSET '!L86+'5. E1 KUSTANNUKSET '!L106+'5. E1 KUSTANNUKSET '!L111+'5. E1 KUSTANNUKSET '!L112+'5. E1 KUSTANNUKSET '!L118+'5. E1 KUSTANNUKSET '!L123</f>
        <v>0</v>
      </c>
      <c r="I97" s="2279"/>
      <c r="J97" s="2283"/>
      <c r="K97" s="2283"/>
    </row>
    <row r="98" spans="1:19">
      <c r="A98" s="1"/>
      <c r="B98" s="118"/>
      <c r="C98" s="37"/>
      <c r="D98" s="37"/>
      <c r="E98" s="37"/>
    </row>
    <row r="99" spans="1:19">
      <c r="A99" s="1"/>
      <c r="B99" s="119"/>
      <c r="C99" s="120"/>
      <c r="D99" s="120"/>
      <c r="E99" s="120"/>
    </row>
    <row r="100" spans="1:19" ht="12.9" thickBot="1">
      <c r="A100" s="1" t="s">
        <v>264</v>
      </c>
      <c r="B100" s="48">
        <f>B94</f>
        <v>2025</v>
      </c>
      <c r="C100" s="48"/>
      <c r="D100" s="48">
        <f>D94</f>
        <v>2026</v>
      </c>
      <c r="E100" s="48">
        <f>H94</f>
        <v>2028</v>
      </c>
      <c r="F100" s="48">
        <f>J94</f>
        <v>0</v>
      </c>
      <c r="G100" s="48"/>
      <c r="I100" s="32"/>
      <c r="J100" s="33"/>
      <c r="K100" s="33"/>
      <c r="L100" s="21"/>
      <c r="M100" s="33"/>
      <c r="N100" s="12"/>
      <c r="O100" s="33"/>
      <c r="P100" s="12"/>
      <c r="Q100" s="33"/>
    </row>
    <row r="101" spans="1:19">
      <c r="A101" s="194" t="s">
        <v>0</v>
      </c>
      <c r="C101" s="120"/>
      <c r="I101" s="201" t="s">
        <v>247</v>
      </c>
      <c r="J101" s="2286" t="s">
        <v>107</v>
      </c>
      <c r="K101" s="2287"/>
      <c r="L101" s="2286" t="s">
        <v>99</v>
      </c>
      <c r="M101" s="2287"/>
      <c r="N101" s="2286" t="s">
        <v>98</v>
      </c>
      <c r="O101" s="2287"/>
      <c r="P101" s="2286" t="s">
        <v>100</v>
      </c>
      <c r="Q101" s="2287"/>
      <c r="R101" s="2286" t="str">
        <f>AB3</f>
        <v>Ennuste 4</v>
      </c>
      <c r="S101" s="2287"/>
    </row>
    <row r="102" spans="1:19">
      <c r="A102" s="194" t="s">
        <v>251</v>
      </c>
      <c r="C102" s="120">
        <f>'3. T3 TASE '!G14</f>
        <v>0</v>
      </c>
      <c r="D102" s="120">
        <f>'3. T3 TASE '!H14</f>
        <v>0</v>
      </c>
      <c r="E102" s="120">
        <f>'3. T3 TASE '!I14</f>
        <v>0</v>
      </c>
      <c r="F102" s="120">
        <f>'3. T3 TASE '!J14</f>
        <v>0</v>
      </c>
      <c r="I102" s="35"/>
      <c r="J102" s="2284"/>
      <c r="K102" s="2285"/>
      <c r="L102" s="2284">
        <f>J4</f>
        <v>2025</v>
      </c>
      <c r="M102" s="2285"/>
      <c r="N102" s="2284">
        <f>P4</f>
        <v>2026</v>
      </c>
      <c r="O102" s="2285"/>
      <c r="P102" s="2284">
        <f>V4</f>
        <v>2027</v>
      </c>
      <c r="Q102" s="2285"/>
      <c r="R102" s="2284">
        <f>AB4</f>
        <v>2028</v>
      </c>
      <c r="S102" s="2285"/>
    </row>
    <row r="103" spans="1:19">
      <c r="A103" s="111" t="s">
        <v>265</v>
      </c>
      <c r="B103" s="119">
        <f>'3. T3 TASE '!G15</f>
        <v>0</v>
      </c>
      <c r="C103" s="120">
        <f>'3. T3 TASE '!H15</f>
        <v>0</v>
      </c>
      <c r="D103" s="120">
        <f>'3. T3 TASE '!I15</f>
        <v>0</v>
      </c>
      <c r="E103" s="120">
        <f>'3. T3 TASE '!J15</f>
        <v>0</v>
      </c>
      <c r="F103" s="120">
        <f>'3. T3 TASE '!K15</f>
        <v>0</v>
      </c>
      <c r="G103" s="37"/>
      <c r="H103" s="37"/>
      <c r="I103" s="200" t="s">
        <v>246</v>
      </c>
      <c r="J103" s="202">
        <f>'5. E1 KUSTANNUKSET '!D43+'5. E1 KUSTANNUKSET '!D61+'5. E1 KUSTANNUKSET '!D67+'5. E1 KUSTANNUKSET '!D113+'5. E1 KUSTANNUKSET '!D114+'5. E1 KUSTANNUKSET '!D115</f>
        <v>0</v>
      </c>
      <c r="K103" s="17"/>
      <c r="L103" s="202">
        <f>'5. E1 KUSTANNUKSET '!F43+'5. E1 KUSTANNUKSET '!F61+'5. E1 KUSTANNUKSET '!F67+'5. E1 KUSTANNUKSET '!F113+'5. E1 KUSTANNUKSET '!F114+'5. E1 KUSTANNUKSET '!F115</f>
        <v>0</v>
      </c>
      <c r="M103" s="17"/>
      <c r="N103" s="202">
        <f>'5. E1 KUSTANNUKSET '!H43+'5. E1 KUSTANNUKSET '!H61+'5. E1 KUSTANNUKSET '!H67+'5. E1 KUSTANNUKSET '!H113+'5. E1 KUSTANNUKSET '!H114+'5. E1 KUSTANNUKSET '!H115</f>
        <v>0</v>
      </c>
      <c r="O103" s="17"/>
      <c r="P103" s="202">
        <f>'5. E1 KUSTANNUKSET '!J43+'5. E1 KUSTANNUKSET '!J61+'5. E1 KUSTANNUKSET '!J67+'5. E1 KUSTANNUKSET '!J113+'5. E1 KUSTANNUKSET '!J114+'5. E1 KUSTANNUKSET '!J115</f>
        <v>0</v>
      </c>
      <c r="Q103" s="17"/>
      <c r="R103" s="202">
        <f>'5. E1 KUSTANNUKSET '!L43+'5. E1 KUSTANNUKSET '!L61+'5. E1 KUSTANNUKSET '!L67+'5. E1 KUSTANNUKSET '!L113+'5. E1 KUSTANNUKSET '!L114+'5. E1 KUSTANNUKSET '!L115</f>
        <v>0</v>
      </c>
    </row>
    <row r="104" spans="1:19">
      <c r="A104" s="113" t="s">
        <v>266</v>
      </c>
      <c r="B104" s="119">
        <f>'3. T3 TASE '!G16</f>
        <v>0</v>
      </c>
      <c r="C104" s="120">
        <f>'3. T3 TASE '!H16</f>
        <v>0</v>
      </c>
      <c r="D104" s="120">
        <f>'3. T3 TASE '!I16</f>
        <v>0</v>
      </c>
      <c r="E104" s="120">
        <f>'3. T3 TASE '!J16</f>
        <v>0</v>
      </c>
      <c r="F104" s="120">
        <f>'3. T3 TASE '!K16</f>
        <v>0</v>
      </c>
      <c r="G104" s="120"/>
      <c r="H104" s="120"/>
      <c r="I104" s="35" t="s">
        <v>263</v>
      </c>
      <c r="J104" s="33"/>
      <c r="K104" s="33"/>
      <c r="L104" s="469">
        <f>'5. E1 KUSTANNUKSET '!F47+'5. E1 KUSTANNUKSET '!F48+'5. E1 KUSTANNUKSET '!F50+'5. E1 KUSTANNUKSET '!F52-'5. E1 KUSTANNUKSET '!F61-'5. E1 KUSTANNUKSET '!F62+'5. E1 KUSTANNUKSET '!F63-'5. E1 KUSTANNUKSET '!F67+'5. E1 KUSTANNUKSET '!F69+'5. E1 KUSTANNUKSET '!F74+'5. E1 KUSTANNUKSET '!F79+'5. E1 KUSTANNUKSET '!F87+'5. E1 KUSTANNUKSET '!F88+'5. E1 KUSTANNUKSET '!F95+'5. E1 KUSTANNUKSET '!F98+'5. E1 KUSTANNUKSET '!F99+'5. E1 KUSTANNUKSET '!F107+'5. E1 KUSTANNUKSET '!F116+'5. E1 KUSTANNUKSET '!F117</f>
        <v>0</v>
      </c>
      <c r="M104" s="469">
        <f>'5. E1 KUSTANNUKSET '!G47+'5. E1 KUSTANNUKSET '!G48+'5. E1 KUSTANNUKSET '!G50+'5. E1 KUSTANNUKSET '!G52-'5. E1 KUSTANNUKSET '!G61-'5. E1 KUSTANNUKSET '!G62+'5. E1 KUSTANNUKSET '!G63-'5. E1 KUSTANNUKSET '!G67+'5. E1 KUSTANNUKSET '!G69+'5. E1 KUSTANNUKSET '!G74+'5. E1 KUSTANNUKSET '!G79+'5. E1 KUSTANNUKSET '!G87+'5. E1 KUSTANNUKSET '!G88+'5. E1 KUSTANNUKSET '!G95+'5. E1 KUSTANNUKSET '!G98+'5. E1 KUSTANNUKSET '!G99+'5. E1 KUSTANNUKSET '!G107+'5. E1 KUSTANNUKSET '!G116+'5. E1 KUSTANNUKSET '!G117</f>
        <v>0</v>
      </c>
      <c r="N104" s="469">
        <f>'5. E1 KUSTANNUKSET '!H47+'5. E1 KUSTANNUKSET '!H48+'5. E1 KUSTANNUKSET '!H50+'5. E1 KUSTANNUKSET '!H52-'5. E1 KUSTANNUKSET '!H61-'5. E1 KUSTANNUKSET '!H62+'5. E1 KUSTANNUKSET '!H63-'5. E1 KUSTANNUKSET '!H67+'5. E1 KUSTANNUKSET '!H69+'5. E1 KUSTANNUKSET '!H74+'5. E1 KUSTANNUKSET '!H79+'5. E1 KUSTANNUKSET '!H87+'5. E1 KUSTANNUKSET '!H88+'5. E1 KUSTANNUKSET '!H95+'5. E1 KUSTANNUKSET '!H98+'5. E1 KUSTANNUKSET '!H99+'5. E1 KUSTANNUKSET '!H107+'5. E1 KUSTANNUKSET '!H116+'5. E1 KUSTANNUKSET '!H117</f>
        <v>0</v>
      </c>
      <c r="O104" s="469">
        <f>'5. E1 KUSTANNUKSET '!I47+'5. E1 KUSTANNUKSET '!I48+'5. E1 KUSTANNUKSET '!I50+'5. E1 KUSTANNUKSET '!I52-'5. E1 KUSTANNUKSET '!I61-'5. E1 KUSTANNUKSET '!I62+'5. E1 KUSTANNUKSET '!I63-'5. E1 KUSTANNUKSET '!I67+'5. E1 KUSTANNUKSET '!I69+'5. E1 KUSTANNUKSET '!I74+'5. E1 KUSTANNUKSET '!I79+'5. E1 KUSTANNUKSET '!I87+'5. E1 KUSTANNUKSET '!I88+'5. E1 KUSTANNUKSET '!I95+'5. E1 KUSTANNUKSET '!I98+'5. E1 KUSTANNUKSET '!I99+'5. E1 KUSTANNUKSET '!I107+'5. E1 KUSTANNUKSET '!I116+'5. E1 KUSTANNUKSET '!I117</f>
        <v>0</v>
      </c>
      <c r="P104" s="469">
        <f>'5. E1 KUSTANNUKSET '!J47+'5. E1 KUSTANNUKSET '!J48+'5. E1 KUSTANNUKSET '!J50+'5. E1 KUSTANNUKSET '!J52-'5. E1 KUSTANNUKSET '!J61-'5. E1 KUSTANNUKSET '!J62+'5. E1 KUSTANNUKSET '!J63-'5. E1 KUSTANNUKSET '!J67+'5. E1 KUSTANNUKSET '!J69+'5. E1 KUSTANNUKSET '!J74+'5. E1 KUSTANNUKSET '!J79+'5. E1 KUSTANNUKSET '!J87+'5. E1 KUSTANNUKSET '!J88+'5. E1 KUSTANNUKSET '!J95+'5. E1 KUSTANNUKSET '!J98+'5. E1 KUSTANNUKSET '!J99+'5. E1 KUSTANNUKSET '!J107+'5. E1 KUSTANNUKSET '!J116+'5. E1 KUSTANNUKSET '!J117</f>
        <v>0</v>
      </c>
      <c r="Q104" s="469">
        <f>'5. E1 KUSTANNUKSET '!K47+'5. E1 KUSTANNUKSET '!K48+'5. E1 KUSTANNUKSET '!K50+'5. E1 KUSTANNUKSET '!K52-'5. E1 KUSTANNUKSET '!K61-'5. E1 KUSTANNUKSET '!K62+'5. E1 KUSTANNUKSET '!K63-'5. E1 KUSTANNUKSET '!K67+'5. E1 KUSTANNUKSET '!K69+'5. E1 KUSTANNUKSET '!K74+'5. E1 KUSTANNUKSET '!K79+'5. E1 KUSTANNUKSET '!K87+'5. E1 KUSTANNUKSET '!K88+'5. E1 KUSTANNUKSET '!K95+'5. E1 KUSTANNUKSET '!K98+'5. E1 KUSTANNUKSET '!K99+'5. E1 KUSTANNUKSET '!K107+'5. E1 KUSTANNUKSET '!K116+'5. E1 KUSTANNUKSET '!K117</f>
        <v>0</v>
      </c>
      <c r="R104" s="469">
        <f>'5. E1 KUSTANNUKSET '!L47+'5. E1 KUSTANNUKSET '!L48+'5. E1 KUSTANNUKSET '!L50+'5. E1 KUSTANNUKSET '!L52-'5. E1 KUSTANNUKSET '!L61-'5. E1 KUSTANNUKSET '!L62+'5. E1 KUSTANNUKSET '!L63-'5. E1 KUSTANNUKSET '!L67+'5. E1 KUSTANNUKSET '!L69+'5. E1 KUSTANNUKSET '!L74+'5. E1 KUSTANNUKSET '!L79+'5. E1 KUSTANNUKSET '!L87+'5. E1 KUSTANNUKSET '!L88+'5. E1 KUSTANNUKSET '!L95+'5. E1 KUSTANNUKSET '!L98+'5. E1 KUSTANNUKSET '!L99+'5. E1 KUSTANNUKSET '!L107+'5. E1 KUSTANNUKSET '!L116+'5. E1 KUSTANNUKSET '!L117</f>
        <v>0</v>
      </c>
    </row>
    <row r="105" spans="1:19">
      <c r="A105" s="111" t="s">
        <v>267</v>
      </c>
      <c r="B105" s="119">
        <f>'3. T3 TASE '!G17</f>
        <v>0</v>
      </c>
      <c r="C105" s="120">
        <f>'3. T3 TASE '!H17</f>
        <v>0</v>
      </c>
      <c r="D105" s="120">
        <f>'3. T3 TASE '!I17</f>
        <v>0</v>
      </c>
      <c r="E105" s="120">
        <f>'3. T3 TASE '!J17</f>
        <v>0</v>
      </c>
      <c r="F105" s="120">
        <f>'3. T3 TASE '!K17</f>
        <v>0</v>
      </c>
      <c r="I105" s="32"/>
      <c r="J105" s="17"/>
      <c r="K105" s="17"/>
      <c r="L105" s="11"/>
      <c r="M105" s="17"/>
      <c r="N105" s="11"/>
      <c r="O105" s="17"/>
      <c r="P105" s="11"/>
      <c r="Q105" s="17"/>
    </row>
    <row r="106" spans="1:19">
      <c r="A106" s="111" t="str">
        <f>'3. T3 TASE '!C18</f>
        <v xml:space="preserve">Aineelliset hyödykkeet </v>
      </c>
      <c r="B106" s="119">
        <f>'3. T3 TASE '!G18</f>
        <v>0</v>
      </c>
      <c r="C106" s="120">
        <f>'3. T3 TASE '!H18</f>
        <v>0</v>
      </c>
      <c r="D106" s="120">
        <f>'3. T3 TASE '!I18</f>
        <v>0</v>
      </c>
      <c r="E106" s="120">
        <f>'3. T3 TASE '!J18</f>
        <v>0</v>
      </c>
      <c r="F106" s="120">
        <f>'3. T3 TASE '!K18</f>
        <v>0</v>
      </c>
    </row>
    <row r="107" spans="1:19">
      <c r="A107" s="111" t="str">
        <f>'3. T3 TASE '!C19</f>
        <v xml:space="preserve">1. Maa- ja vesialueet </v>
      </c>
      <c r="B107" s="119">
        <f>'3. T3 TASE '!G19</f>
        <v>0</v>
      </c>
      <c r="C107" s="120">
        <f>'3. T3 TASE '!H19</f>
        <v>0</v>
      </c>
      <c r="D107" s="120">
        <f>'3. T3 TASE '!I19</f>
        <v>0</v>
      </c>
      <c r="E107" s="120">
        <f>'3. T3 TASE '!J19</f>
        <v>0</v>
      </c>
      <c r="F107" s="120">
        <f>'3. T3 TASE '!K19</f>
        <v>0</v>
      </c>
    </row>
    <row r="108" spans="1:19" s="2" customFormat="1">
      <c r="A108" s="111" t="str">
        <f>'3. T3 TASE '!C20</f>
        <v xml:space="preserve">    - lisäykset tilikaudella</v>
      </c>
      <c r="B108" s="119">
        <f>'3. T3 TASE '!G20</f>
        <v>0</v>
      </c>
      <c r="C108" s="120">
        <f>'3. T3 TASE '!H20</f>
        <v>0</v>
      </c>
      <c r="D108" s="120">
        <f>'3. T3 TASE '!I20</f>
        <v>0</v>
      </c>
      <c r="E108" s="120">
        <f>'3. T3 TASE '!J20</f>
        <v>0</v>
      </c>
      <c r="F108" s="120">
        <f>'3. T3 TASE '!K20</f>
        <v>0</v>
      </c>
    </row>
    <row r="109" spans="1:19">
      <c r="A109" s="111" t="str">
        <f>'3. T3 TASE '!C21</f>
        <v xml:space="preserve">    - vähennykset tilikaudella</v>
      </c>
      <c r="B109" s="119">
        <f>'3. T3 TASE '!G21</f>
        <v>0</v>
      </c>
      <c r="C109" s="120">
        <f>'3. T3 TASE '!H21</f>
        <v>0</v>
      </c>
      <c r="D109" s="120">
        <f>'3. T3 TASE '!I21</f>
        <v>0</v>
      </c>
      <c r="E109" s="120">
        <f>'3. T3 TASE '!J21</f>
        <v>0</v>
      </c>
      <c r="F109" s="120">
        <f>'3. T3 TASE '!K21</f>
        <v>0</v>
      </c>
    </row>
    <row r="110" spans="1:19">
      <c r="A110" s="111" t="str">
        <f>'3. T3 TASE '!C22</f>
        <v xml:space="preserve">2. Rakennukset ja rakennelmat </v>
      </c>
      <c r="B110" s="119">
        <f>'3. T3 TASE '!G22</f>
        <v>0</v>
      </c>
      <c r="C110" s="120">
        <f>'3. T3 TASE '!H22</f>
        <v>0</v>
      </c>
      <c r="D110" s="120">
        <f>'3. T3 TASE '!I22</f>
        <v>0</v>
      </c>
      <c r="E110" s="120">
        <f>'3. T3 TASE '!J22</f>
        <v>0</v>
      </c>
      <c r="F110" s="120">
        <f>'3. T3 TASE '!K22</f>
        <v>0</v>
      </c>
    </row>
    <row r="111" spans="1:19">
      <c r="A111" s="111" t="str">
        <f>'3. T3 TASE '!C23</f>
        <v xml:space="preserve">    - lisäykset tilikaudella</v>
      </c>
      <c r="B111" s="119">
        <f>'3. T3 TASE '!G23</f>
        <v>0</v>
      </c>
      <c r="C111" s="120">
        <f>'3. T3 TASE '!H23</f>
        <v>0</v>
      </c>
      <c r="D111" s="120">
        <f>'3. T3 TASE '!I23</f>
        <v>0</v>
      </c>
      <c r="E111" s="120">
        <f>'3. T3 TASE '!J23</f>
        <v>0</v>
      </c>
      <c r="F111" s="120">
        <f>'3. T3 TASE '!K23</f>
        <v>0</v>
      </c>
    </row>
    <row r="112" spans="1:19">
      <c r="A112" s="111" t="str">
        <f>'3. T3 TASE '!C24</f>
        <v xml:space="preserve">    - vähennykset tilikaudella</v>
      </c>
      <c r="B112" s="119">
        <f>'3. T3 TASE '!G24</f>
        <v>0</v>
      </c>
      <c r="C112" s="120">
        <f>'3. T3 TASE '!H24</f>
        <v>0</v>
      </c>
      <c r="D112" s="120">
        <f>'3. T3 TASE '!I24</f>
        <v>0</v>
      </c>
      <c r="E112" s="120">
        <f>'3. T3 TASE '!J24</f>
        <v>0</v>
      </c>
      <c r="F112" s="120">
        <f>'3. T3 TASE '!K24</f>
        <v>0</v>
      </c>
    </row>
    <row r="113" spans="1:6">
      <c r="A113" s="111" t="str">
        <f>'3. T3 TASE '!C25</f>
        <v xml:space="preserve">    - poistot</v>
      </c>
      <c r="B113" s="119">
        <f>'3. T3 TASE '!G25</f>
        <v>0</v>
      </c>
      <c r="C113" s="120">
        <f>'3. T3 TASE '!H25</f>
        <v>0</v>
      </c>
      <c r="D113" s="120">
        <f>'3. T3 TASE '!I25</f>
        <v>0</v>
      </c>
      <c r="E113" s="120">
        <f>'3. T3 TASE '!J25</f>
        <v>0</v>
      </c>
      <c r="F113" s="120">
        <f>'3. T3 TASE '!K25</f>
        <v>0</v>
      </c>
    </row>
    <row r="114" spans="1:6">
      <c r="A114" s="111" t="str">
        <f>'3. T3 TASE '!C26</f>
        <v xml:space="preserve">3. Koneet ja kalusto </v>
      </c>
      <c r="B114" s="119">
        <f>'3. T3 TASE '!G26</f>
        <v>0</v>
      </c>
      <c r="C114" s="120">
        <f>'3. T3 TASE '!H26</f>
        <v>0</v>
      </c>
      <c r="D114" s="120">
        <f>'3. T3 TASE '!I26</f>
        <v>0</v>
      </c>
      <c r="E114" s="120">
        <f>'3. T3 TASE '!J26</f>
        <v>0</v>
      </c>
      <c r="F114" s="120">
        <f>'3. T3 TASE '!K26</f>
        <v>0</v>
      </c>
    </row>
    <row r="115" spans="1:6">
      <c r="A115" s="111" t="str">
        <f>'3. T3 TASE '!C27</f>
        <v xml:space="preserve">    - lisäykset tilikaudella</v>
      </c>
      <c r="B115" s="119">
        <f>'3. T3 TASE '!G27</f>
        <v>0</v>
      </c>
      <c r="C115" s="120">
        <f>'3. T3 TASE '!H27</f>
        <v>0</v>
      </c>
      <c r="D115" s="120">
        <f>'3. T3 TASE '!I27</f>
        <v>0</v>
      </c>
      <c r="E115" s="120">
        <f>'3. T3 TASE '!J27</f>
        <v>0</v>
      </c>
      <c r="F115" s="120">
        <f>'3. T3 TASE '!K27</f>
        <v>0</v>
      </c>
    </row>
    <row r="116" spans="1:6">
      <c r="A116" s="111" t="str">
        <f>'3. T3 TASE '!C28</f>
        <v xml:space="preserve">    - vähennykset tilikaudella</v>
      </c>
      <c r="B116" s="119">
        <f>'3. T3 TASE '!G28</f>
        <v>0</v>
      </c>
      <c r="C116" s="120">
        <f>'3. T3 TASE '!H28</f>
        <v>0</v>
      </c>
      <c r="D116" s="120">
        <f>'3. T3 TASE '!I28</f>
        <v>0</v>
      </c>
      <c r="E116" s="120">
        <f>'3. T3 TASE '!J28</f>
        <v>0</v>
      </c>
      <c r="F116" s="120">
        <f>'3. T3 TASE '!K28</f>
        <v>0</v>
      </c>
    </row>
    <row r="117" spans="1:6">
      <c r="A117" s="111" t="str">
        <f>'3. T3 TASE '!C29</f>
        <v xml:space="preserve">    - poistot</v>
      </c>
      <c r="B117" s="119">
        <f>'3. T3 TASE '!G29</f>
        <v>0</v>
      </c>
      <c r="C117" s="120">
        <f>'3. T3 TASE '!H29</f>
        <v>0</v>
      </c>
      <c r="D117" s="120">
        <f>'3. T3 TASE '!I29</f>
        <v>0</v>
      </c>
      <c r="E117" s="120">
        <f>'3. T3 TASE '!J29</f>
        <v>0</v>
      </c>
      <c r="F117" s="120">
        <f>'3. T3 TASE '!K29</f>
        <v>0</v>
      </c>
    </row>
    <row r="118" spans="1:6">
      <c r="A118" s="111" t="str">
        <f>'3. T3 TASE '!C30</f>
        <v xml:space="preserve">4. Muut aineelliset hyödykkeet </v>
      </c>
      <c r="B118" s="119">
        <f>'3. T3 TASE '!G30</f>
        <v>0</v>
      </c>
      <c r="C118" s="120">
        <f>'3. T3 TASE '!H30</f>
        <v>0</v>
      </c>
      <c r="D118" s="120">
        <f>'3. T3 TASE '!I30</f>
        <v>0</v>
      </c>
      <c r="E118" s="120">
        <f>'3. T3 TASE '!J30</f>
        <v>0</v>
      </c>
      <c r="F118" s="120">
        <f>'3. T3 TASE '!K30</f>
        <v>0</v>
      </c>
    </row>
    <row r="119" spans="1:6">
      <c r="A119" s="111" t="str">
        <f>'3. T3 TASE '!C31</f>
        <v xml:space="preserve">    - lisäykset tilikaudella</v>
      </c>
      <c r="B119" s="119">
        <f>'3. T3 TASE '!G31</f>
        <v>0</v>
      </c>
      <c r="C119" s="120">
        <f>'3. T3 TASE '!H31</f>
        <v>0</v>
      </c>
      <c r="D119" s="120">
        <f>'3. T3 TASE '!I31</f>
        <v>0</v>
      </c>
      <c r="E119" s="120">
        <f>'3. T3 TASE '!J31</f>
        <v>0</v>
      </c>
      <c r="F119" s="120">
        <f>'3. T3 TASE '!K31</f>
        <v>0</v>
      </c>
    </row>
    <row r="120" spans="1:6">
      <c r="A120" s="111" t="str">
        <f>'3. T3 TASE '!C32</f>
        <v xml:space="preserve">    - vähennykset tilikaudella</v>
      </c>
      <c r="B120" s="119">
        <f>'3. T3 TASE '!G32</f>
        <v>0</v>
      </c>
      <c r="C120" s="120">
        <f>'3. T3 TASE '!H32</f>
        <v>0</v>
      </c>
      <c r="D120" s="120">
        <f>'3. T3 TASE '!I32</f>
        <v>0</v>
      </c>
      <c r="E120" s="120">
        <f>'3. T3 TASE '!J32</f>
        <v>0</v>
      </c>
      <c r="F120" s="120">
        <f>'3. T3 TASE '!K32</f>
        <v>0</v>
      </c>
    </row>
    <row r="121" spans="1:6">
      <c r="A121" s="111" t="str">
        <f>'3. T3 TASE '!C33</f>
        <v xml:space="preserve">    - poistot</v>
      </c>
      <c r="B121" s="119">
        <f>'3. T3 TASE '!G33</f>
        <v>0</v>
      </c>
      <c r="C121" s="120">
        <f>'3. T3 TASE '!H33</f>
        <v>0</v>
      </c>
      <c r="D121" s="120">
        <f>'3. T3 TASE '!I33</f>
        <v>0</v>
      </c>
      <c r="E121" s="120">
        <f>'3. T3 TASE '!J33</f>
        <v>0</v>
      </c>
      <c r="F121" s="120">
        <f>'3. T3 TASE '!K33</f>
        <v>0</v>
      </c>
    </row>
    <row r="122" spans="1:6">
      <c r="A122" s="111" t="str">
        <f>'3. T3 TASE '!C34</f>
        <v>Sijoitukset</v>
      </c>
      <c r="B122" s="119">
        <f>'3. T3 TASE '!G34</f>
        <v>0</v>
      </c>
      <c r="C122" s="120">
        <f>'3. T3 TASE '!H34</f>
        <v>0</v>
      </c>
      <c r="D122" s="120">
        <f>'3. T3 TASE '!I34</f>
        <v>0</v>
      </c>
      <c r="E122" s="120">
        <f>'3. T3 TASE '!J34</f>
        <v>0</v>
      </c>
      <c r="F122" s="120">
        <f>'3. T3 TASE '!K34</f>
        <v>0</v>
      </c>
    </row>
    <row r="123" spans="1:6">
      <c r="A123" s="109" t="s">
        <v>269</v>
      </c>
      <c r="B123" s="123"/>
      <c r="C123" s="123">
        <f t="shared" ref="C123:E124" si="28">C103+C108+C111+C115+C119</f>
        <v>0</v>
      </c>
      <c r="D123" s="123">
        <f t="shared" si="28"/>
        <v>0</v>
      </c>
      <c r="E123" s="123">
        <f t="shared" si="28"/>
        <v>0</v>
      </c>
      <c r="F123" s="123">
        <f>F103+F108+F111+F115+F119</f>
        <v>0</v>
      </c>
    </row>
    <row r="124" spans="1:6">
      <c r="A124" s="2" t="s">
        <v>270</v>
      </c>
      <c r="C124" s="123">
        <f t="shared" si="28"/>
        <v>0</v>
      </c>
      <c r="D124" s="123">
        <f t="shared" si="28"/>
        <v>0</v>
      </c>
      <c r="E124" s="123">
        <f t="shared" si="28"/>
        <v>0</v>
      </c>
      <c r="F124" s="123">
        <f>F104+F109+F112+F116+F120</f>
        <v>0</v>
      </c>
    </row>
    <row r="125" spans="1:6">
      <c r="A125" s="114" t="s">
        <v>271</v>
      </c>
      <c r="B125" s="123"/>
      <c r="C125" s="123">
        <f>C105+C113+C117+C121</f>
        <v>0</v>
      </c>
      <c r="D125" s="123">
        <f>D105+D113+D117+D121</f>
        <v>0</v>
      </c>
      <c r="E125" s="123">
        <f>E105+E113+E117+E121</f>
        <v>0</v>
      </c>
      <c r="F125" s="123">
        <f>F105+F113+F117+F121</f>
        <v>0</v>
      </c>
    </row>
    <row r="126" spans="1:6">
      <c r="A126" s="109"/>
    </row>
    <row r="127" spans="1:6" s="2" customFormat="1">
      <c r="A127" s="109" t="s">
        <v>268</v>
      </c>
      <c r="B127" s="120">
        <f>'3. T3 TASE '!G56</f>
        <v>0</v>
      </c>
      <c r="C127" s="124">
        <f>B127+C128-C129</f>
        <v>0</v>
      </c>
      <c r="D127" s="124">
        <f>C127+D128-D129</f>
        <v>0</v>
      </c>
      <c r="E127" s="124">
        <f>D127+E128-E129</f>
        <v>0</v>
      </c>
    </row>
    <row r="128" spans="1:6">
      <c r="A128" s="110" t="s">
        <v>272</v>
      </c>
      <c r="B128" s="116"/>
      <c r="C128" s="248">
        <f>'2. &amp; 7. T2 TULOSSUUN. '!I31</f>
        <v>0</v>
      </c>
      <c r="D128" s="248">
        <f>'2. &amp; 7. T2 TULOSSUUN. '!K31</f>
        <v>0</v>
      </c>
      <c r="E128" s="248">
        <f>'2. &amp; 7. T2 TULOSSUUN. '!M31</f>
        <v>0</v>
      </c>
    </row>
    <row r="129" spans="1:5">
      <c r="A129" s="2" t="s">
        <v>273</v>
      </c>
      <c r="B129" s="117"/>
      <c r="C129" s="117">
        <f>'8. T4 RAHOITUSSUUN. '!H39</f>
        <v>0</v>
      </c>
      <c r="D129" s="117">
        <f>'8. T4 RAHOITUSSUUN. '!I39</f>
        <v>0</v>
      </c>
      <c r="E129" s="117">
        <f>'8. T4 RAHOITUSSUUN. '!J39</f>
        <v>0</v>
      </c>
    </row>
    <row r="130" spans="1:5">
      <c r="A130" s="2" t="s">
        <v>274</v>
      </c>
      <c r="B130" s="119"/>
      <c r="C130" s="120">
        <f>C103+C108+C111+C115+C119-C104-C109-C112-C116-C120</f>
        <v>0</v>
      </c>
      <c r="D130" s="120">
        <f>D103+D108+D111+D115+D119-D104-D109-D112-D116-D120</f>
        <v>0</v>
      </c>
      <c r="E130" s="120">
        <f>E103+E108+E111+E115+E119-E104-E109-E112-E116-E120</f>
        <v>0</v>
      </c>
    </row>
    <row r="131" spans="1:5">
      <c r="A131" s="1"/>
      <c r="B131" s="119"/>
      <c r="C131" s="119"/>
      <c r="D131" s="119"/>
      <c r="E131" s="119"/>
    </row>
    <row r="132" spans="1:5">
      <c r="A132" s="111"/>
      <c r="C132"/>
    </row>
    <row r="133" spans="1:5">
      <c r="A133" s="111"/>
      <c r="B133" s="120"/>
      <c r="C133" s="120"/>
      <c r="D133" s="120"/>
      <c r="E133" s="120"/>
    </row>
    <row r="134" spans="1:5">
      <c r="A134" s="111"/>
      <c r="B134" s="119"/>
      <c r="C134" s="120"/>
      <c r="D134" s="120"/>
      <c r="E134" s="120"/>
    </row>
    <row r="135" spans="1:5">
      <c r="A135" s="112"/>
      <c r="B135" s="119"/>
      <c r="C135" s="120"/>
      <c r="D135" s="120"/>
      <c r="E135" s="120"/>
    </row>
    <row r="136" spans="1:5">
      <c r="A136" s="111"/>
      <c r="B136" s="119"/>
      <c r="C136" s="120"/>
      <c r="D136" s="120"/>
      <c r="E136" s="120"/>
    </row>
    <row r="137" spans="1:5" s="63" customFormat="1" ht="12.9">
      <c r="B137" s="125"/>
      <c r="C137" s="125"/>
      <c r="D137" s="125"/>
      <c r="E137" s="125"/>
    </row>
    <row r="138" spans="1:5">
      <c r="A138" s="110"/>
      <c r="B138" s="116"/>
      <c r="C138" s="116"/>
      <c r="D138" s="116"/>
      <c r="E138" s="116"/>
    </row>
    <row r="139" spans="1:5">
      <c r="A139" s="1"/>
      <c r="B139" s="115"/>
      <c r="C139" s="115"/>
      <c r="D139" s="115"/>
      <c r="E139" s="115"/>
    </row>
    <row r="140" spans="1:5">
      <c r="A140" s="1"/>
      <c r="B140" s="119"/>
      <c r="C140" s="119"/>
      <c r="D140" s="119"/>
      <c r="E140" s="119"/>
    </row>
    <row r="141" spans="1:5">
      <c r="A141" s="1"/>
      <c r="B141" s="119"/>
      <c r="C141" s="119"/>
      <c r="D141" s="119"/>
      <c r="E141" s="119"/>
    </row>
    <row r="142" spans="1:5">
      <c r="A142" s="111"/>
      <c r="C142"/>
    </row>
    <row r="143" spans="1:5">
      <c r="A143" s="111"/>
      <c r="B143" s="120"/>
      <c r="C143" s="120"/>
      <c r="D143" s="120"/>
      <c r="E143" s="120"/>
    </row>
    <row r="144" spans="1:5">
      <c r="A144" s="111"/>
      <c r="B144" s="119"/>
      <c r="C144" s="120"/>
      <c r="D144" s="120"/>
      <c r="E144" s="120"/>
    </row>
    <row r="145" spans="1:5">
      <c r="A145" s="112"/>
      <c r="B145" s="119"/>
      <c r="C145" s="120"/>
      <c r="D145" s="120"/>
      <c r="E145" s="120"/>
    </row>
    <row r="146" spans="1:5">
      <c r="A146" s="111"/>
      <c r="B146" s="119"/>
      <c r="C146" s="120"/>
      <c r="D146" s="120"/>
      <c r="E146" s="120"/>
    </row>
    <row r="147" spans="1:5">
      <c r="A147" s="111"/>
      <c r="B147" s="119"/>
      <c r="C147" s="120"/>
      <c r="D147" s="120"/>
      <c r="E147" s="120"/>
    </row>
    <row r="148" spans="1:5">
      <c r="A148" s="109"/>
      <c r="B148" s="119"/>
      <c r="C148" s="120"/>
      <c r="D148" s="120"/>
      <c r="E148" s="120"/>
    </row>
    <row r="149" spans="1:5" s="2" customFormat="1">
      <c r="B149" s="2277"/>
      <c r="C149" s="2277"/>
      <c r="D149" s="124"/>
      <c r="E149" s="124"/>
    </row>
    <row r="150" spans="1:5">
      <c r="A150" s="110"/>
      <c r="B150" s="116"/>
      <c r="C150" s="116"/>
      <c r="D150" s="116"/>
      <c r="E150" s="116"/>
    </row>
    <row r="151" spans="1:5">
      <c r="A151" s="1"/>
      <c r="B151" s="115"/>
      <c r="C151" s="115"/>
      <c r="D151" s="115"/>
      <c r="E151" s="115"/>
    </row>
    <row r="152" spans="1:5">
      <c r="A152" s="1"/>
      <c r="B152" s="115"/>
      <c r="C152" s="115"/>
      <c r="D152" s="115"/>
      <c r="E152" s="115"/>
    </row>
    <row r="153" spans="1:5">
      <c r="A153" s="1"/>
      <c r="B153" s="121"/>
      <c r="C153" s="121"/>
      <c r="D153" s="121"/>
      <c r="E153" s="121"/>
    </row>
    <row r="154" spans="1:5">
      <c r="A154" s="1"/>
      <c r="B154" s="117"/>
      <c r="C154" s="117"/>
      <c r="D154" s="117"/>
      <c r="E154" s="117"/>
    </row>
    <row r="155" spans="1:5">
      <c r="A155" s="1"/>
      <c r="B155" s="118"/>
      <c r="C155" s="118"/>
      <c r="D155" s="118"/>
      <c r="E155" s="118"/>
    </row>
    <row r="156" spans="1:5">
      <c r="A156" s="1"/>
      <c r="B156" s="118"/>
      <c r="C156" s="118"/>
      <c r="D156" s="118"/>
      <c r="E156" s="118"/>
    </row>
    <row r="157" spans="1:5">
      <c r="A157" s="1"/>
      <c r="B157" s="18"/>
      <c r="C157" s="18"/>
      <c r="D157" s="18"/>
      <c r="E157" s="18"/>
    </row>
    <row r="158" spans="1:5">
      <c r="A158" s="1"/>
      <c r="B158" s="122"/>
      <c r="C158" s="122"/>
      <c r="D158" s="122"/>
      <c r="E158" s="122"/>
    </row>
    <row r="159" spans="1:5">
      <c r="A159" s="2"/>
      <c r="B159" s="123"/>
      <c r="C159" s="123"/>
      <c r="D159" s="123"/>
      <c r="E159" s="123"/>
    </row>
    <row r="160" spans="1:5">
      <c r="A160" s="111"/>
      <c r="C160"/>
    </row>
    <row r="161" spans="1:5">
      <c r="A161" s="111"/>
      <c r="B161" s="119"/>
      <c r="C161" s="119"/>
      <c r="D161" s="119"/>
      <c r="E161" s="119"/>
    </row>
    <row r="162" spans="1:5">
      <c r="A162" s="111"/>
      <c r="B162" s="119"/>
      <c r="C162" s="120"/>
      <c r="D162" s="120"/>
      <c r="E162" s="120"/>
    </row>
    <row r="163" spans="1:5">
      <c r="A163" s="113"/>
      <c r="B163" s="119"/>
      <c r="C163" s="120"/>
      <c r="D163" s="120"/>
      <c r="E163" s="120"/>
    </row>
    <row r="164" spans="1:5">
      <c r="A164" s="114"/>
      <c r="B164" s="123"/>
      <c r="C164" s="123"/>
      <c r="D164" s="123"/>
      <c r="E164" s="123"/>
    </row>
    <row r="165" spans="1:5">
      <c r="A165" s="111"/>
      <c r="B165" s="120"/>
      <c r="C165" s="120"/>
      <c r="D165" s="120"/>
      <c r="E165" s="120"/>
    </row>
    <row r="166" spans="1:5">
      <c r="A166" s="114"/>
      <c r="B166" s="123"/>
      <c r="C166" s="123"/>
      <c r="D166" s="123"/>
      <c r="E166" s="123"/>
    </row>
  </sheetData>
  <sheetProtection algorithmName="SHA-512" hashValue="KCPEEVjGOqftN1cX3+jYNbN6op5/Bzq1lo8kBHijCQswxVxZpDJ/JsJT8WAy7i2mWZreFALVqnyfVjs3xzmFNg==" saltValue="HJF6J4pAn2MYfd9IXaFiuA==" spinCount="100000" sheet="1" objects="1" scenarios="1" selectLockedCells="1" selectUnlockedCells="1"/>
  <mergeCells count="70">
    <mergeCell ref="J97:K97"/>
    <mergeCell ref="B96:C96"/>
    <mergeCell ref="D96:E96"/>
    <mergeCell ref="R102:S102"/>
    <mergeCell ref="P102:Q102"/>
    <mergeCell ref="J102:K102"/>
    <mergeCell ref="P101:Q101"/>
    <mergeCell ref="R101:S101"/>
    <mergeCell ref="L101:M101"/>
    <mergeCell ref="N101:O101"/>
    <mergeCell ref="N102:O102"/>
    <mergeCell ref="J101:K101"/>
    <mergeCell ref="L102:M102"/>
    <mergeCell ref="F96:G96"/>
    <mergeCell ref="H96:I96"/>
    <mergeCell ref="P4:U4"/>
    <mergeCell ref="V4:AA4"/>
    <mergeCell ref="V57:AA57"/>
    <mergeCell ref="K72:N72"/>
    <mergeCell ref="J57:O57"/>
    <mergeCell ref="J38:O38"/>
    <mergeCell ref="P39:U39"/>
    <mergeCell ref="B149:C149"/>
    <mergeCell ref="E4:I4"/>
    <mergeCell ref="D90:D92"/>
    <mergeCell ref="E90:E92"/>
    <mergeCell ref="D97:E97"/>
    <mergeCell ref="H97:I97"/>
    <mergeCell ref="F90:F92"/>
    <mergeCell ref="G90:G92"/>
    <mergeCell ref="H90:H92"/>
    <mergeCell ref="E38:I38"/>
    <mergeCell ref="B97:C97"/>
    <mergeCell ref="D72:I72"/>
    <mergeCell ref="E57:I57"/>
    <mergeCell ref="I90:I92"/>
    <mergeCell ref="C90:C92"/>
    <mergeCell ref="F97:G97"/>
    <mergeCell ref="B95:C95"/>
    <mergeCell ref="D95:E95"/>
    <mergeCell ref="F95:G95"/>
    <mergeCell ref="H95:I95"/>
    <mergeCell ref="J3:O3"/>
    <mergeCell ref="J4:O4"/>
    <mergeCell ref="J90:J92"/>
    <mergeCell ref="E39:I39"/>
    <mergeCell ref="E3:I3"/>
    <mergeCell ref="J39:O39"/>
    <mergeCell ref="O90:O92"/>
    <mergeCell ref="K90:K92"/>
    <mergeCell ref="L90:L92"/>
    <mergeCell ref="M90:M92"/>
    <mergeCell ref="N90:N92"/>
    <mergeCell ref="J95:K95"/>
    <mergeCell ref="AH3:AM3"/>
    <mergeCell ref="AH4:AM4"/>
    <mergeCell ref="P3:U3"/>
    <mergeCell ref="V3:AA3"/>
    <mergeCell ref="P57:U57"/>
    <mergeCell ref="AB57:AG57"/>
    <mergeCell ref="AH57:AM57"/>
    <mergeCell ref="AB39:AG39"/>
    <mergeCell ref="AH39:AM39"/>
    <mergeCell ref="P38:U38"/>
    <mergeCell ref="V38:AA38"/>
    <mergeCell ref="AB38:AG38"/>
    <mergeCell ref="AH38:AM38"/>
    <mergeCell ref="AB3:AG3"/>
    <mergeCell ref="AB4:AG4"/>
    <mergeCell ref="V39:AA39"/>
  </mergeCells>
  <pageMargins left="0.7" right="0.7" top="0.75" bottom="0.75" header="0.3" footer="0.3"/>
  <pageSetup paperSize="9" orientation="portrait" verticalDpi="4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ul1">
    <tabColor rgb="FF0152A1"/>
  </sheetPr>
  <dimension ref="A1:T80"/>
  <sheetViews>
    <sheetView showGridLines="0" showZeros="0" defaultGridColor="0" colorId="55" zoomScaleNormal="100" workbookViewId="0">
      <selection activeCell="B7" sqref="B7:D7"/>
    </sheetView>
  </sheetViews>
  <sheetFormatPr defaultRowHeight="12.45"/>
  <cols>
    <col min="1" max="1" width="10.53515625" customWidth="1"/>
    <col min="2" max="2" width="3.69140625" style="38" customWidth="1"/>
    <col min="3" max="3" width="45.3046875" customWidth="1"/>
    <col min="4" max="8" width="11" customWidth="1"/>
    <col min="9" max="9" width="5.07421875" customWidth="1"/>
    <col min="10" max="10" width="10.69140625" style="38" customWidth="1"/>
    <col min="11" max="11" width="10.69140625" customWidth="1"/>
    <col min="20" max="20" width="7.69140625" customWidth="1"/>
  </cols>
  <sheetData>
    <row r="1" spans="1:20" ht="14.15">
      <c r="B1" s="80" t="s">
        <v>0</v>
      </c>
      <c r="I1" s="58"/>
    </row>
    <row r="2" spans="1:20" ht="4.5" customHeight="1">
      <c r="E2" s="59" t="s">
        <v>0</v>
      </c>
    </row>
    <row r="3" spans="1:20" ht="14.25" customHeight="1">
      <c r="A3" s="1524" t="s">
        <v>740</v>
      </c>
      <c r="C3" s="22" t="s">
        <v>103</v>
      </c>
      <c r="D3" s="1629"/>
      <c r="E3" s="43" t="s">
        <v>93</v>
      </c>
      <c r="J3" s="1778"/>
      <c r="K3" s="1778"/>
      <c r="N3" s="22" t="s">
        <v>103</v>
      </c>
    </row>
    <row r="4" spans="1:20" ht="14.25" customHeight="1">
      <c r="C4" s="185" t="s">
        <v>0</v>
      </c>
      <c r="D4" s="1629"/>
      <c r="E4" s="560">
        <v>0</v>
      </c>
      <c r="F4" s="561"/>
      <c r="G4" s="77"/>
    </row>
    <row r="5" spans="1:20" ht="7.5" customHeight="1">
      <c r="D5" s="1629"/>
      <c r="E5" s="1758"/>
      <c r="F5" s="1759"/>
      <c r="G5" s="38"/>
      <c r="H5" s="22"/>
    </row>
    <row r="6" spans="1:20">
      <c r="B6" s="46" t="s">
        <v>742</v>
      </c>
      <c r="C6" s="62"/>
      <c r="D6" s="1630"/>
      <c r="E6" s="494" t="s">
        <v>745</v>
      </c>
      <c r="F6" s="1387"/>
      <c r="G6" s="494"/>
      <c r="H6" s="51"/>
      <c r="I6" s="62"/>
      <c r="J6" s="1319" t="s">
        <v>724</v>
      </c>
      <c r="K6" s="1320"/>
      <c r="L6" s="1320"/>
      <c r="M6" s="1320"/>
      <c r="N6" s="1320"/>
      <c r="O6" s="1320"/>
      <c r="P6" s="1320"/>
      <c r="Q6" s="1320"/>
      <c r="R6" s="1320"/>
      <c r="S6" s="1320"/>
      <c r="T6" s="1321"/>
    </row>
    <row r="7" spans="1:20" s="51" customFormat="1" ht="14.25" customHeight="1">
      <c r="B7" s="1764"/>
      <c r="C7" s="1764"/>
      <c r="D7" s="1765"/>
      <c r="E7" s="1766"/>
      <c r="F7" s="1767"/>
      <c r="G7" s="1767"/>
      <c r="H7" s="1767"/>
      <c r="J7" s="378"/>
      <c r="K7" s="320"/>
      <c r="L7" s="320"/>
      <c r="M7" s="320"/>
      <c r="N7" s="320"/>
      <c r="O7" s="320"/>
      <c r="P7" s="320"/>
      <c r="Q7" s="320"/>
      <c r="R7" s="320"/>
      <c r="S7" s="320"/>
      <c r="T7" s="464"/>
    </row>
    <row r="8" spans="1:20" ht="12.9">
      <c r="B8" s="1388" t="s">
        <v>743</v>
      </c>
      <c r="C8" s="61"/>
      <c r="D8" s="1631"/>
      <c r="E8" s="247" t="s">
        <v>746</v>
      </c>
      <c r="F8" s="246"/>
      <c r="G8" s="247"/>
      <c r="H8" s="1386"/>
      <c r="I8" s="63"/>
      <c r="J8" s="378"/>
      <c r="K8" s="320"/>
      <c r="L8" s="320"/>
      <c r="M8" s="320"/>
      <c r="N8" s="320"/>
      <c r="O8" s="320"/>
      <c r="P8" s="320"/>
      <c r="Q8" s="320"/>
      <c r="R8" s="320"/>
      <c r="S8" s="320"/>
      <c r="T8" s="464"/>
    </row>
    <row r="9" spans="1:20" s="51" customFormat="1" ht="14.25" customHeight="1">
      <c r="B9" s="1764">
        <v>0</v>
      </c>
      <c r="C9" s="1764"/>
      <c r="D9" s="1765"/>
      <c r="E9" s="1768"/>
      <c r="F9" s="1768"/>
      <c r="G9" s="1768"/>
      <c r="H9" s="1768"/>
      <c r="I9" s="70"/>
      <c r="J9" s="378"/>
      <c r="K9" s="320"/>
      <c r="L9" s="320"/>
      <c r="M9" s="320"/>
      <c r="N9" s="320"/>
      <c r="O9" s="320"/>
      <c r="P9" s="320"/>
      <c r="Q9" s="320"/>
      <c r="R9" s="320"/>
      <c r="S9" s="320"/>
      <c r="T9" s="464"/>
    </row>
    <row r="10" spans="1:20" s="2" customFormat="1">
      <c r="A10"/>
      <c r="B10" s="1388" t="s">
        <v>744</v>
      </c>
      <c r="C10" s="61"/>
      <c r="D10" s="1631"/>
      <c r="E10" s="1769" t="s">
        <v>747</v>
      </c>
      <c r="F10" s="1769"/>
      <c r="G10" s="1769"/>
      <c r="H10" s="1769"/>
      <c r="J10" s="378"/>
      <c r="K10" s="320"/>
      <c r="L10" s="320"/>
      <c r="M10" s="320"/>
      <c r="N10" s="320"/>
      <c r="O10" s="320"/>
      <c r="P10" s="320"/>
      <c r="Q10" s="320"/>
      <c r="R10" s="320"/>
      <c r="S10" s="320"/>
      <c r="T10" s="464"/>
    </row>
    <row r="11" spans="1:20" s="51" customFormat="1" ht="14.25" customHeight="1">
      <c r="B11" s="1771">
        <v>0</v>
      </c>
      <c r="C11" s="1772"/>
      <c r="D11" s="1773"/>
      <c r="E11" s="1768"/>
      <c r="F11" s="1768"/>
      <c r="G11" s="1768"/>
      <c r="H11" s="1768"/>
      <c r="I11" s="71"/>
      <c r="J11" s="378"/>
      <c r="K11" s="320"/>
      <c r="L11" s="320"/>
      <c r="M11" s="320"/>
      <c r="N11" s="320"/>
      <c r="O11" s="320"/>
      <c r="P11" s="320"/>
      <c r="Q11" s="320"/>
      <c r="R11" s="320"/>
      <c r="S11" s="320"/>
      <c r="T11" s="464"/>
    </row>
    <row r="12" spans="1:20" ht="14.25" customHeight="1">
      <c r="B12" s="1772"/>
      <c r="C12" s="1772"/>
      <c r="D12" s="1773"/>
      <c r="E12" s="1769" t="s">
        <v>748</v>
      </c>
      <c r="F12" s="1769"/>
      <c r="G12" s="1769"/>
      <c r="H12" s="1769"/>
      <c r="J12" s="378"/>
      <c r="K12" s="320"/>
      <c r="L12" s="320"/>
      <c r="M12" s="320"/>
      <c r="N12" s="320"/>
      <c r="O12" s="320"/>
      <c r="P12" s="320"/>
      <c r="Q12" s="320"/>
      <c r="R12" s="320"/>
      <c r="S12" s="320"/>
      <c r="T12" s="464"/>
    </row>
    <row r="13" spans="1:20" ht="14.25" customHeight="1">
      <c r="A13" s="51"/>
      <c r="B13" s="1772"/>
      <c r="C13" s="1772"/>
      <c r="D13" s="1773"/>
      <c r="E13" s="1770"/>
      <c r="F13" s="1770"/>
      <c r="G13" s="1770"/>
      <c r="H13" s="1770"/>
      <c r="I13" s="64"/>
      <c r="J13" s="378"/>
      <c r="K13" s="320"/>
      <c r="L13" s="320"/>
      <c r="M13" s="320"/>
      <c r="N13" s="320"/>
      <c r="O13" s="320"/>
      <c r="P13" s="320"/>
      <c r="Q13" s="320"/>
      <c r="R13" s="320"/>
      <c r="S13" s="320"/>
      <c r="T13" s="464"/>
    </row>
    <row r="14" spans="1:20" ht="13.95" customHeight="1">
      <c r="A14" s="2"/>
      <c r="C14" s="245"/>
      <c r="J14" s="378"/>
      <c r="K14" s="320"/>
      <c r="L14" s="320"/>
      <c r="M14" s="320"/>
      <c r="N14" s="320"/>
      <c r="O14" s="320"/>
      <c r="P14" s="320"/>
      <c r="Q14" s="320"/>
      <c r="R14" s="320"/>
      <c r="S14" s="320"/>
      <c r="T14" s="464"/>
    </row>
    <row r="15" spans="1:20" ht="13.2" customHeight="1">
      <c r="B15" s="1760" t="s">
        <v>199</v>
      </c>
      <c r="C15" s="1761"/>
      <c r="D15" s="1389" t="s">
        <v>110</v>
      </c>
      <c r="E15" s="1390" t="s">
        <v>98</v>
      </c>
      <c r="F15" s="1390" t="s">
        <v>100</v>
      </c>
      <c r="G15" s="1390" t="s">
        <v>257</v>
      </c>
      <c r="H15" s="1751" t="s">
        <v>190</v>
      </c>
      <c r="I15" s="60"/>
      <c r="J15" s="1322"/>
      <c r="K15" s="1323"/>
      <c r="L15" s="1323"/>
      <c r="M15" s="1323"/>
      <c r="N15" s="1323"/>
      <c r="O15" s="1323"/>
      <c r="P15" s="1323"/>
      <c r="Q15" s="1323"/>
      <c r="R15" s="1323"/>
      <c r="S15" s="1323"/>
      <c r="T15" s="1324"/>
    </row>
    <row r="16" spans="1:20" ht="13.5" customHeight="1">
      <c r="B16" s="1762"/>
      <c r="C16" s="1763"/>
      <c r="D16" s="1396">
        <v>2025</v>
      </c>
      <c r="E16" s="1397">
        <f>D16+1</f>
        <v>2026</v>
      </c>
      <c r="F16" s="1397">
        <f>E16+1</f>
        <v>2027</v>
      </c>
      <c r="G16" s="1397">
        <f>F16+1</f>
        <v>2028</v>
      </c>
      <c r="H16" s="1752"/>
      <c r="I16" s="60"/>
      <c r="J16" s="1322"/>
      <c r="K16" s="1323"/>
      <c r="L16" s="1323"/>
      <c r="M16" s="1323"/>
      <c r="N16" s="1323"/>
      <c r="O16" s="1323"/>
      <c r="P16" s="1323"/>
      <c r="Q16" s="1323"/>
      <c r="R16" s="1323"/>
      <c r="S16" s="1323"/>
      <c r="T16" s="1324"/>
    </row>
    <row r="17" spans="1:20" ht="13.5" customHeight="1">
      <c r="B17" s="1392" t="s">
        <v>2</v>
      </c>
      <c r="C17" s="182" t="s">
        <v>734</v>
      </c>
      <c r="D17" s="697">
        <v>0</v>
      </c>
      <c r="E17" s="697">
        <v>0</v>
      </c>
      <c r="F17" s="697">
        <v>0</v>
      </c>
      <c r="G17" s="697">
        <v>0</v>
      </c>
      <c r="H17" s="728">
        <f>SUM(D17:G17)</f>
        <v>0</v>
      </c>
      <c r="I17" s="65"/>
      <c r="J17" s="1322"/>
      <c r="K17" s="1323"/>
      <c r="L17" s="1323"/>
      <c r="M17" s="1323"/>
      <c r="N17" s="1323"/>
      <c r="O17" s="1323"/>
      <c r="P17" s="1323"/>
      <c r="Q17" s="1323"/>
      <c r="R17" s="1323"/>
      <c r="S17" s="1323"/>
      <c r="T17" s="1324"/>
    </row>
    <row r="18" spans="1:20" s="4" customFormat="1" ht="13.5" customHeight="1">
      <c r="A18"/>
      <c r="B18" s="1392"/>
      <c r="C18" s="182" t="s">
        <v>207</v>
      </c>
      <c r="D18" s="663"/>
      <c r="E18" s="663" t="s">
        <v>0</v>
      </c>
      <c r="F18" s="663"/>
      <c r="G18" s="663"/>
      <c r="H18" s="1393"/>
      <c r="I18" s="183"/>
      <c r="J18" s="1322"/>
      <c r="K18" s="1323"/>
      <c r="L18" s="1323"/>
      <c r="M18" s="1323"/>
      <c r="N18" s="1323"/>
      <c r="O18" s="1323"/>
      <c r="P18" s="1323"/>
      <c r="Q18" s="1323"/>
      <c r="R18" s="1323"/>
      <c r="S18" s="1323"/>
      <c r="T18" s="1324"/>
    </row>
    <row r="19" spans="1:20" s="4" customFormat="1" ht="13.5" customHeight="1">
      <c r="A19"/>
      <c r="B19" s="1392"/>
      <c r="C19" s="182" t="s">
        <v>198</v>
      </c>
      <c r="D19" s="382">
        <v>0</v>
      </c>
      <c r="E19" s="382">
        <v>0</v>
      </c>
      <c r="F19" s="382">
        <v>0</v>
      </c>
      <c r="G19" s="382">
        <v>0</v>
      </c>
      <c r="H19" s="1393"/>
      <c r="I19" s="183"/>
      <c r="J19" s="1322"/>
      <c r="K19" s="1323"/>
      <c r="L19" s="1323"/>
      <c r="M19" s="1323"/>
      <c r="N19" s="1323"/>
      <c r="O19" s="1323"/>
      <c r="P19" s="1323"/>
      <c r="Q19" s="1323"/>
      <c r="R19" s="1323"/>
      <c r="S19" s="1323"/>
      <c r="T19" s="1324"/>
    </row>
    <row r="20" spans="1:20" ht="13.5" customHeight="1">
      <c r="B20" s="1392" t="s">
        <v>3</v>
      </c>
      <c r="C20" s="1317" t="s">
        <v>731</v>
      </c>
      <c r="D20" s="663">
        <v>0</v>
      </c>
      <c r="E20" s="663">
        <v>0</v>
      </c>
      <c r="F20" s="663">
        <v>0</v>
      </c>
      <c r="G20" s="663">
        <v>0</v>
      </c>
      <c r="H20" s="643">
        <f>SUM(D20:G20)</f>
        <v>0</v>
      </c>
      <c r="I20" s="66"/>
      <c r="J20" s="1322"/>
      <c r="K20" s="1325"/>
      <c r="L20" s="1323"/>
      <c r="M20" s="1323"/>
      <c r="N20" s="1323"/>
      <c r="O20" s="1323"/>
      <c r="P20" s="1323"/>
      <c r="Q20" s="1323"/>
      <c r="R20" s="1323"/>
      <c r="S20" s="1323"/>
      <c r="T20" s="1324"/>
    </row>
    <row r="21" spans="1:20" s="4" customFormat="1" ht="13.5" customHeight="1">
      <c r="A21"/>
      <c r="B21" s="1392"/>
      <c r="C21" s="441" t="s">
        <v>708</v>
      </c>
      <c r="D21" s="542">
        <v>0</v>
      </c>
      <c r="E21" s="542">
        <v>0</v>
      </c>
      <c r="F21" s="542"/>
      <c r="G21" s="542"/>
      <c r="H21" s="1393"/>
      <c r="I21" s="184"/>
      <c r="J21" s="1322"/>
      <c r="K21" s="1325"/>
      <c r="L21" s="1323"/>
      <c r="M21" s="1323"/>
      <c r="N21" s="1323"/>
      <c r="O21" s="1323"/>
      <c r="P21" s="1323"/>
      <c r="Q21" s="1323"/>
      <c r="R21" s="1323"/>
      <c r="S21" s="1323"/>
      <c r="T21" s="1324"/>
    </row>
    <row r="22" spans="1:20" s="4" customFormat="1" ht="13.5" customHeight="1">
      <c r="A22"/>
      <c r="B22" s="1392"/>
      <c r="C22" s="182" t="s">
        <v>200</v>
      </c>
      <c r="D22" s="382">
        <v>0.24</v>
      </c>
      <c r="E22" s="382">
        <v>0.24</v>
      </c>
      <c r="F22" s="382">
        <f>E22</f>
        <v>0.24</v>
      </c>
      <c r="G22" s="382">
        <f>F22</f>
        <v>0.24</v>
      </c>
      <c r="H22" s="1393"/>
      <c r="I22" s="184"/>
      <c r="J22" s="1322"/>
      <c r="K22" s="1325"/>
      <c r="L22" s="1323"/>
      <c r="M22" s="1323"/>
      <c r="N22" s="1323"/>
      <c r="O22" s="1323"/>
      <c r="P22" s="1323"/>
      <c r="Q22" s="1323"/>
      <c r="R22" s="1323"/>
      <c r="S22" s="1323"/>
      <c r="T22" s="1324"/>
    </row>
    <row r="23" spans="1:20" s="4" customFormat="1" ht="13.5" customHeight="1">
      <c r="A23"/>
      <c r="B23" s="1392"/>
      <c r="C23" s="182" t="s">
        <v>198</v>
      </c>
      <c r="D23" s="382">
        <v>0</v>
      </c>
      <c r="E23" s="382">
        <v>0</v>
      </c>
      <c r="F23" s="382">
        <v>0</v>
      </c>
      <c r="G23" s="382">
        <v>0</v>
      </c>
      <c r="H23" s="1393"/>
      <c r="I23" s="184"/>
      <c r="J23" s="1322"/>
      <c r="K23" s="1325"/>
      <c r="L23" s="1323"/>
      <c r="M23" s="1323"/>
      <c r="N23" s="1323"/>
      <c r="O23" s="1323"/>
      <c r="P23" s="1323"/>
      <c r="Q23" s="1323"/>
      <c r="R23" s="1323"/>
      <c r="S23" s="1323"/>
      <c r="T23" s="1324"/>
    </row>
    <row r="24" spans="1:20" ht="13.5" customHeight="1">
      <c r="B24" s="1392" t="s">
        <v>4</v>
      </c>
      <c r="C24" s="364" t="s">
        <v>733</v>
      </c>
      <c r="D24" s="663">
        <v>0</v>
      </c>
      <c r="E24" s="663">
        <v>0</v>
      </c>
      <c r="F24" s="663">
        <v>0</v>
      </c>
      <c r="G24" s="663">
        <v>0</v>
      </c>
      <c r="H24" s="643">
        <f>SUM(D24:G24)</f>
        <v>0</v>
      </c>
      <c r="I24" s="66"/>
      <c r="J24" s="1322"/>
      <c r="K24" s="1325"/>
      <c r="L24" s="1323"/>
      <c r="M24" s="1323"/>
      <c r="N24" s="1323"/>
      <c r="O24" s="1323"/>
      <c r="P24" s="1323"/>
      <c r="Q24" s="1323"/>
      <c r="R24" s="1323"/>
      <c r="S24" s="1323"/>
      <c r="T24" s="1324"/>
    </row>
    <row r="25" spans="1:20" s="4" customFormat="1" ht="13.5" customHeight="1">
      <c r="A25" s="51"/>
      <c r="B25" s="1392"/>
      <c r="C25" s="182" t="s">
        <v>708</v>
      </c>
      <c r="D25" s="542"/>
      <c r="E25" s="542">
        <v>0</v>
      </c>
      <c r="F25" s="542"/>
      <c r="G25" s="542"/>
      <c r="H25" s="1393"/>
      <c r="I25" s="184"/>
      <c r="J25" s="1322"/>
      <c r="K25" s="1325"/>
      <c r="L25" s="1323"/>
      <c r="M25" s="1323"/>
      <c r="N25" s="1323"/>
      <c r="O25" s="1323"/>
      <c r="P25" s="1323"/>
      <c r="Q25" s="1323"/>
      <c r="R25" s="1323"/>
      <c r="S25" s="1323"/>
      <c r="T25" s="1324"/>
    </row>
    <row r="26" spans="1:20" s="4" customFormat="1" ht="13.5" customHeight="1">
      <c r="A26" s="2"/>
      <c r="B26" s="1392"/>
      <c r="C26" s="182" t="s">
        <v>198</v>
      </c>
      <c r="D26" s="382">
        <v>0</v>
      </c>
      <c r="E26" s="382">
        <v>0</v>
      </c>
      <c r="F26" s="382">
        <v>0</v>
      </c>
      <c r="G26" s="382">
        <v>0</v>
      </c>
      <c r="H26" s="1393"/>
      <c r="I26" s="184"/>
      <c r="J26" s="1322"/>
      <c r="K26" s="1325"/>
      <c r="L26" s="1323"/>
      <c r="M26" s="1323"/>
      <c r="N26" s="1323"/>
      <c r="O26" s="1323"/>
      <c r="P26" s="1323"/>
      <c r="Q26" s="1323"/>
      <c r="R26" s="1323"/>
      <c r="S26" s="1323"/>
      <c r="T26" s="1326"/>
    </row>
    <row r="27" spans="1:20" ht="13.2" customHeight="1">
      <c r="B27" s="1392" t="s">
        <v>5</v>
      </c>
      <c r="C27" s="1317" t="s">
        <v>556</v>
      </c>
      <c r="D27" s="663">
        <v>0</v>
      </c>
      <c r="E27" s="663">
        <v>0</v>
      </c>
      <c r="F27" s="663">
        <v>0</v>
      </c>
      <c r="G27" s="663">
        <v>0</v>
      </c>
      <c r="H27" s="643">
        <f>SUM(D27:G27)</f>
        <v>0</v>
      </c>
      <c r="I27" s="66"/>
      <c r="J27" s="1322"/>
      <c r="K27" s="1325"/>
      <c r="L27" s="1323"/>
      <c r="M27" s="1323"/>
      <c r="N27" s="1323"/>
      <c r="O27" s="1323"/>
      <c r="P27" s="1323"/>
      <c r="Q27" s="1323"/>
      <c r="R27" s="1323"/>
      <c r="S27" s="1323"/>
      <c r="T27" s="1324"/>
    </row>
    <row r="28" spans="1:20" s="4" customFormat="1" ht="13.5" customHeight="1">
      <c r="A28"/>
      <c r="B28" s="1392"/>
      <c r="C28" s="182" t="s">
        <v>200</v>
      </c>
      <c r="D28" s="382">
        <v>0.24</v>
      </c>
      <c r="E28" s="382">
        <v>0.24</v>
      </c>
      <c r="F28" s="382">
        <v>0.24</v>
      </c>
      <c r="G28" s="382">
        <v>0.24</v>
      </c>
      <c r="H28" s="1393"/>
      <c r="I28" s="184"/>
      <c r="J28" s="1322"/>
      <c r="K28" s="1325"/>
      <c r="L28" s="1323"/>
      <c r="M28" s="1323"/>
      <c r="N28" s="1323"/>
      <c r="O28" s="1323"/>
      <c r="P28" s="1323"/>
      <c r="Q28" s="1323"/>
      <c r="R28" s="1323"/>
      <c r="S28" s="1323"/>
      <c r="T28" s="1324"/>
    </row>
    <row r="29" spans="1:20" s="4" customFormat="1" ht="13.5" customHeight="1">
      <c r="A29"/>
      <c r="B29" s="1392"/>
      <c r="C29" s="182" t="s">
        <v>198</v>
      </c>
      <c r="D29" s="382">
        <v>0</v>
      </c>
      <c r="E29" s="382">
        <v>0</v>
      </c>
      <c r="F29" s="382">
        <v>0</v>
      </c>
      <c r="G29" s="382">
        <v>0</v>
      </c>
      <c r="H29" s="1393"/>
      <c r="I29" s="184"/>
      <c r="J29" s="1322"/>
      <c r="K29" s="1325"/>
      <c r="L29" s="1323"/>
      <c r="M29" s="1323"/>
      <c r="N29" s="1323"/>
      <c r="O29" s="1323"/>
      <c r="P29" s="1323"/>
      <c r="Q29" s="1323"/>
      <c r="R29" s="1323"/>
      <c r="S29" s="1323"/>
      <c r="T29" s="1324"/>
    </row>
    <row r="30" spans="1:20" ht="13.5" customHeight="1">
      <c r="B30" s="1392" t="s">
        <v>6</v>
      </c>
      <c r="C30" s="1317" t="s">
        <v>535</v>
      </c>
      <c r="D30" s="694">
        <v>0</v>
      </c>
      <c r="E30" s="694">
        <v>0</v>
      </c>
      <c r="F30" s="694">
        <v>0</v>
      </c>
      <c r="G30" s="694">
        <v>0</v>
      </c>
      <c r="H30" s="643">
        <f>SUM(D30:G30)</f>
        <v>0</v>
      </c>
      <c r="I30" s="66"/>
      <c r="J30" s="1322"/>
      <c r="K30" s="1325"/>
      <c r="L30" s="1323"/>
      <c r="M30" s="1323"/>
      <c r="N30" s="1323"/>
      <c r="O30" s="1323"/>
      <c r="P30" s="1323"/>
      <c r="Q30" s="1323"/>
      <c r="R30" s="1323"/>
      <c r="S30" s="1323"/>
      <c r="T30" s="1324"/>
    </row>
    <row r="31" spans="1:20" s="4" customFormat="1" ht="13.5" customHeight="1">
      <c r="A31"/>
      <c r="B31" s="1392"/>
      <c r="C31" s="182" t="s">
        <v>198</v>
      </c>
      <c r="D31" s="695">
        <v>0</v>
      </c>
      <c r="E31" s="695">
        <v>0</v>
      </c>
      <c r="F31" s="695">
        <v>0</v>
      </c>
      <c r="G31" s="695">
        <v>0</v>
      </c>
      <c r="H31" s="1393"/>
      <c r="I31" s="184"/>
      <c r="J31" s="1322"/>
      <c r="K31" s="1325"/>
      <c r="L31" s="1323"/>
      <c r="M31" s="1323"/>
      <c r="N31" s="1323"/>
      <c r="O31" s="1323"/>
      <c r="P31" s="1323"/>
      <c r="Q31" s="1323"/>
      <c r="R31" s="1323"/>
      <c r="S31" s="1323"/>
      <c r="T31" s="1326"/>
    </row>
    <row r="32" spans="1:20" ht="13.5" customHeight="1">
      <c r="B32" s="1392" t="s">
        <v>7</v>
      </c>
      <c r="C32" s="1317" t="s">
        <v>756</v>
      </c>
      <c r="D32" s="694">
        <v>0</v>
      </c>
      <c r="E32" s="694">
        <v>0</v>
      </c>
      <c r="F32" s="694">
        <v>0</v>
      </c>
      <c r="G32" s="694">
        <v>0</v>
      </c>
      <c r="H32" s="643">
        <f>SUM(D32:G32)</f>
        <v>0</v>
      </c>
      <c r="I32" s="66"/>
      <c r="J32" s="1322"/>
      <c r="K32" s="1325"/>
      <c r="L32" s="1323"/>
      <c r="M32" s="1323"/>
      <c r="N32" s="1323"/>
      <c r="O32" s="1323"/>
      <c r="P32" s="1323"/>
      <c r="Q32" s="1323"/>
      <c r="R32" s="1323"/>
      <c r="S32" s="1323"/>
      <c r="T32" s="1324"/>
    </row>
    <row r="33" spans="1:20" s="4" customFormat="1" ht="13.5" customHeight="1">
      <c r="A33"/>
      <c r="B33" s="1392"/>
      <c r="C33" s="182" t="s">
        <v>200</v>
      </c>
      <c r="D33" s="382">
        <v>0.24</v>
      </c>
      <c r="E33" s="382">
        <v>0.24</v>
      </c>
      <c r="F33" s="382">
        <f>E33</f>
        <v>0.24</v>
      </c>
      <c r="G33" s="382">
        <f>F33</f>
        <v>0.24</v>
      </c>
      <c r="H33" s="1393"/>
      <c r="I33" s="184"/>
      <c r="J33" s="1322"/>
      <c r="K33" s="1325"/>
      <c r="L33" s="1323"/>
      <c r="M33" s="1323"/>
      <c r="N33" s="1323"/>
      <c r="O33" s="1323"/>
      <c r="P33" s="1323"/>
      <c r="Q33" s="1323"/>
      <c r="R33" s="1323"/>
      <c r="S33" s="1323"/>
      <c r="T33" s="1324"/>
    </row>
    <row r="34" spans="1:20" s="4" customFormat="1" ht="13.5" customHeight="1">
      <c r="A34"/>
      <c r="B34" s="1392"/>
      <c r="C34" s="182" t="s">
        <v>198</v>
      </c>
      <c r="D34" s="382">
        <v>0</v>
      </c>
      <c r="E34" s="382">
        <v>0</v>
      </c>
      <c r="F34" s="382">
        <v>0</v>
      </c>
      <c r="G34" s="382">
        <v>0</v>
      </c>
      <c r="H34" s="1393"/>
      <c r="I34" s="184"/>
      <c r="J34" s="1322"/>
      <c r="K34" s="1325"/>
      <c r="L34" s="1323"/>
      <c r="M34" s="1323"/>
      <c r="N34" s="1323"/>
      <c r="O34" s="1323"/>
      <c r="P34" s="1323"/>
      <c r="Q34" s="1323"/>
      <c r="R34" s="1323"/>
      <c r="S34" s="1323"/>
      <c r="T34" s="1324"/>
    </row>
    <row r="35" spans="1:20" ht="13.5" customHeight="1">
      <c r="B35" s="1392" t="s">
        <v>8</v>
      </c>
      <c r="C35" s="1317" t="s">
        <v>251</v>
      </c>
      <c r="D35" s="663">
        <v>0</v>
      </c>
      <c r="E35" s="663">
        <v>0</v>
      </c>
      <c r="F35" s="663">
        <v>0</v>
      </c>
      <c r="G35" s="663">
        <v>0</v>
      </c>
      <c r="H35" s="643">
        <f>SUM(D35:G35)</f>
        <v>0</v>
      </c>
      <c r="I35" s="66"/>
      <c r="J35" s="1322"/>
      <c r="K35" s="1325"/>
      <c r="L35" s="1323"/>
      <c r="M35" s="1323"/>
      <c r="N35" s="1323"/>
      <c r="O35" s="1323"/>
      <c r="P35" s="1323"/>
      <c r="Q35" s="1323"/>
      <c r="R35" s="1323"/>
      <c r="S35" s="1323"/>
      <c r="T35" s="1324"/>
    </row>
    <row r="36" spans="1:20" s="4" customFormat="1" ht="13.5" customHeight="1">
      <c r="A36"/>
      <c r="B36" s="1392"/>
      <c r="C36" s="182" t="s">
        <v>200</v>
      </c>
      <c r="D36" s="382">
        <v>0.24</v>
      </c>
      <c r="E36" s="382">
        <v>0.24</v>
      </c>
      <c r="F36" s="382">
        <f>E36</f>
        <v>0.24</v>
      </c>
      <c r="G36" s="382">
        <f>F36</f>
        <v>0.24</v>
      </c>
      <c r="H36" s="1393"/>
      <c r="I36" s="184"/>
      <c r="J36" s="1322"/>
      <c r="K36" s="1325"/>
      <c r="L36" s="1323"/>
      <c r="M36" s="1323"/>
      <c r="N36" s="1323"/>
      <c r="O36" s="1323"/>
      <c r="P36" s="1323"/>
      <c r="Q36" s="1323"/>
      <c r="R36" s="1323"/>
      <c r="S36" s="1323"/>
      <c r="T36" s="1324"/>
    </row>
    <row r="37" spans="1:20" s="4" customFormat="1" ht="13.5" customHeight="1">
      <c r="A37"/>
      <c r="B37" s="1392"/>
      <c r="C37" s="182" t="s">
        <v>198</v>
      </c>
      <c r="D37" s="382">
        <v>0</v>
      </c>
      <c r="E37" s="382">
        <v>0</v>
      </c>
      <c r="F37" s="382">
        <v>0</v>
      </c>
      <c r="G37" s="382">
        <v>0</v>
      </c>
      <c r="H37" s="1393"/>
      <c r="I37" s="184"/>
      <c r="J37" s="1322"/>
      <c r="K37" s="1325"/>
      <c r="L37" s="1323"/>
      <c r="M37" s="1323"/>
      <c r="N37" s="1323"/>
      <c r="O37" s="1323"/>
      <c r="P37" s="1323"/>
      <c r="Q37" s="1323"/>
      <c r="R37" s="1323"/>
      <c r="S37" s="1323"/>
      <c r="T37" s="1324"/>
    </row>
    <row r="38" spans="1:20" s="4" customFormat="1" ht="13.5" customHeight="1">
      <c r="A38"/>
      <c r="B38" s="1392" t="s">
        <v>9</v>
      </c>
      <c r="C38" s="182" t="s">
        <v>208</v>
      </c>
      <c r="D38" s="663">
        <v>0</v>
      </c>
      <c r="E38" s="663">
        <v>0</v>
      </c>
      <c r="F38" s="663">
        <v>0</v>
      </c>
      <c r="G38" s="663">
        <v>0</v>
      </c>
      <c r="H38" s="643">
        <f>SUM(D38:G38)</f>
        <v>0</v>
      </c>
      <c r="I38" s="184"/>
      <c r="J38" s="1322"/>
      <c r="K38" s="1325"/>
      <c r="L38" s="1323"/>
      <c r="M38" s="1323"/>
      <c r="N38" s="1323"/>
      <c r="O38" s="1323"/>
      <c r="P38" s="1323"/>
      <c r="Q38" s="1323"/>
      <c r="R38" s="1323"/>
      <c r="S38" s="1323"/>
      <c r="T38" s="1324"/>
    </row>
    <row r="39" spans="1:20" ht="13.5" customHeight="1">
      <c r="B39" s="1392" t="s">
        <v>10</v>
      </c>
      <c r="C39" s="364" t="s">
        <v>533</v>
      </c>
      <c r="D39" s="663">
        <v>0</v>
      </c>
      <c r="E39" s="663">
        <v>0</v>
      </c>
      <c r="F39" s="663">
        <v>0</v>
      </c>
      <c r="G39" s="663">
        <v>0</v>
      </c>
      <c r="H39" s="643">
        <f>SUM(D39:G39)</f>
        <v>0</v>
      </c>
      <c r="I39" s="66"/>
      <c r="J39" s="1322"/>
      <c r="K39" s="1325"/>
      <c r="L39" s="1323"/>
      <c r="M39" s="1323"/>
      <c r="N39" s="1323"/>
      <c r="O39" s="1323"/>
      <c r="P39" s="1323"/>
      <c r="Q39" s="1323"/>
      <c r="R39" s="1323"/>
      <c r="S39" s="1323"/>
      <c r="T39" s="1324"/>
    </row>
    <row r="40" spans="1:20" ht="13.5" customHeight="1">
      <c r="B40" s="1392" t="s">
        <v>11</v>
      </c>
      <c r="C40" s="364" t="s">
        <v>753</v>
      </c>
      <c r="D40" s="663">
        <v>0</v>
      </c>
      <c r="E40" s="988">
        <v>0</v>
      </c>
      <c r="F40" s="988">
        <v>0</v>
      </c>
      <c r="G40" s="988">
        <v>0</v>
      </c>
      <c r="H40" s="643">
        <f>SUM(D40:G40)</f>
        <v>0</v>
      </c>
      <c r="I40" s="66"/>
      <c r="J40" s="1322"/>
      <c r="K40" s="1325"/>
      <c r="L40" s="1323"/>
      <c r="M40" s="1323"/>
      <c r="N40" s="1323"/>
      <c r="O40" s="1323"/>
      <c r="P40" s="1323"/>
      <c r="Q40" s="1323"/>
      <c r="R40" s="1323"/>
      <c r="S40" s="1323"/>
      <c r="T40" s="1324"/>
    </row>
    <row r="41" spans="1:20" s="4" customFormat="1" ht="13.5" customHeight="1">
      <c r="A41"/>
      <c r="B41" s="1392"/>
      <c r="C41" s="182" t="s">
        <v>200</v>
      </c>
      <c r="D41" s="382">
        <v>0.24</v>
      </c>
      <c r="E41" s="988">
        <v>0</v>
      </c>
      <c r="F41" s="988">
        <v>0</v>
      </c>
      <c r="G41" s="988">
        <v>0</v>
      </c>
      <c r="H41" s="1393"/>
      <c r="I41" s="184"/>
      <c r="J41" s="1322"/>
      <c r="K41" s="1325"/>
      <c r="L41" s="1323"/>
      <c r="M41" s="1323"/>
      <c r="N41" s="1323"/>
      <c r="O41" s="1323"/>
      <c r="P41" s="1323"/>
      <c r="Q41" s="1323"/>
      <c r="R41" s="1323"/>
      <c r="S41" s="1323"/>
      <c r="T41" s="1324"/>
    </row>
    <row r="42" spans="1:20" ht="13.5" customHeight="1">
      <c r="B42" s="1394" t="s">
        <v>168</v>
      </c>
      <c r="C42" s="1395" t="s">
        <v>532</v>
      </c>
      <c r="D42" s="537">
        <f>D17+D20+D24+D27+D30+D32+D39+D35+D38+D40</f>
        <v>0</v>
      </c>
      <c r="E42" s="537">
        <f t="shared" ref="E42:G42" si="0">E17+E20+E24+E27+E30+E32+E39+E35+E38+E40</f>
        <v>0</v>
      </c>
      <c r="F42" s="537">
        <f t="shared" si="0"/>
        <v>0</v>
      </c>
      <c r="G42" s="537">
        <f t="shared" si="0"/>
        <v>0</v>
      </c>
      <c r="H42" s="537">
        <f>SUM(D42:G42)</f>
        <v>0</v>
      </c>
      <c r="I42" s="66"/>
      <c r="J42" s="1322"/>
      <c r="K42" s="1323"/>
      <c r="L42" s="1323"/>
      <c r="M42" s="1323"/>
      <c r="N42" s="1323"/>
      <c r="O42" s="1323">
        <v>0</v>
      </c>
      <c r="P42" s="1323"/>
      <c r="Q42" s="1323"/>
      <c r="R42" s="1323"/>
      <c r="S42" s="1323"/>
      <c r="T42" s="1324"/>
    </row>
    <row r="43" spans="1:20" ht="13.95" customHeight="1">
      <c r="H43" s="1398"/>
      <c r="J43" s="378"/>
      <c r="K43" s="320"/>
      <c r="L43" s="320"/>
      <c r="M43" s="320"/>
      <c r="N43" s="320"/>
      <c r="O43" s="320">
        <v>0</v>
      </c>
      <c r="P43" s="320"/>
      <c r="Q43" s="320"/>
      <c r="R43" s="320"/>
      <c r="S43" s="320"/>
      <c r="T43" s="464"/>
    </row>
    <row r="44" spans="1:20" ht="13.5" customHeight="1">
      <c r="B44" s="1760" t="s">
        <v>261</v>
      </c>
      <c r="C44" s="1761"/>
      <c r="D44" s="1390" t="str">
        <f>D15</f>
        <v>Ennuste 1</v>
      </c>
      <c r="E44" s="1390" t="s">
        <v>98</v>
      </c>
      <c r="F44" s="1390" t="s">
        <v>100</v>
      </c>
      <c r="G44" s="1399" t="s">
        <v>257</v>
      </c>
      <c r="H44" s="1751" t="s">
        <v>190</v>
      </c>
      <c r="J44" s="378"/>
      <c r="K44" s="320"/>
      <c r="L44" s="320"/>
      <c r="M44" s="320"/>
      <c r="N44" s="320"/>
      <c r="O44" s="320"/>
      <c r="P44" s="320"/>
      <c r="Q44" s="320"/>
      <c r="R44" s="320"/>
      <c r="S44" s="320"/>
      <c r="T44" s="464"/>
    </row>
    <row r="45" spans="1:20" ht="13.5" customHeight="1">
      <c r="B45" s="1762"/>
      <c r="C45" s="1763"/>
      <c r="D45" s="1407">
        <f>D16</f>
        <v>2025</v>
      </c>
      <c r="E45" s="1407">
        <f>E16</f>
        <v>2026</v>
      </c>
      <c r="F45" s="1407">
        <f>F16</f>
        <v>2027</v>
      </c>
      <c r="G45" s="1408">
        <f>G16</f>
        <v>2028</v>
      </c>
      <c r="H45" s="1752"/>
      <c r="J45" s="378"/>
      <c r="K45" s="320"/>
      <c r="L45" s="320"/>
      <c r="M45" s="320"/>
      <c r="N45" s="320"/>
      <c r="O45" s="320"/>
      <c r="P45" s="320"/>
      <c r="Q45" s="320"/>
      <c r="R45" s="320"/>
      <c r="S45" s="320"/>
      <c r="T45" s="464"/>
    </row>
    <row r="46" spans="1:20" ht="13.5" customHeight="1">
      <c r="B46" s="1755" t="s">
        <v>544</v>
      </c>
      <c r="C46" s="1756"/>
      <c r="D46" s="1405"/>
      <c r="E46" s="1405"/>
      <c r="F46" s="1405"/>
      <c r="G46" s="1338"/>
      <c r="H46" s="1406" t="s">
        <v>0</v>
      </c>
      <c r="I46" s="51"/>
      <c r="J46" s="378"/>
      <c r="K46" s="320"/>
      <c r="L46" s="320"/>
      <c r="M46" s="320"/>
      <c r="N46" s="320"/>
      <c r="O46" s="320"/>
      <c r="P46" s="320"/>
      <c r="Q46" s="320"/>
      <c r="R46" s="320"/>
      <c r="S46" s="320"/>
      <c r="T46" s="464"/>
    </row>
    <row r="47" spans="1:20" ht="13.5" customHeight="1">
      <c r="B47" s="704" t="s">
        <v>169</v>
      </c>
      <c r="C47" s="4" t="s">
        <v>531</v>
      </c>
      <c r="D47" s="366"/>
      <c r="E47" s="366"/>
      <c r="F47" s="366"/>
      <c r="G47" s="367"/>
      <c r="H47" s="1400"/>
      <c r="I47" s="51"/>
      <c r="J47" s="378"/>
      <c r="K47" s="320"/>
      <c r="L47" s="320"/>
      <c r="M47" s="320"/>
      <c r="N47" s="320"/>
      <c r="O47" s="320"/>
      <c r="P47" s="320"/>
      <c r="Q47" s="320"/>
      <c r="R47" s="320"/>
      <c r="S47" s="320"/>
      <c r="T47" s="464"/>
    </row>
    <row r="48" spans="1:20" ht="13.5" customHeight="1">
      <c r="B48" s="1401"/>
      <c r="C48" s="441" t="s">
        <v>530</v>
      </c>
      <c r="D48" s="697">
        <v>0</v>
      </c>
      <c r="E48" s="697">
        <v>0</v>
      </c>
      <c r="F48" s="697">
        <v>0</v>
      </c>
      <c r="G48" s="698"/>
      <c r="H48" s="765">
        <f>SUM(D48:G48)</f>
        <v>0</v>
      </c>
      <c r="I48" s="67"/>
      <c r="J48" s="378"/>
      <c r="K48" s="320"/>
      <c r="L48" s="320"/>
      <c r="M48" s="320"/>
      <c r="N48" s="320"/>
      <c r="O48" s="320"/>
      <c r="P48" s="320"/>
      <c r="Q48" s="320"/>
      <c r="R48" s="320"/>
      <c r="S48" s="320"/>
      <c r="T48" s="464"/>
    </row>
    <row r="49" spans="2:20" ht="13.5" customHeight="1">
      <c r="B49" s="1392"/>
      <c r="C49" s="441" t="s">
        <v>529</v>
      </c>
      <c r="D49" s="697">
        <v>0</v>
      </c>
      <c r="E49" s="697">
        <v>0</v>
      </c>
      <c r="F49" s="697">
        <v>0</v>
      </c>
      <c r="G49" s="697">
        <v>0</v>
      </c>
      <c r="H49" s="643">
        <f>SUM(D49:G49)</f>
        <v>0</v>
      </c>
      <c r="I49" s="67"/>
      <c r="J49" s="378"/>
      <c r="K49" s="320"/>
      <c r="L49" s="320"/>
      <c r="M49" s="320"/>
      <c r="N49" s="320"/>
      <c r="O49" s="320"/>
      <c r="P49" s="320"/>
      <c r="Q49" s="320"/>
      <c r="R49" s="320"/>
      <c r="S49" s="320"/>
      <c r="T49" s="464"/>
    </row>
    <row r="50" spans="2:20" ht="13.5" customHeight="1">
      <c r="B50" s="1409" t="s">
        <v>366</v>
      </c>
      <c r="C50" s="364" t="s">
        <v>528</v>
      </c>
      <c r="D50" s="765">
        <f>D62-D61-D60-D57-D56-D55-D52-D51-D48-D49-D58-D59</f>
        <v>0</v>
      </c>
      <c r="E50" s="765">
        <f>E62-E61-E60-E57-E56-E55-E52-E51-E48-E49-E58-E59</f>
        <v>0</v>
      </c>
      <c r="F50" s="765">
        <f>F62-F61-F60-F57-F56-F55-F52-F51-F48-F49-F58-F59</f>
        <v>0</v>
      </c>
      <c r="G50" s="765">
        <f>G62-G61-G60-G57-G56-G55-G52-G51-G48-G49-G58-G59</f>
        <v>0</v>
      </c>
      <c r="H50" s="765">
        <f>SUM(D50:G50)</f>
        <v>0</v>
      </c>
      <c r="I50" s="66"/>
      <c r="J50" s="1327" t="str">
        <f>IF(D50&lt;0,"LISÄÄ LUKU RIVILLE 9 Käyttöpääoman lisäys!",IF(E50&lt;0,"LISÄÄ LUKU RIVILLE 9 Käyttöpääoman lisäys!",IF(F50&lt;0,"LISÄÄ LUKU RIVILLE 9 Käyttöpääoman lisäys!",IF(G50&lt;0,"LISÄÄ LUKU RIVILLE 9 Käyttöpääoman lisäys!",""))))</f>
        <v/>
      </c>
      <c r="K50" s="1043"/>
      <c r="L50" s="1043"/>
      <c r="M50" s="1043"/>
      <c r="N50" s="1043"/>
      <c r="O50" s="1043"/>
      <c r="P50" s="1043"/>
      <c r="Q50" s="1043"/>
      <c r="R50" s="1043"/>
      <c r="S50" s="1043"/>
      <c r="T50" s="1328"/>
    </row>
    <row r="51" spans="2:20" ht="13.5" customHeight="1">
      <c r="B51" s="1409" t="s">
        <v>170</v>
      </c>
      <c r="C51" s="364" t="s">
        <v>527</v>
      </c>
      <c r="D51" s="699">
        <v>0</v>
      </c>
      <c r="E51" s="699">
        <v>0</v>
      </c>
      <c r="F51" s="699">
        <v>0</v>
      </c>
      <c r="G51" s="699">
        <v>0</v>
      </c>
      <c r="H51" s="765">
        <f>SUM(D51:G51)</f>
        <v>0</v>
      </c>
      <c r="I51" s="68"/>
      <c r="J51" s="378"/>
      <c r="K51" s="320"/>
      <c r="L51" s="320"/>
      <c r="M51" s="320"/>
      <c r="N51" s="320"/>
      <c r="O51" s="320"/>
      <c r="P51" s="320"/>
      <c r="Q51" s="320"/>
      <c r="R51" s="320"/>
      <c r="S51" s="320"/>
      <c r="T51" s="464"/>
    </row>
    <row r="52" spans="2:20" ht="13.5" customHeight="1">
      <c r="B52" s="1409" t="s">
        <v>171</v>
      </c>
      <c r="C52" s="1666" t="s">
        <v>526</v>
      </c>
      <c r="D52" s="699">
        <v>0</v>
      </c>
      <c r="E52" s="699">
        <v>0</v>
      </c>
      <c r="F52" s="699">
        <v>0</v>
      </c>
      <c r="G52" s="700">
        <v>0</v>
      </c>
      <c r="H52" s="765">
        <f>SUM(D52:G52)</f>
        <v>0</v>
      </c>
      <c r="I52" s="66"/>
      <c r="J52" s="1327" t="str">
        <f>IF(D$52&gt;0,"JOS MYYDÄÄN OMAISUUTTA TAI SIJOITUKSIA, LISÄÄ LUKU T3 TASEEN KOHTAAN VÄHENNYS TILIKAUDELLA!",IF(E52&gt;0,"JOS MYYDÄÄN OMAISUUTTA TAI SIJOITUKSIA, LISÄÄ LUKU T3 TASEEN KOHTAAN VÄHENNYS TILIKAUDELLA!",IF(F52&gt;0,"JOS MYYDÄÄN OMAISUUTTA TAI SIJOITUKSIA, LISÄÄ LUKU T3 TASEEN KOHTAAN VÄHENNYS TILIKAUDELLA!",IF(G52&gt;0,"JOS MYYDÄÄN OMAISUUTTA TAI SIJOITUKSIA, LISÄÄ LUKU T3 TASEEN KOHTAAN VÄHENNYS TILIKAUDELLA!",""))))</f>
        <v/>
      </c>
      <c r="K52" s="151"/>
      <c r="L52" s="1329"/>
      <c r="M52" s="151"/>
      <c r="N52" s="151"/>
      <c r="O52" s="151"/>
      <c r="P52" s="151"/>
      <c r="Q52" s="151"/>
      <c r="R52" s="151"/>
      <c r="S52" s="151"/>
      <c r="T52" s="511"/>
    </row>
    <row r="53" spans="2:20" ht="13.5" customHeight="1">
      <c r="B53" s="1753" t="s">
        <v>94</v>
      </c>
      <c r="C53" s="1754"/>
      <c r="D53" s="701"/>
      <c r="E53" s="701"/>
      <c r="F53" s="701"/>
      <c r="G53" s="702"/>
      <c r="H53" s="1402"/>
      <c r="J53" s="1330" t="s">
        <v>625</v>
      </c>
      <c r="K53" s="1331"/>
      <c r="L53" s="1332" t="s">
        <v>123</v>
      </c>
      <c r="M53" s="1331" t="s">
        <v>471</v>
      </c>
      <c r="N53" s="1331" t="s">
        <v>475</v>
      </c>
      <c r="O53" s="320"/>
      <c r="P53" s="320"/>
      <c r="Q53" s="320"/>
      <c r="R53" s="320"/>
      <c r="S53" s="320"/>
      <c r="T53" s="464"/>
    </row>
    <row r="54" spans="2:20" ht="13.5" customHeight="1">
      <c r="B54" s="1667" t="s">
        <v>0</v>
      </c>
      <c r="C54" s="167" t="s">
        <v>124</v>
      </c>
      <c r="D54" s="703"/>
      <c r="E54" s="703"/>
      <c r="F54" s="703"/>
      <c r="G54" s="704"/>
      <c r="H54" s="1403"/>
      <c r="J54" s="1777" t="s">
        <v>470</v>
      </c>
      <c r="K54" s="1777"/>
      <c r="L54" s="1776">
        <v>0</v>
      </c>
      <c r="M54" s="1775">
        <v>0</v>
      </c>
      <c r="N54" s="1774">
        <v>0</v>
      </c>
      <c r="O54" s="1774"/>
      <c r="P54" s="1774"/>
      <c r="Q54" s="1774"/>
      <c r="R54" s="1774"/>
      <c r="S54" s="1774"/>
      <c r="T54" s="1774"/>
    </row>
    <row r="55" spans="2:20" ht="13.5" customHeight="1">
      <c r="B55" s="1392" t="s">
        <v>172</v>
      </c>
      <c r="C55" s="1668" t="s">
        <v>191</v>
      </c>
      <c r="D55" s="699">
        <v>0</v>
      </c>
      <c r="E55" s="699">
        <v>0</v>
      </c>
      <c r="F55" s="699">
        <v>0</v>
      </c>
      <c r="G55" s="700">
        <v>0</v>
      </c>
      <c r="H55" s="765">
        <f t="shared" ref="H55:H62" si="1">SUM(D55:G55)</f>
        <v>0</v>
      </c>
      <c r="I55" s="66"/>
      <c r="J55" s="1777"/>
      <c r="K55" s="1777"/>
      <c r="L55" s="1776"/>
      <c r="M55" s="1775"/>
      <c r="N55" s="1774"/>
      <c r="O55" s="1774"/>
      <c r="P55" s="1774"/>
      <c r="Q55" s="1774"/>
      <c r="R55" s="1774"/>
      <c r="S55" s="1774"/>
      <c r="T55" s="1774"/>
    </row>
    <row r="56" spans="2:20" ht="13.5" customHeight="1">
      <c r="B56" s="1409" t="s">
        <v>173</v>
      </c>
      <c r="C56" s="1666" t="s">
        <v>348</v>
      </c>
      <c r="D56" s="699">
        <v>0</v>
      </c>
      <c r="E56" s="699">
        <v>0</v>
      </c>
      <c r="F56" s="699">
        <v>0</v>
      </c>
      <c r="G56" s="700">
        <v>0</v>
      </c>
      <c r="H56" s="765">
        <f t="shared" si="1"/>
        <v>0</v>
      </c>
      <c r="I56" s="66"/>
      <c r="J56" s="1777" t="s">
        <v>472</v>
      </c>
      <c r="K56" s="1777"/>
      <c r="L56" s="1776">
        <v>0</v>
      </c>
      <c r="M56" s="1775">
        <v>0</v>
      </c>
      <c r="N56" s="1774">
        <v>0</v>
      </c>
      <c r="O56" s="1774"/>
      <c r="P56" s="1774"/>
      <c r="Q56" s="1774"/>
      <c r="R56" s="1774"/>
      <c r="S56" s="1774"/>
      <c r="T56" s="1774"/>
    </row>
    <row r="57" spans="2:20" ht="13.5" customHeight="1">
      <c r="B57" s="1409" t="s">
        <v>174</v>
      </c>
      <c r="C57" s="1666" t="s">
        <v>455</v>
      </c>
      <c r="D57" s="699">
        <v>0</v>
      </c>
      <c r="E57" s="699">
        <v>0</v>
      </c>
      <c r="F57" s="699">
        <v>0</v>
      </c>
      <c r="G57" s="700"/>
      <c r="H57" s="765">
        <f t="shared" si="1"/>
        <v>0</v>
      </c>
      <c r="I57" s="69"/>
      <c r="J57" s="1777"/>
      <c r="K57" s="1777"/>
      <c r="L57" s="1776"/>
      <c r="M57" s="1775"/>
      <c r="N57" s="1774"/>
      <c r="O57" s="1774"/>
      <c r="P57" s="1774"/>
      <c r="Q57" s="1774"/>
      <c r="R57" s="1774"/>
      <c r="S57" s="1774"/>
      <c r="T57" s="1774"/>
    </row>
    <row r="58" spans="2:20" ht="13.5" customHeight="1">
      <c r="B58" s="1409" t="s">
        <v>175</v>
      </c>
      <c r="C58" s="1317" t="s">
        <v>486</v>
      </c>
      <c r="D58" s="699"/>
      <c r="E58" s="699">
        <v>0</v>
      </c>
      <c r="F58" s="699">
        <v>0</v>
      </c>
      <c r="G58" s="700">
        <v>0</v>
      </c>
      <c r="H58" s="765">
        <f t="shared" si="1"/>
        <v>0</v>
      </c>
      <c r="I58" s="69"/>
      <c r="J58" s="1777" t="s">
        <v>473</v>
      </c>
      <c r="K58" s="1777"/>
      <c r="L58" s="1776">
        <v>0</v>
      </c>
      <c r="M58" s="1775">
        <v>0</v>
      </c>
      <c r="N58" s="1774">
        <v>0</v>
      </c>
      <c r="O58" s="1774"/>
      <c r="P58" s="1774"/>
      <c r="Q58" s="1774"/>
      <c r="R58" s="1774"/>
      <c r="S58" s="1774"/>
      <c r="T58" s="1774"/>
    </row>
    <row r="59" spans="2:20" ht="13.5" customHeight="1">
      <c r="B59" s="1409" t="s">
        <v>439</v>
      </c>
      <c r="C59" s="1317" t="s">
        <v>487</v>
      </c>
      <c r="D59" s="699"/>
      <c r="E59" s="699">
        <v>0</v>
      </c>
      <c r="F59" s="699"/>
      <c r="G59" s="700"/>
      <c r="H59" s="765">
        <f t="shared" si="1"/>
        <v>0</v>
      </c>
      <c r="I59" s="69"/>
      <c r="J59" s="1777"/>
      <c r="K59" s="1777"/>
      <c r="L59" s="1776"/>
      <c r="M59" s="1775"/>
      <c r="N59" s="1774"/>
      <c r="O59" s="1774"/>
      <c r="P59" s="1774"/>
      <c r="Q59" s="1774"/>
      <c r="R59" s="1774"/>
      <c r="S59" s="1774"/>
      <c r="T59" s="1774"/>
    </row>
    <row r="60" spans="2:20" ht="13.5" customHeight="1">
      <c r="B60" s="1409" t="s">
        <v>467</v>
      </c>
      <c r="C60" s="364" t="s">
        <v>318</v>
      </c>
      <c r="D60" s="660">
        <f>'AT1 Avustus, alv-laskenta '!C48</f>
        <v>0</v>
      </c>
      <c r="E60" s="660">
        <f>'AT1 Avustus, alv-laskenta '!D48</f>
        <v>0</v>
      </c>
      <c r="F60" s="660">
        <f>'AT1 Avustus, alv-laskenta '!E48</f>
        <v>0</v>
      </c>
      <c r="G60" s="660">
        <f>'AT1 Avustus, alv-laskenta '!F48</f>
        <v>0</v>
      </c>
      <c r="H60" s="765">
        <f t="shared" si="1"/>
        <v>0</v>
      </c>
      <c r="I60" s="66"/>
      <c r="J60" s="1777" t="s">
        <v>474</v>
      </c>
      <c r="K60" s="1777"/>
      <c r="L60" s="1776">
        <v>0</v>
      </c>
      <c r="M60" s="1775">
        <v>0</v>
      </c>
      <c r="N60" s="1774">
        <v>0</v>
      </c>
      <c r="O60" s="1774"/>
      <c r="P60" s="1774"/>
      <c r="Q60" s="1774"/>
      <c r="R60" s="1774"/>
      <c r="S60" s="1774"/>
      <c r="T60" s="1774"/>
    </row>
    <row r="61" spans="2:20" ht="13.5" customHeight="1">
      <c r="B61" s="1409" t="s">
        <v>478</v>
      </c>
      <c r="C61" s="364" t="s">
        <v>477</v>
      </c>
      <c r="D61" s="660">
        <f>'AT1 Avustus, alv-laskenta '!C49</f>
        <v>0</v>
      </c>
      <c r="E61" s="660">
        <f>'AT1 Avustus, alv-laskenta '!D49</f>
        <v>0</v>
      </c>
      <c r="F61" s="660">
        <f>'AT1 Avustus, alv-laskenta '!E49</f>
        <v>0</v>
      </c>
      <c r="G61" s="660">
        <f>'AT1 Avustus, alv-laskenta '!F49</f>
        <v>0</v>
      </c>
      <c r="H61" s="765">
        <f t="shared" si="1"/>
        <v>0</v>
      </c>
      <c r="I61" s="66"/>
      <c r="J61" s="1777"/>
      <c r="K61" s="1777"/>
      <c r="L61" s="1776"/>
      <c r="M61" s="1775"/>
      <c r="N61" s="1774"/>
      <c r="O61" s="1774"/>
      <c r="P61" s="1774"/>
      <c r="Q61" s="1774"/>
      <c r="R61" s="1774"/>
      <c r="S61" s="1774"/>
      <c r="T61" s="1774"/>
    </row>
    <row r="62" spans="2:20" ht="13.5" customHeight="1">
      <c r="B62" s="538" t="s">
        <v>479</v>
      </c>
      <c r="C62" s="1395" t="s">
        <v>320</v>
      </c>
      <c r="D62" s="1404">
        <f>D42</f>
        <v>0</v>
      </c>
      <c r="E62" s="1404">
        <f>E42</f>
        <v>0</v>
      </c>
      <c r="F62" s="1404">
        <f>F42</f>
        <v>0</v>
      </c>
      <c r="G62" s="1404">
        <f>G42</f>
        <v>0</v>
      </c>
      <c r="H62" s="1404">
        <f t="shared" si="1"/>
        <v>0</v>
      </c>
      <c r="I62" s="66"/>
      <c r="J62" s="378"/>
      <c r="K62" s="320"/>
      <c r="L62" s="320"/>
      <c r="M62" s="320"/>
      <c r="N62" s="320"/>
      <c r="O62" s="320"/>
      <c r="P62" s="320"/>
      <c r="Q62" s="320"/>
      <c r="R62" s="320"/>
      <c r="S62" s="320"/>
      <c r="T62" s="464"/>
    </row>
    <row r="63" spans="2:20" ht="3" customHeight="1">
      <c r="B63" s="79"/>
      <c r="C63" s="73"/>
      <c r="D63" s="79"/>
      <c r="E63" s="79"/>
      <c r="F63" s="79"/>
      <c r="G63" s="79"/>
      <c r="H63" s="705"/>
      <c r="I63" s="66"/>
      <c r="J63" s="417"/>
      <c r="K63" s="167"/>
      <c r="L63" s="167"/>
      <c r="M63" s="167"/>
      <c r="N63" s="167"/>
      <c r="O63" s="167"/>
      <c r="P63" s="167"/>
      <c r="Q63" s="167"/>
      <c r="R63" s="167"/>
      <c r="S63" s="167"/>
      <c r="T63" s="341"/>
    </row>
    <row r="64" spans="2:20" ht="15" customHeight="1">
      <c r="B64" s="538" t="s">
        <v>752</v>
      </c>
      <c r="C64" s="72" t="s">
        <v>109</v>
      </c>
      <c r="D64" s="706"/>
      <c r="E64" s="706"/>
      <c r="F64" s="706"/>
      <c r="G64" s="706"/>
      <c r="H64" s="707">
        <v>0</v>
      </c>
      <c r="I64" s="66"/>
      <c r="J64" s="1333"/>
      <c r="K64" s="182"/>
      <c r="L64" s="182"/>
      <c r="M64" s="465"/>
      <c r="N64" s="465"/>
      <c r="O64" s="465"/>
      <c r="P64" s="465"/>
      <c r="Q64" s="465"/>
      <c r="R64" s="465"/>
      <c r="S64" s="465"/>
      <c r="T64" s="467"/>
    </row>
    <row r="65" spans="2:12" ht="10.199999999999999" customHeight="1"/>
    <row r="66" spans="2:12">
      <c r="B66" s="74">
        <f>OHJE!D26</f>
        <v>0</v>
      </c>
      <c r="C66" s="450" t="str">
        <f>IF(D50&lt;0,"12. TULORAHOITUS OLTAVA VÄHINTÄÄN 0!",IF(E50&lt;0,"12. TULORAHOITUS OLTAVA VÄHINTÄÄN 0!",IF(F50&lt;0,"12. TULORAHOITUS OLTAVA VÄHINTÄÄN 0!",IF(G50&lt;0,"12. TULORAHOITUS OLTAVA VÄHINTÄÄN 0!",""))))</f>
        <v/>
      </c>
      <c r="D66" s="50"/>
      <c r="E66" s="1746" t="str">
        <f>OHJE!I5</f>
        <v>Yritystulkin tarjoaa</v>
      </c>
      <c r="F66" s="1746"/>
      <c r="G66" s="1746"/>
      <c r="H66" s="1746"/>
      <c r="J66"/>
    </row>
    <row r="67" spans="2:12">
      <c r="B67" s="1750" t="str">
        <f>OHJE!G24</f>
        <v>YT22 Toimivan yrityksen tulossuunnitelma</v>
      </c>
      <c r="C67" s="1750"/>
      <c r="D67" s="1757" t="str">
        <f>OHJE!H7</f>
        <v>Invest Lapua</v>
      </c>
      <c r="E67" s="1757"/>
      <c r="F67" s="1757"/>
      <c r="G67" s="1757"/>
      <c r="H67" s="1757"/>
      <c r="J67"/>
      <c r="L67" s="1779">
        <v>0</v>
      </c>
    </row>
    <row r="68" spans="2:12">
      <c r="B68" s="1750"/>
      <c r="C68" s="1750"/>
      <c r="D68" s="992"/>
      <c r="E68" s="992"/>
      <c r="F68" s="992"/>
      <c r="G68" s="992"/>
      <c r="H68" s="992"/>
      <c r="L68" s="1779"/>
    </row>
    <row r="69" spans="2:12" ht="14.15">
      <c r="B69" s="75"/>
      <c r="C69" s="76"/>
    </row>
    <row r="70" spans="2:12">
      <c r="B70" s="396" t="s">
        <v>332</v>
      </c>
    </row>
    <row r="71" spans="2:12">
      <c r="B71" s="50" t="s">
        <v>333</v>
      </c>
    </row>
    <row r="72" spans="2:12">
      <c r="B72" s="50" t="s">
        <v>334</v>
      </c>
    </row>
    <row r="73" spans="2:12" ht="14.15">
      <c r="B73" s="75"/>
      <c r="C73" s="76"/>
    </row>
    <row r="74" spans="2:12" ht="14.15">
      <c r="B74" s="75"/>
      <c r="C74" s="76"/>
    </row>
    <row r="75" spans="2:12" ht="14.15">
      <c r="B75" s="75"/>
      <c r="C75" s="76"/>
    </row>
    <row r="76" spans="2:12" ht="14.15">
      <c r="B76" s="75"/>
      <c r="C76" s="76"/>
    </row>
    <row r="77" spans="2:12" ht="14.15">
      <c r="B77" s="75"/>
      <c r="C77" s="76"/>
    </row>
    <row r="78" spans="2:12">
      <c r="B78" s="396"/>
    </row>
    <row r="79" spans="2:12">
      <c r="B79" s="50"/>
    </row>
    <row r="80" spans="2:12">
      <c r="B80" s="50"/>
    </row>
  </sheetData>
  <sheetProtection algorithmName="SHA-512" hashValue="5qC9w7OrsU6FQIoiz3HDS8DmYZSyaucqXUQYgub72ybtTV44Hl40EdUgMhUCAi+rPo+Kd1Y1vuYmbq0vSlRybw==" saltValue="A2kHxknCBGB9x4vfvjtE1g==" spinCount="100000" sheet="1" objects="1" scenarios="1"/>
  <mergeCells count="38">
    <mergeCell ref="L67:L68"/>
    <mergeCell ref="J58:K59"/>
    <mergeCell ref="L58:L59"/>
    <mergeCell ref="M58:M59"/>
    <mergeCell ref="N58:T59"/>
    <mergeCell ref="J60:K61"/>
    <mergeCell ref="L60:L61"/>
    <mergeCell ref="M60:M61"/>
    <mergeCell ref="N60:T61"/>
    <mergeCell ref="J3:K3"/>
    <mergeCell ref="J54:K55"/>
    <mergeCell ref="L54:L55"/>
    <mergeCell ref="M54:M55"/>
    <mergeCell ref="N54:T55"/>
    <mergeCell ref="N56:T57"/>
    <mergeCell ref="M56:M57"/>
    <mergeCell ref="L56:L57"/>
    <mergeCell ref="J56:K57"/>
    <mergeCell ref="B9:D9"/>
    <mergeCell ref="E5:F5"/>
    <mergeCell ref="B15:C16"/>
    <mergeCell ref="B44:C45"/>
    <mergeCell ref="B7:D7"/>
    <mergeCell ref="E7:H7"/>
    <mergeCell ref="H44:H45"/>
    <mergeCell ref="E9:H9"/>
    <mergeCell ref="E11:H11"/>
    <mergeCell ref="E10:H10"/>
    <mergeCell ref="E12:H12"/>
    <mergeCell ref="E13:H13"/>
    <mergeCell ref="B11:D13"/>
    <mergeCell ref="B67:C67"/>
    <mergeCell ref="B68:C68"/>
    <mergeCell ref="H15:H16"/>
    <mergeCell ref="B53:C53"/>
    <mergeCell ref="B46:C46"/>
    <mergeCell ref="D67:H67"/>
    <mergeCell ref="E66:H66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colBreaks count="1" manualBreakCount="1">
    <brk id="8" min="2" max="63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ul3">
    <tabColor rgb="FF0152A1"/>
  </sheetPr>
  <dimension ref="A1:AF129"/>
  <sheetViews>
    <sheetView showGridLines="0" showZeros="0" defaultGridColor="0" colorId="55" zoomScaleNormal="100" workbookViewId="0">
      <selection activeCell="E8" sqref="E8:F8"/>
    </sheetView>
  </sheetViews>
  <sheetFormatPr defaultRowHeight="12.45"/>
  <cols>
    <col min="2" max="2" width="2.84375" style="38" customWidth="1"/>
    <col min="3" max="3" width="34.3046875" customWidth="1"/>
    <col min="4" max="4" width="5.3046875" customWidth="1"/>
    <col min="5" max="5" width="12.3046875" customWidth="1"/>
    <col min="6" max="6" width="5.3046875" customWidth="1"/>
    <col min="7" max="7" width="12.3046875" customWidth="1"/>
    <col min="8" max="8" width="5.69140625" style="38" customWidth="1"/>
    <col min="9" max="9" width="12.3046875" style="4" customWidth="1"/>
    <col min="10" max="10" width="5.69140625" style="38" customWidth="1"/>
    <col min="11" max="11" width="12.3046875" customWidth="1"/>
    <col min="12" max="12" width="5.69140625" style="38" customWidth="1"/>
    <col min="13" max="13" width="12.3046875" customWidth="1"/>
    <col min="14" max="14" width="5.69140625" style="38" customWidth="1"/>
    <col min="15" max="15" width="12.3046875" customWidth="1"/>
    <col min="16" max="16" width="5.69140625" style="38" customWidth="1"/>
    <col min="17" max="17" width="3.3046875" customWidth="1"/>
  </cols>
  <sheetData>
    <row r="1" spans="1:32" ht="30.45" customHeight="1"/>
    <row r="2" spans="1:32" ht="15.45">
      <c r="A2" s="1524" t="s">
        <v>740</v>
      </c>
      <c r="C2" s="22" t="s">
        <v>104</v>
      </c>
      <c r="G2" s="46"/>
      <c r="R2" s="22" t="s">
        <v>104</v>
      </c>
    </row>
    <row r="3" spans="1:32" ht="15.45">
      <c r="G3" s="548"/>
      <c r="I3" s="414"/>
      <c r="K3" s="413"/>
    </row>
    <row r="4" spans="1:32" ht="20.25" customHeight="1">
      <c r="B4" s="46" t="s">
        <v>742</v>
      </c>
      <c r="C4" s="43"/>
      <c r="D4" s="43"/>
      <c r="E4" s="43"/>
      <c r="F4" s="43"/>
      <c r="G4" s="43" t="s">
        <v>743</v>
      </c>
      <c r="H4" s="56"/>
      <c r="I4" s="337"/>
      <c r="K4" s="46"/>
      <c r="M4" s="43"/>
      <c r="N4" s="43"/>
      <c r="O4" s="43" t="s">
        <v>93</v>
      </c>
      <c r="P4" s="56"/>
    </row>
    <row r="5" spans="1:32" ht="15" customHeight="1">
      <c r="B5" s="1764">
        <f>'1. T1 INVESTOINTISUUN.'!B7</f>
        <v>0</v>
      </c>
      <c r="C5" s="1764"/>
      <c r="D5" s="1764"/>
      <c r="E5" s="1764"/>
      <c r="F5" s="550"/>
      <c r="G5" s="1764">
        <f>'1. T1 INVESTOINTISUUN.'!B9</f>
        <v>0</v>
      </c>
      <c r="H5" s="1764"/>
      <c r="I5" s="1764"/>
      <c r="J5" s="1764"/>
      <c r="K5" s="1764"/>
      <c r="L5" s="1764"/>
      <c r="M5" s="495"/>
      <c r="N5" s="549"/>
      <c r="O5" s="1820">
        <f>'1. T1 INVESTOINTISUUN.'!E4</f>
        <v>0</v>
      </c>
      <c r="P5" s="1820"/>
      <c r="R5" s="1319" t="s">
        <v>408</v>
      </c>
      <c r="S5" s="1334"/>
      <c r="T5" s="1335"/>
      <c r="U5" s="1334"/>
      <c r="V5" s="1334"/>
      <c r="W5" s="1334"/>
      <c r="X5" s="1334"/>
      <c r="Y5" s="1334"/>
      <c r="Z5" s="1336"/>
      <c r="AA5" s="1336"/>
      <c r="AB5" s="1336"/>
      <c r="AC5" s="1336"/>
      <c r="AD5" s="1336"/>
      <c r="AE5" s="1336"/>
      <c r="AF5" s="1337"/>
    </row>
    <row r="6" spans="1:32" ht="12.75" customHeight="1">
      <c r="R6" s="1821"/>
      <c r="S6" s="1822"/>
      <c r="T6" s="320"/>
      <c r="U6" s="320"/>
      <c r="V6" s="320"/>
      <c r="W6" s="320"/>
      <c r="X6" s="320"/>
      <c r="Y6" s="320"/>
      <c r="Z6" s="320"/>
      <c r="AA6" s="320"/>
      <c r="AB6" s="320"/>
      <c r="AC6" s="320"/>
      <c r="AD6" s="320"/>
      <c r="AE6" s="320"/>
      <c r="AF6" s="464"/>
    </row>
    <row r="7" spans="1:32">
      <c r="A7" s="51"/>
      <c r="B7" s="1824" t="s">
        <v>0</v>
      </c>
      <c r="C7" s="1825"/>
      <c r="D7" s="1826"/>
      <c r="E7" s="1786" t="s">
        <v>101</v>
      </c>
      <c r="F7" s="1787"/>
      <c r="G7" s="1786" t="s">
        <v>101</v>
      </c>
      <c r="H7" s="1787"/>
      <c r="I7" s="1786" t="str">
        <f>'1. T1 INVESTOINTISUUN.'!D15</f>
        <v>Ennuste 1</v>
      </c>
      <c r="J7" s="1787"/>
      <c r="K7" s="1786" t="s">
        <v>98</v>
      </c>
      <c r="L7" s="1787"/>
      <c r="M7" s="1786" t="s">
        <v>100</v>
      </c>
      <c r="N7" s="1787"/>
      <c r="O7" s="1786" t="s">
        <v>257</v>
      </c>
      <c r="P7" s="1790"/>
      <c r="Q7" s="4"/>
      <c r="R7" s="378"/>
      <c r="S7" s="320"/>
      <c r="T7" s="320"/>
      <c r="U7" s="320"/>
      <c r="V7" s="320"/>
      <c r="W7" s="320"/>
      <c r="X7" s="320"/>
      <c r="Y7" s="320"/>
      <c r="Z7" s="320"/>
      <c r="AA7" s="320"/>
      <c r="AB7" s="320"/>
      <c r="AC7" s="320"/>
      <c r="AD7" s="320"/>
      <c r="AE7" s="320"/>
      <c r="AF7" s="464"/>
    </row>
    <row r="8" spans="1:32">
      <c r="B8" s="1827"/>
      <c r="C8" s="1828"/>
      <c r="D8" s="1829"/>
      <c r="E8" s="1793">
        <v>2023</v>
      </c>
      <c r="F8" s="1794"/>
      <c r="G8" s="1793">
        <v>2024</v>
      </c>
      <c r="H8" s="1794"/>
      <c r="I8" s="1793">
        <f>'1. T1 INVESTOINTISUUN.'!D16</f>
        <v>2025</v>
      </c>
      <c r="J8" s="1794"/>
      <c r="K8" s="1791">
        <f>I8+1</f>
        <v>2026</v>
      </c>
      <c r="L8" s="1797"/>
      <c r="M8" s="1791">
        <f>K8+1</f>
        <v>2027</v>
      </c>
      <c r="N8" s="1797"/>
      <c r="O8" s="1791">
        <f>M8+1</f>
        <v>2028</v>
      </c>
      <c r="P8" s="1792"/>
      <c r="Q8" s="4"/>
      <c r="R8" s="378"/>
      <c r="S8" s="320"/>
      <c r="T8" s="320"/>
      <c r="U8" s="320"/>
      <c r="V8" s="320"/>
      <c r="W8" s="320"/>
      <c r="X8" s="320"/>
      <c r="Y8" s="320"/>
      <c r="Z8" s="320"/>
      <c r="AA8" s="320"/>
      <c r="AB8" s="320"/>
      <c r="AC8" s="320"/>
      <c r="AD8" s="320"/>
      <c r="AE8" s="320"/>
      <c r="AF8" s="464"/>
    </row>
    <row r="9" spans="1:32" ht="12.9" thickBot="1">
      <c r="A9" s="51"/>
      <c r="B9" s="1412"/>
      <c r="C9" s="1182"/>
      <c r="D9" s="1183"/>
      <c r="E9" s="1184" t="s">
        <v>17</v>
      </c>
      <c r="F9" s="1185" t="s">
        <v>14</v>
      </c>
      <c r="G9" s="1184" t="s">
        <v>17</v>
      </c>
      <c r="H9" s="1185" t="s">
        <v>14</v>
      </c>
      <c r="I9" s="1184" t="s">
        <v>17</v>
      </c>
      <c r="J9" s="1185" t="s">
        <v>14</v>
      </c>
      <c r="K9" s="1184" t="s">
        <v>17</v>
      </c>
      <c r="L9" s="1185" t="s">
        <v>14</v>
      </c>
      <c r="M9" s="1184" t="s">
        <v>17</v>
      </c>
      <c r="N9" s="1185" t="s">
        <v>14</v>
      </c>
      <c r="O9" s="1184" t="s">
        <v>17</v>
      </c>
      <c r="P9" s="1413" t="s">
        <v>14</v>
      </c>
      <c r="Q9" s="4"/>
      <c r="R9" s="378"/>
      <c r="S9" s="320"/>
      <c r="T9" s="320"/>
      <c r="U9" s="320"/>
      <c r="V9" s="320"/>
      <c r="W9" s="320"/>
      <c r="X9" s="320"/>
      <c r="Y9" s="320"/>
      <c r="Z9" s="320"/>
      <c r="AA9" s="320"/>
      <c r="AB9" s="320"/>
      <c r="AC9" s="320"/>
      <c r="AD9" s="320"/>
      <c r="AE9" s="320"/>
      <c r="AF9" s="464"/>
    </row>
    <row r="10" spans="1:32">
      <c r="A10" s="2"/>
      <c r="B10" s="1391"/>
      <c r="C10" s="348"/>
      <c r="D10" s="1044" t="s">
        <v>392</v>
      </c>
      <c r="E10" s="1784">
        <v>12</v>
      </c>
      <c r="F10" s="1795"/>
      <c r="G10" s="1784" t="s">
        <v>393</v>
      </c>
      <c r="H10" s="1795"/>
      <c r="I10" s="1784">
        <v>12</v>
      </c>
      <c r="J10" s="1795"/>
      <c r="K10" s="1784" t="s">
        <v>393</v>
      </c>
      <c r="L10" s="1795"/>
      <c r="M10" s="1784" t="s">
        <v>393</v>
      </c>
      <c r="N10" s="1795"/>
      <c r="O10" s="1784" t="s">
        <v>393</v>
      </c>
      <c r="P10" s="1785"/>
      <c r="Q10" s="4"/>
      <c r="R10" s="1338" t="s">
        <v>516</v>
      </c>
      <c r="S10" s="151"/>
      <c r="T10" s="151"/>
      <c r="U10" s="151"/>
      <c r="V10" s="320"/>
      <c r="W10" s="320"/>
      <c r="X10" s="320"/>
      <c r="Y10" s="320"/>
      <c r="Z10" s="320"/>
      <c r="AA10" s="320"/>
      <c r="AB10" s="320"/>
      <c r="AC10" s="320"/>
      <c r="AD10" s="320"/>
      <c r="AE10" s="320"/>
      <c r="AF10" s="464"/>
    </row>
    <row r="11" spans="1:32" s="51" customFormat="1" ht="20.149999999999999" customHeight="1">
      <c r="B11" s="1414" t="s">
        <v>2</v>
      </c>
      <c r="C11" s="1043" t="s">
        <v>77</v>
      </c>
      <c r="D11" s="335" t="s">
        <v>89</v>
      </c>
      <c r="E11" s="960">
        <v>0</v>
      </c>
      <c r="F11" s="321">
        <v>0</v>
      </c>
      <c r="G11" s="978">
        <v>0</v>
      </c>
      <c r="H11" s="321">
        <v>0</v>
      </c>
      <c r="I11" s="961">
        <f>'6. E2 LIIKEVAIHTO '!E10</f>
        <v>0</v>
      </c>
      <c r="J11" s="321">
        <v>0</v>
      </c>
      <c r="K11" s="961">
        <f>'6. E2 LIIKEVAIHTO '!F10</f>
        <v>0</v>
      </c>
      <c r="L11" s="321">
        <v>0</v>
      </c>
      <c r="M11" s="961">
        <f>'6. E2 LIIKEVAIHTO '!G10</f>
        <v>0</v>
      </c>
      <c r="N11" s="321">
        <v>0</v>
      </c>
      <c r="O11" s="961">
        <f>'6. E2 LIIKEVAIHTO '!H10</f>
        <v>0</v>
      </c>
      <c r="P11" s="1415">
        <v>0</v>
      </c>
      <c r="Q11" s="167"/>
      <c r="R11" s="287">
        <f>I8</f>
        <v>2025</v>
      </c>
      <c r="S11" s="287">
        <f>K8</f>
        <v>2026</v>
      </c>
      <c r="T11" s="287">
        <f>M$8</f>
        <v>2027</v>
      </c>
      <c r="U11" s="287">
        <f>O$8</f>
        <v>2028</v>
      </c>
      <c r="V11" s="383"/>
      <c r="W11" s="320"/>
      <c r="X11" s="320"/>
      <c r="Y11" s="320"/>
      <c r="Z11" s="320"/>
      <c r="AA11" s="320"/>
      <c r="AB11" s="320"/>
      <c r="AC11" s="320"/>
      <c r="AD11" s="320"/>
      <c r="AE11" s="320"/>
      <c r="AF11" s="464"/>
    </row>
    <row r="12" spans="1:32" s="51" customFormat="1" ht="14.15" customHeight="1">
      <c r="A12"/>
      <c r="B12" s="1416" t="s">
        <v>3</v>
      </c>
      <c r="C12" s="322" t="s">
        <v>80</v>
      </c>
      <c r="D12" s="323" t="s">
        <v>89</v>
      </c>
      <c r="E12" s="962">
        <v>0</v>
      </c>
      <c r="F12" s="324">
        <v>0</v>
      </c>
      <c r="G12" s="900">
        <v>0</v>
      </c>
      <c r="H12" s="324">
        <v>0</v>
      </c>
      <c r="I12" s="900">
        <f>G12+G12*Q12</f>
        <v>0</v>
      </c>
      <c r="J12" s="324"/>
      <c r="K12" s="900">
        <f>I12+I12*S12</f>
        <v>0</v>
      </c>
      <c r="L12" s="324"/>
      <c r="M12" s="900">
        <f>K12+K12*T12</f>
        <v>0</v>
      </c>
      <c r="N12" s="324"/>
      <c r="O12" s="900">
        <f>M12+M12*U12</f>
        <v>0</v>
      </c>
      <c r="P12" s="1417"/>
      <c r="Q12" s="167"/>
      <c r="R12" s="382">
        <v>0</v>
      </c>
      <c r="S12" s="382">
        <f>R12</f>
        <v>0</v>
      </c>
      <c r="T12" s="382">
        <f>S12</f>
        <v>0</v>
      </c>
      <c r="U12" s="382">
        <f>T12</f>
        <v>0</v>
      </c>
      <c r="V12" s="383"/>
      <c r="W12" s="320"/>
      <c r="X12" s="320"/>
      <c r="Y12" s="320"/>
      <c r="Z12" s="320"/>
      <c r="AA12" s="320"/>
      <c r="AB12" s="320"/>
      <c r="AC12" s="320"/>
      <c r="AD12" s="320"/>
      <c r="AE12" s="320"/>
      <c r="AF12" s="464"/>
    </row>
    <row r="13" spans="1:32" s="51" customFormat="1" ht="14.15" customHeight="1">
      <c r="A13"/>
      <c r="B13" s="1416" t="s">
        <v>4</v>
      </c>
      <c r="C13" s="322" t="s">
        <v>421</v>
      </c>
      <c r="D13" s="323" t="s">
        <v>89</v>
      </c>
      <c r="E13" s="962">
        <v>0</v>
      </c>
      <c r="F13" s="324"/>
      <c r="G13" s="900">
        <v>0</v>
      </c>
      <c r="H13" s="324"/>
      <c r="I13" s="900"/>
      <c r="J13" s="324"/>
      <c r="K13" s="900"/>
      <c r="L13" s="324"/>
      <c r="M13" s="900"/>
      <c r="N13" s="324"/>
      <c r="O13" s="900"/>
      <c r="P13" s="1417"/>
      <c r="Q13" s="167"/>
      <c r="R13" s="1339"/>
      <c r="S13" s="496"/>
      <c r="T13" s="496"/>
      <c r="U13" s="496"/>
      <c r="V13" s="320"/>
      <c r="W13" s="320"/>
      <c r="X13" s="320"/>
      <c r="Y13" s="320"/>
      <c r="Z13" s="320"/>
      <c r="AA13" s="320"/>
      <c r="AB13" s="320"/>
      <c r="AC13" s="320"/>
      <c r="AD13" s="320"/>
      <c r="AE13" s="320"/>
      <c r="AF13" s="464"/>
    </row>
    <row r="14" spans="1:32" s="47" customFormat="1" ht="14.15" customHeight="1">
      <c r="A14" s="51"/>
      <c r="B14" s="1416" t="s">
        <v>5</v>
      </c>
      <c r="C14" s="325" t="s">
        <v>84</v>
      </c>
      <c r="D14" s="326"/>
      <c r="E14" s="963">
        <f>SUM(E11:E13)</f>
        <v>0</v>
      </c>
      <c r="F14" s="327">
        <v>100</v>
      </c>
      <c r="G14" s="964">
        <f>SUM(G11:G13)</f>
        <v>0</v>
      </c>
      <c r="H14" s="327">
        <v>100</v>
      </c>
      <c r="I14" s="964">
        <f>SUM(I11:I13)</f>
        <v>0</v>
      </c>
      <c r="J14" s="327">
        <v>100</v>
      </c>
      <c r="K14" s="964">
        <f>SUM(K11:K13)</f>
        <v>0</v>
      </c>
      <c r="L14" s="327">
        <v>100</v>
      </c>
      <c r="M14" s="964">
        <f>SUM(M11:M13)</f>
        <v>0</v>
      </c>
      <c r="N14" s="327">
        <v>100</v>
      </c>
      <c r="O14" s="964">
        <f>SUM(O11:O13)</f>
        <v>0</v>
      </c>
      <c r="P14" s="755">
        <v>100</v>
      </c>
      <c r="Q14" s="167"/>
      <c r="R14" s="378"/>
      <c r="S14" s="320"/>
      <c r="T14" s="320"/>
      <c r="U14" s="320"/>
      <c r="V14" s="320"/>
      <c r="W14" s="320"/>
      <c r="X14" s="320"/>
      <c r="Y14" s="320"/>
      <c r="Z14" s="320"/>
      <c r="AA14" s="320"/>
      <c r="AB14" s="320"/>
      <c r="AC14" s="320"/>
      <c r="AD14" s="320"/>
      <c r="AE14" s="320"/>
      <c r="AF14" s="464"/>
    </row>
    <row r="15" spans="1:32" s="51" customFormat="1" ht="14.15" customHeight="1">
      <c r="A15"/>
      <c r="B15" s="1416" t="s">
        <v>6</v>
      </c>
      <c r="C15" s="322" t="s">
        <v>755</v>
      </c>
      <c r="D15" s="323" t="s">
        <v>90</v>
      </c>
      <c r="E15" s="962">
        <v>0</v>
      </c>
      <c r="F15" s="328">
        <f>-IF(E$14&gt;0,E15/E$14*100,0)</f>
        <v>0</v>
      </c>
      <c r="G15" s="900">
        <v>0</v>
      </c>
      <c r="H15" s="328">
        <f>-IF(G$14&gt;0,G15/G$14*100,0)</f>
        <v>0</v>
      </c>
      <c r="I15" s="895">
        <f>-IF('1. T1 INVESTOINTISUUN.'!D40&gt;0,'6. E2 LIIKEVAIHTO '!E11+('3. T3 TASE '!H40*'2. &amp; 7. T2 TULOSSUUN. '!I11-'3. T3 TASE '!G39),'6. E2 LIIKEVAIHTO '!E11)</f>
        <v>0</v>
      </c>
      <c r="J15" s="328">
        <f>-IF(I$14&gt;0,I15/I$14*100,0)</f>
        <v>0</v>
      </c>
      <c r="K15" s="895">
        <f>-'6. E2 LIIKEVAIHTO '!F11</f>
        <v>0</v>
      </c>
      <c r="L15" s="328">
        <f>-IF(K$14&gt;0,K15/K$14*100,0)</f>
        <v>0</v>
      </c>
      <c r="M15" s="895">
        <f>-'6. E2 LIIKEVAIHTO '!G11</f>
        <v>0</v>
      </c>
      <c r="N15" s="328">
        <f>-IF(M$14&gt;0,M15/M$14*100,0)</f>
        <v>0</v>
      </c>
      <c r="O15" s="895">
        <f>-'6. E2 LIIKEVAIHTO '!H11</f>
        <v>0</v>
      </c>
      <c r="P15" s="1418">
        <f>-IF(O$14&gt;0,O15/O$14*100,0)</f>
        <v>0</v>
      </c>
      <c r="Q15" s="167"/>
      <c r="R15" s="378"/>
      <c r="S15" s="320"/>
      <c r="T15" s="320"/>
      <c r="U15" s="320"/>
      <c r="V15" s="320"/>
      <c r="W15" s="320"/>
      <c r="X15" s="320"/>
      <c r="Y15" s="320"/>
      <c r="Z15" s="320"/>
      <c r="AA15" s="320"/>
      <c r="AB15" s="320"/>
      <c r="AC15" s="320"/>
      <c r="AD15" s="320"/>
      <c r="AE15" s="320"/>
      <c r="AF15" s="464"/>
    </row>
    <row r="16" spans="1:32" s="51" customFormat="1" ht="14.15" customHeight="1">
      <c r="B16" s="1416" t="s">
        <v>7</v>
      </c>
      <c r="C16" s="322" t="s">
        <v>82</v>
      </c>
      <c r="D16" s="323" t="s">
        <v>90</v>
      </c>
      <c r="E16" s="962">
        <v>0</v>
      </c>
      <c r="F16" s="328">
        <f>-IF(E$14&gt;0,E16/E$14*100,0)</f>
        <v>0</v>
      </c>
      <c r="G16" s="900">
        <v>0</v>
      </c>
      <c r="H16" s="328">
        <f>-IF(G$14&gt;0,G16/G$14*100,0)</f>
        <v>0</v>
      </c>
      <c r="I16" s="895">
        <f>-J16*I14/100</f>
        <v>0</v>
      </c>
      <c r="J16" s="635">
        <f>H16</f>
        <v>0</v>
      </c>
      <c r="K16" s="895">
        <f>-L16*K14/100</f>
        <v>0</v>
      </c>
      <c r="L16" s="635">
        <f>J16</f>
        <v>0</v>
      </c>
      <c r="M16" s="895">
        <f>-N16*M14/100</f>
        <v>0</v>
      </c>
      <c r="N16" s="635">
        <f>L16</f>
        <v>0</v>
      </c>
      <c r="O16" s="895">
        <f>-P16*O14/100</f>
        <v>0</v>
      </c>
      <c r="P16" s="1419">
        <f>N16</f>
        <v>0</v>
      </c>
      <c r="Q16" s="167"/>
      <c r="R16" s="378"/>
      <c r="S16" s="320"/>
      <c r="T16" s="320"/>
      <c r="U16" s="320"/>
      <c r="V16" s="320"/>
      <c r="W16" s="320"/>
      <c r="X16" s="320"/>
      <c r="Y16" s="320"/>
      <c r="Z16" s="320"/>
      <c r="AA16" s="320"/>
      <c r="AB16" s="320"/>
      <c r="AC16" s="320"/>
      <c r="AD16" s="320"/>
      <c r="AE16" s="320"/>
      <c r="AF16" s="464"/>
    </row>
    <row r="17" spans="1:32" s="51" customFormat="1" ht="14.15" customHeight="1">
      <c r="A17" s="2"/>
      <c r="B17" s="1416" t="s">
        <v>8</v>
      </c>
      <c r="C17" s="322" t="s">
        <v>13</v>
      </c>
      <c r="D17" s="323" t="s">
        <v>90</v>
      </c>
      <c r="E17" s="962">
        <v>0</v>
      </c>
      <c r="F17" s="328">
        <f>-IF(E$14&gt;0,E17/E$14*100,0)</f>
        <v>0</v>
      </c>
      <c r="G17" s="900">
        <v>0</v>
      </c>
      <c r="H17" s="328">
        <f>-IF(G$14&gt;0,G17/G$14*100,0)</f>
        <v>0</v>
      </c>
      <c r="I17" s="895">
        <f>-'5. E1 KUSTANNUKSET '!F44-'3. T3 TASE '!H93+'3. T3 TASE '!G93-'3. T3 TASE '!H94+'3. T3 TASE '!G94</f>
        <v>0</v>
      </c>
      <c r="J17" s="328">
        <f>-IF(I$14&gt;0,I17/I$14*100,0)</f>
        <v>0</v>
      </c>
      <c r="K17" s="895">
        <f>-'5. E1 KUSTANNUKSET '!H44-'3. T3 TASE '!I93+'3. T3 TASE '!H93-'3. T3 TASE '!I94+'3. T3 TASE '!H94</f>
        <v>0</v>
      </c>
      <c r="L17" s="328">
        <f>-IF(K$14&gt;0,K17/K$14*100,0)</f>
        <v>0</v>
      </c>
      <c r="M17" s="895">
        <f>-'5. E1 KUSTANNUKSET '!J44-'3. T3 TASE '!J93+'3. T3 TASE '!I93-'3. T3 TASE '!J94+'3. T3 TASE '!I94</f>
        <v>0</v>
      </c>
      <c r="N17" s="328">
        <f>-IF(M$14&gt;0,M17/M$14*100,0)</f>
        <v>0</v>
      </c>
      <c r="O17" s="895">
        <f>-'5. E1 KUSTANNUKSET '!L44-'3. T3 TASE '!K93+'3. T3 TASE '!J93-'3. T3 TASE '!K94+'3. T3 TASE '!J94</f>
        <v>0</v>
      </c>
      <c r="P17" s="1418">
        <f>-IF(O$14&gt;0,O17/O$14*100,0)</f>
        <v>0</v>
      </c>
      <c r="Q17" s="167"/>
      <c r="R17" s="378"/>
      <c r="S17" s="320"/>
      <c r="T17" s="320"/>
      <c r="U17" s="320"/>
      <c r="V17" s="320"/>
      <c r="W17" s="320"/>
      <c r="X17" s="320"/>
      <c r="Y17" s="320"/>
      <c r="Z17" s="320"/>
      <c r="AA17" s="320"/>
      <c r="AB17" s="320"/>
      <c r="AC17" s="320"/>
      <c r="AD17" s="320"/>
      <c r="AE17" s="320"/>
      <c r="AF17" s="464"/>
    </row>
    <row r="18" spans="1:32" s="51" customFormat="1" ht="14.15" customHeight="1">
      <c r="A18"/>
      <c r="B18" s="1416" t="s">
        <v>9</v>
      </c>
      <c r="C18" s="329" t="s">
        <v>83</v>
      </c>
      <c r="D18" s="323" t="s">
        <v>90</v>
      </c>
      <c r="E18" s="962">
        <v>0</v>
      </c>
      <c r="F18" s="328">
        <f>-IF(E$14&gt;0,E18/E$14*100,0)</f>
        <v>0</v>
      </c>
      <c r="G18" s="900">
        <v>0</v>
      </c>
      <c r="H18" s="328">
        <f>-IF(G$14&gt;0,G18/G$14*100,0)</f>
        <v>0</v>
      </c>
      <c r="I18" s="895">
        <f>-'5. E1 KUSTANNUKSET '!F45</f>
        <v>0</v>
      </c>
      <c r="J18" s="328">
        <f>-IF(I$14&gt;0,I18/I$14*100,0)</f>
        <v>0</v>
      </c>
      <c r="K18" s="895">
        <f>-'5. E1 KUSTANNUKSET '!H45</f>
        <v>0</v>
      </c>
      <c r="L18" s="328">
        <f>-IF(K$14&gt;0,K18/K$14*100,0)</f>
        <v>0</v>
      </c>
      <c r="M18" s="895">
        <f>-'5. E1 KUSTANNUKSET '!J45</f>
        <v>0</v>
      </c>
      <c r="N18" s="328">
        <f>-IF(M$14&gt;0,M18/M$14*100,0)</f>
        <v>0</v>
      </c>
      <c r="O18" s="895">
        <f>-'5. E1 KUSTANNUKSET '!L45</f>
        <v>0</v>
      </c>
      <c r="P18" s="1418">
        <f>-IF(O$14&gt;0,O18/O$14*100,0)</f>
        <v>0</v>
      </c>
      <c r="Q18" s="167"/>
      <c r="R18" s="378"/>
      <c r="S18" s="320"/>
      <c r="T18" s="320"/>
      <c r="U18" s="320"/>
      <c r="V18" s="320"/>
      <c r="W18" s="320"/>
      <c r="X18" s="320"/>
      <c r="Y18" s="320"/>
      <c r="Z18" s="320"/>
      <c r="AA18" s="320"/>
      <c r="AB18" s="320"/>
      <c r="AC18" s="320"/>
      <c r="AD18" s="320"/>
      <c r="AE18" s="320"/>
      <c r="AF18" s="464"/>
    </row>
    <row r="19" spans="1:32" s="51" customFormat="1" ht="14.15" customHeight="1">
      <c r="A19"/>
      <c r="B19" s="1416" t="s">
        <v>10</v>
      </c>
      <c r="C19" s="329" t="s">
        <v>699</v>
      </c>
      <c r="D19" s="330" t="s">
        <v>262</v>
      </c>
      <c r="E19" s="962">
        <v>0</v>
      </c>
      <c r="F19" s="328">
        <f>IF(E$14&gt;0,E19/E$14*100,0)</f>
        <v>0</v>
      </c>
      <c r="G19" s="900">
        <v>0</v>
      </c>
      <c r="H19" s="328">
        <f>IF(G$14&gt;0,G19/G$14*100,0)</f>
        <v>0</v>
      </c>
      <c r="I19" s="895">
        <f>'3. T3 TASE '!H39-'3. T3 TASE '!G39</f>
        <v>0</v>
      </c>
      <c r="J19" s="328">
        <f>IF(I$14&gt;0,I19/I$14*100,0)</f>
        <v>0</v>
      </c>
      <c r="K19" s="895">
        <f>'3. T3 TASE '!I39-'3. T3 TASE '!H39</f>
        <v>0</v>
      </c>
      <c r="L19" s="328">
        <f>IF(K$14&gt;0,K19/K$14*100,0)</f>
        <v>0</v>
      </c>
      <c r="M19" s="895">
        <f>'3. T3 TASE '!J39-'3. T3 TASE '!I39</f>
        <v>0</v>
      </c>
      <c r="N19" s="328">
        <f>IF(M$14&gt;0,M19/M$14*100,0)</f>
        <v>0</v>
      </c>
      <c r="O19" s="895">
        <f>'3. T3 TASE '!K39-'3. T3 TASE '!J39</f>
        <v>0</v>
      </c>
      <c r="P19" s="1418">
        <f>IF(O$14&gt;0,O19/O$14*100,0)</f>
        <v>0</v>
      </c>
      <c r="Q19" s="167"/>
      <c r="R19" s="378"/>
      <c r="S19" s="320"/>
      <c r="T19" s="320"/>
      <c r="U19" s="320"/>
      <c r="V19" s="320"/>
      <c r="W19" s="320"/>
      <c r="X19" s="320"/>
      <c r="Y19" s="320"/>
      <c r="Z19" s="320"/>
      <c r="AA19" s="320"/>
      <c r="AB19" s="320"/>
      <c r="AC19" s="320"/>
      <c r="AD19" s="320"/>
      <c r="AE19" s="320"/>
      <c r="AF19" s="464"/>
    </row>
    <row r="20" spans="1:32" s="51" customFormat="1" ht="14.15" customHeight="1">
      <c r="A20"/>
      <c r="B20" s="1416" t="s">
        <v>11</v>
      </c>
      <c r="C20" s="331" t="s">
        <v>85</v>
      </c>
      <c r="D20" s="332"/>
      <c r="E20" s="963">
        <f>SUM(E14:E19)</f>
        <v>0</v>
      </c>
      <c r="F20" s="328">
        <f>IF(E$14&gt;0,E20/E$14*100,0)</f>
        <v>0</v>
      </c>
      <c r="G20" s="964">
        <f>SUM(G14:G19)</f>
        <v>0</v>
      </c>
      <c r="H20" s="328">
        <f>IF(G$14&gt;0,G20/G$14*100,0)</f>
        <v>0</v>
      </c>
      <c r="I20" s="964">
        <f>SUM(I14:I19)</f>
        <v>0</v>
      </c>
      <c r="J20" s="328">
        <f>IF(I$14&gt;0,I20/I$14*100,0)</f>
        <v>0</v>
      </c>
      <c r="K20" s="964">
        <f>SUM(K14:K19)</f>
        <v>0</v>
      </c>
      <c r="L20" s="328">
        <f>IF(K$14&gt;0,K20/K$14*100,0)</f>
        <v>0</v>
      </c>
      <c r="M20" s="964">
        <f>SUM(M14:M19)</f>
        <v>0</v>
      </c>
      <c r="N20" s="328">
        <f>IF(M$14&gt;0,M20/M$14*100,0)</f>
        <v>0</v>
      </c>
      <c r="O20" s="964">
        <f>SUM(O14:O19)</f>
        <v>0</v>
      </c>
      <c r="P20" s="1418">
        <f>IF(O$14&gt;0,O20/O$14*100,0)</f>
        <v>0</v>
      </c>
      <c r="Q20" s="167"/>
      <c r="R20" s="378"/>
      <c r="S20" s="320"/>
      <c r="T20" s="320"/>
      <c r="U20" s="320"/>
      <c r="V20" s="320"/>
      <c r="W20" s="320"/>
      <c r="X20" s="320"/>
      <c r="Y20" s="320"/>
      <c r="Z20" s="320"/>
      <c r="AA20" s="320"/>
      <c r="AB20" s="320"/>
      <c r="AC20" s="320"/>
      <c r="AD20" s="320"/>
      <c r="AE20" s="320"/>
      <c r="AF20" s="464"/>
    </row>
    <row r="21" spans="1:32" s="51" customFormat="1" ht="14.15" customHeight="1">
      <c r="A21"/>
      <c r="B21" s="1416" t="s">
        <v>168</v>
      </c>
      <c r="C21" s="329" t="s">
        <v>362</v>
      </c>
      <c r="D21" s="323" t="s">
        <v>90</v>
      </c>
      <c r="E21" s="962">
        <v>0</v>
      </c>
      <c r="F21" s="328">
        <f>-IF(E$14&gt;0,E21/E$14*100,0)</f>
        <v>0</v>
      </c>
      <c r="G21" s="900">
        <v>0</v>
      </c>
      <c r="H21" s="328">
        <f>-IF(G$14&gt;0,G21/G$14*100,0)</f>
        <v>0</v>
      </c>
      <c r="I21" s="895">
        <f>-('3. T3 TASE '!H17+'3. T3 TASE '!H25+'3. T3 TASE '!H29+'3. T3 TASE '!H33)</f>
        <v>0</v>
      </c>
      <c r="J21" s="328">
        <f>-IF(I$11&gt;0,I21/I$14*100,0)</f>
        <v>0</v>
      </c>
      <c r="K21" s="895">
        <f>-('3. T3 TASE '!I17+'3. T3 TASE '!I25+'3. T3 TASE '!I29+'3. T3 TASE '!I33+'3. T3 TASE '!I16+'3. T3 TASE '!I21+'3. T3 TASE '!I24+'3. T3 TASE '!I28+'3. T3 TASE '!I32)</f>
        <v>0</v>
      </c>
      <c r="L21" s="328">
        <f>-IF(K$11&gt;0,K21/K$14*100,0)</f>
        <v>0</v>
      </c>
      <c r="M21" s="895">
        <f>-('3. T3 TASE '!J17+'3. T3 TASE '!J25+'3. T3 TASE '!J29+'3. T3 TASE '!J33+'3. T3 TASE '!J16+'3. T3 TASE '!J21+'3. T3 TASE '!J24+'3. T3 TASE '!J28+'3. T3 TASE '!J32)</f>
        <v>0</v>
      </c>
      <c r="N21" s="328">
        <f>-IF(M$11&gt;0,M21/M$14*100,0)</f>
        <v>0</v>
      </c>
      <c r="O21" s="895">
        <f>-('3. T3 TASE '!K17+'3. T3 TASE '!K25+'3. T3 TASE '!K29+'3. T3 TASE '!K33+'3. T3 TASE '!K16+'3. T3 TASE '!K21+'3. T3 TASE '!K24+'3. T3 TASE '!K28+'3. T3 TASE '!K32)</f>
        <v>0</v>
      </c>
      <c r="P21" s="1418">
        <f>-IF(O$11&gt;0,O21/O$14*100,0)</f>
        <v>0</v>
      </c>
      <c r="Q21" s="167"/>
      <c r="R21" s="378"/>
      <c r="S21" s="320"/>
      <c r="T21" s="320"/>
      <c r="U21" s="320"/>
      <c r="V21" s="320"/>
      <c r="W21" s="320"/>
      <c r="X21" s="320"/>
      <c r="Y21" s="320"/>
      <c r="Z21" s="320"/>
      <c r="AA21" s="320"/>
      <c r="AB21" s="320"/>
      <c r="AC21" s="320"/>
      <c r="AD21" s="320"/>
      <c r="AE21" s="320"/>
      <c r="AF21" s="464"/>
    </row>
    <row r="22" spans="1:32" s="51" customFormat="1" ht="14.15" customHeight="1">
      <c r="A22"/>
      <c r="B22" s="1416" t="s">
        <v>169</v>
      </c>
      <c r="C22" s="331" t="s">
        <v>363</v>
      </c>
      <c r="D22" s="333"/>
      <c r="E22" s="963">
        <f>SUM(E20:E21)</f>
        <v>0</v>
      </c>
      <c r="F22" s="328">
        <f>IF(E$14&gt;0,E22/E$14*100,0)</f>
        <v>0</v>
      </c>
      <c r="G22" s="964">
        <f>SUM(G20:G21)</f>
        <v>0</v>
      </c>
      <c r="H22" s="328">
        <f>IF(G$14&gt;0,G22/G$14*100,0)</f>
        <v>0</v>
      </c>
      <c r="I22" s="964">
        <f>SUM(I20:I21)</f>
        <v>0</v>
      </c>
      <c r="J22" s="328">
        <f>IF(I$11&gt;0,I22/I$14*100,0)</f>
        <v>0</v>
      </c>
      <c r="K22" s="964">
        <f>SUM(K20:K21)</f>
        <v>0</v>
      </c>
      <c r="L22" s="328">
        <f>IF(K$11&gt;0,K22/K$14*100,0)</f>
        <v>0</v>
      </c>
      <c r="M22" s="964">
        <f>SUM(M20:M21)</f>
        <v>0</v>
      </c>
      <c r="N22" s="328">
        <f>IF(M$11&gt;0,M22/M$14*100,0)</f>
        <v>0</v>
      </c>
      <c r="O22" s="964">
        <f>SUM(O20:O21)</f>
        <v>0</v>
      </c>
      <c r="P22" s="1418">
        <f>IF(O$11&gt;0,O22/O$14*100,0)</f>
        <v>0</v>
      </c>
      <c r="Q22" s="167"/>
      <c r="R22" s="378"/>
      <c r="S22" s="320"/>
      <c r="T22" s="320">
        <v>0</v>
      </c>
      <c r="U22" s="320"/>
      <c r="V22" s="320"/>
      <c r="W22" s="320">
        <v>0</v>
      </c>
      <c r="X22" s="320"/>
      <c r="Y22" s="320"/>
      <c r="Z22" s="320"/>
      <c r="AA22" s="320"/>
      <c r="AB22" s="320"/>
      <c r="AC22" s="320"/>
      <c r="AD22" s="320"/>
      <c r="AE22" s="320"/>
      <c r="AF22" s="464"/>
    </row>
    <row r="23" spans="1:32" s="51" customFormat="1" ht="14.15" customHeight="1">
      <c r="A23"/>
      <c r="B23" s="1416" t="s">
        <v>366</v>
      </c>
      <c r="C23" s="329" t="s">
        <v>97</v>
      </c>
      <c r="D23" s="323" t="s">
        <v>89</v>
      </c>
      <c r="E23" s="962">
        <v>0</v>
      </c>
      <c r="F23" s="328">
        <f>IF(E$14&gt;0,E23/E$14*100,0)</f>
        <v>0</v>
      </c>
      <c r="G23" s="900">
        <v>0</v>
      </c>
      <c r="H23" s="328">
        <f>IF(G$14&gt;0,G23/G$14*100,0)</f>
        <v>0</v>
      </c>
      <c r="I23" s="900">
        <v>0</v>
      </c>
      <c r="J23" s="328">
        <f>IF(I$14&gt;0,I23/I$14*100,0)</f>
        <v>0</v>
      </c>
      <c r="K23" s="900">
        <v>0</v>
      </c>
      <c r="L23" s="328">
        <f>IF(K$14&gt;0,K23/K$14*100,0)</f>
        <v>0</v>
      </c>
      <c r="M23" s="900"/>
      <c r="N23" s="328">
        <f>IF(M$14&gt;0,M23/M$14*100,0)</f>
        <v>0</v>
      </c>
      <c r="O23" s="900"/>
      <c r="P23" s="1418">
        <f>IF(O$14&gt;0,O23/O$14*100,0)</f>
        <v>0</v>
      </c>
      <c r="Q23" s="167"/>
      <c r="R23" s="378"/>
      <c r="S23" s="320"/>
      <c r="T23" s="320"/>
      <c r="U23" s="320"/>
      <c r="V23" s="320"/>
      <c r="W23" s="320"/>
      <c r="X23" s="320"/>
      <c r="Y23" s="320"/>
      <c r="Z23" s="320"/>
      <c r="AA23" s="320"/>
      <c r="AB23" s="320"/>
      <c r="AC23" s="320"/>
      <c r="AD23" s="320"/>
      <c r="AE23" s="320"/>
      <c r="AF23" s="464"/>
    </row>
    <row r="24" spans="1:32" s="51" customFormat="1" ht="14.15" customHeight="1">
      <c r="A24"/>
      <c r="B24" s="1414" t="s">
        <v>170</v>
      </c>
      <c r="C24" s="334" t="s">
        <v>437</v>
      </c>
      <c r="D24" s="335" t="s">
        <v>89</v>
      </c>
      <c r="E24" s="962">
        <v>0</v>
      </c>
      <c r="F24" s="328">
        <f>IF(E$14&gt;0,E24/E$14*100,0)</f>
        <v>0</v>
      </c>
      <c r="G24" s="900">
        <v>0</v>
      </c>
      <c r="H24" s="328">
        <f>IF(G$14&gt;0,G24/G$14*100,0)</f>
        <v>0</v>
      </c>
      <c r="I24" s="900">
        <v>0</v>
      </c>
      <c r="J24" s="328">
        <f>IF(I$14&gt;0,I24/I$14*100,0)</f>
        <v>0</v>
      </c>
      <c r="K24" s="900">
        <v>0</v>
      </c>
      <c r="L24" s="328">
        <f>IF(K$14&gt;0,K24/K$14*100,0)</f>
        <v>0</v>
      </c>
      <c r="M24" s="900">
        <v>0</v>
      </c>
      <c r="N24" s="328">
        <f>IF(M$14&gt;0,M24/M$14*100,0)</f>
        <v>0</v>
      </c>
      <c r="O24" s="900">
        <v>0</v>
      </c>
      <c r="P24" s="1418">
        <f>IF(O$14&gt;0,O24/O$14*100,0)</f>
        <v>0</v>
      </c>
      <c r="Q24" s="167"/>
      <c r="R24" s="378"/>
      <c r="S24" s="320"/>
      <c r="T24" s="320"/>
      <c r="U24" s="320"/>
      <c r="V24" s="320"/>
      <c r="W24" s="320"/>
      <c r="X24" s="320"/>
      <c r="Y24" s="320"/>
      <c r="Z24" s="320"/>
      <c r="AA24" s="320"/>
      <c r="AB24" s="320"/>
      <c r="AC24" s="320"/>
      <c r="AD24" s="320"/>
      <c r="AE24" s="320"/>
      <c r="AF24" s="464"/>
    </row>
    <row r="25" spans="1:32" s="51" customFormat="1" ht="14.15" customHeight="1">
      <c r="A25"/>
      <c r="B25" s="1416" t="s">
        <v>171</v>
      </c>
      <c r="C25" s="322" t="s">
        <v>438</v>
      </c>
      <c r="D25" s="323" t="s">
        <v>90</v>
      </c>
      <c r="E25" s="962">
        <v>0</v>
      </c>
      <c r="F25" s="328">
        <f>-IF(E$14&gt;0,E25/E$14*100,0)</f>
        <v>0</v>
      </c>
      <c r="G25" s="900">
        <v>0</v>
      </c>
      <c r="H25" s="328">
        <f>-IF(G$14&gt;0,G25/G$14*100,0)</f>
        <v>0</v>
      </c>
      <c r="I25" s="895">
        <f>-'4. T7 LAINAT '!H50</f>
        <v>0</v>
      </c>
      <c r="J25" s="328">
        <f>-IF(I$14&gt;0,I25/I$14*100,0)</f>
        <v>0</v>
      </c>
      <c r="K25" s="895">
        <f>-'4. T7 LAINAT '!K50</f>
        <v>0</v>
      </c>
      <c r="L25" s="328">
        <f>-IF(K$14&gt;0,K25/K$14*100,0)</f>
        <v>0</v>
      </c>
      <c r="M25" s="895">
        <f>-'4. T7 LAINAT '!N50</f>
        <v>0</v>
      </c>
      <c r="N25" s="328">
        <f>-IF(M$14&gt;0,M25/M$14*100,0)</f>
        <v>0</v>
      </c>
      <c r="O25" s="895">
        <f>-'4. T7 LAINAT '!Q50</f>
        <v>0</v>
      </c>
      <c r="P25" s="1418">
        <f>-IF(O$14&gt;0,O25/O$14*100,0)</f>
        <v>0</v>
      </c>
      <c r="Q25" s="167"/>
      <c r="R25" s="378"/>
      <c r="S25" s="320"/>
      <c r="T25" s="320"/>
      <c r="U25" s="320"/>
      <c r="V25" s="320"/>
      <c r="W25" s="320"/>
      <c r="X25" s="320"/>
      <c r="Y25" s="320"/>
      <c r="Z25" s="320"/>
      <c r="AA25" s="320"/>
      <c r="AB25" s="320"/>
      <c r="AC25" s="320"/>
      <c r="AD25" s="320"/>
      <c r="AE25" s="320"/>
      <c r="AF25" s="464"/>
    </row>
    <row r="26" spans="1:32" s="51" customFormat="1" ht="23.7" customHeight="1">
      <c r="B26" s="1416" t="s">
        <v>172</v>
      </c>
      <c r="C26" s="1810" t="s">
        <v>86</v>
      </c>
      <c r="D26" s="1811"/>
      <c r="E26" s="965">
        <f>E22+E23+E24+E25</f>
        <v>0</v>
      </c>
      <c r="F26" s="328">
        <f>IF(E$14&gt;0,E26/E$14*100,0)</f>
        <v>0</v>
      </c>
      <c r="G26" s="966">
        <f>G22+G23+G24+G25</f>
        <v>0</v>
      </c>
      <c r="H26" s="328">
        <f>IF(G$14&gt;0,G26/G$14*100,0)</f>
        <v>0</v>
      </c>
      <c r="I26" s="966">
        <f>I22+I23+I24+I25</f>
        <v>0</v>
      </c>
      <c r="J26" s="328">
        <f>IF(I$11&gt;0,I26/I$14*100,0)</f>
        <v>0</v>
      </c>
      <c r="K26" s="966">
        <f>K22+K23+K24+K25</f>
        <v>0</v>
      </c>
      <c r="L26" s="328">
        <f>IF(K$11&gt;0,K26/K$14*100,0)</f>
        <v>0</v>
      </c>
      <c r="M26" s="966">
        <f>M22+M23+M24+M25</f>
        <v>0</v>
      </c>
      <c r="N26" s="328">
        <f>IF(M$11&gt;0,M26/M$14*100,0)</f>
        <v>0</v>
      </c>
      <c r="O26" s="966">
        <f>O22+O23+O24+O25</f>
        <v>0</v>
      </c>
      <c r="P26" s="1418">
        <f>IF(O$11&gt;0,O26/O$14*100,0)</f>
        <v>0</v>
      </c>
      <c r="Q26" s="167"/>
      <c r="R26" s="378"/>
      <c r="S26" s="320"/>
      <c r="T26" s="320"/>
      <c r="U26" s="1678"/>
      <c r="V26" s="1678"/>
      <c r="W26" s="320"/>
      <c r="X26" s="320"/>
      <c r="Y26" s="320"/>
      <c r="Z26" s="320"/>
      <c r="AA26" s="320"/>
      <c r="AB26" s="320"/>
      <c r="AC26" s="320"/>
      <c r="AD26" s="320"/>
      <c r="AE26" s="320"/>
      <c r="AF26" s="464"/>
    </row>
    <row r="27" spans="1:32" s="51" customFormat="1" ht="14.15" customHeight="1">
      <c r="B27" s="1416" t="s">
        <v>173</v>
      </c>
      <c r="C27" s="543" t="s">
        <v>87</v>
      </c>
      <c r="D27" s="544" t="s">
        <v>90</v>
      </c>
      <c r="E27" s="967">
        <v>0</v>
      </c>
      <c r="F27" s="328">
        <f>-IF(E$14&gt;0,E27/E$14*100,0)</f>
        <v>0</v>
      </c>
      <c r="G27" s="968">
        <v>0</v>
      </c>
      <c r="H27" s="328">
        <f>-IF(G$14&gt;0,G27/G$14*100,0)</f>
        <v>0</v>
      </c>
      <c r="I27" s="969">
        <f>-IF(I28*(I26+I29+I30+0.5*'5. E1 KUSTANNUKSET '!F86)&lt;0,0,I28*(I26+I29+I30+0.5*'5. E1 KUSTANNUKSET '!F86))</f>
        <v>0</v>
      </c>
      <c r="J27" s="328">
        <f>-IF(I$14&gt;0,I27/I$14*100,0)</f>
        <v>0</v>
      </c>
      <c r="K27" s="969">
        <f>-IF(K28*(K26+K29+K30+0.5*'5. E1 KUSTANNUKSET '!H86)&lt;0,0,K28*(K26+K29+K30+0.5*'5. E1 KUSTANNUKSET '!H86))</f>
        <v>0</v>
      </c>
      <c r="L27" s="328">
        <f>-IF(K$14&gt;0,K27/K$14*100,0)</f>
        <v>0</v>
      </c>
      <c r="M27" s="969">
        <f>-IF(M28*(M26+M29+M30+0.5*'5. E1 KUSTANNUKSET '!J86)&lt;0,0,M28*(M26+M29+M30+0.5*'5. E1 KUSTANNUKSET '!J86))</f>
        <v>0</v>
      </c>
      <c r="N27" s="328">
        <f>-IF(M$14&gt;0,M27/M$14*100,0)</f>
        <v>0</v>
      </c>
      <c r="O27" s="969">
        <f>-IF(O28*(O26+O29+O30+0.5*'5. E1 KUSTANNUKSET '!L86)&lt;0,0,O28*(O26+O29+O30+0.5*'5. E1 KUSTANNUKSET '!L86))</f>
        <v>0</v>
      </c>
      <c r="P27" s="1418">
        <f>-IF(O$14&gt;0,O27/O$14*100,0)</f>
        <v>0</v>
      </c>
      <c r="Q27" s="167"/>
      <c r="R27" s="378">
        <v>0</v>
      </c>
      <c r="S27" s="320"/>
      <c r="T27" s="320"/>
      <c r="U27" s="320"/>
      <c r="V27" s="320"/>
      <c r="W27" s="320"/>
      <c r="X27" s="320"/>
      <c r="Y27" s="320"/>
      <c r="Z27" s="320"/>
      <c r="AA27" s="320"/>
      <c r="AB27" s="320"/>
      <c r="AC27" s="320"/>
      <c r="AD27" s="320"/>
      <c r="AE27" s="320"/>
      <c r="AF27" s="464"/>
    </row>
    <row r="28" spans="1:32" s="51" customFormat="1" ht="14.15" customHeight="1">
      <c r="A28"/>
      <c r="B28" s="1416"/>
      <c r="C28" s="1818" t="s">
        <v>349</v>
      </c>
      <c r="D28" s="1819"/>
      <c r="E28" s="970"/>
      <c r="F28" s="328"/>
      <c r="G28" s="979"/>
      <c r="H28" s="328"/>
      <c r="I28" s="971">
        <v>0.2</v>
      </c>
      <c r="J28" s="766"/>
      <c r="K28" s="971">
        <f>I28</f>
        <v>0.2</v>
      </c>
      <c r="L28" s="1016"/>
      <c r="M28" s="971">
        <f>K28</f>
        <v>0.2</v>
      </c>
      <c r="N28" s="766"/>
      <c r="O28" s="971">
        <f>M28</f>
        <v>0.2</v>
      </c>
      <c r="P28" s="1418"/>
      <c r="Q28" s="167"/>
      <c r="R28" s="378"/>
      <c r="S28" s="320"/>
      <c r="T28" s="320"/>
      <c r="U28" s="320"/>
      <c r="V28" s="320"/>
      <c r="W28" s="320"/>
      <c r="X28" s="320"/>
      <c r="Y28" s="320"/>
      <c r="Z28" s="320"/>
      <c r="AA28" s="320"/>
      <c r="AB28" s="320"/>
      <c r="AC28" s="320"/>
      <c r="AD28" s="320"/>
      <c r="AE28" s="320"/>
      <c r="AF28" s="464"/>
    </row>
    <row r="29" spans="1:32" s="51" customFormat="1" ht="14.15" customHeight="1">
      <c r="A29"/>
      <c r="B29" s="1416" t="s">
        <v>174</v>
      </c>
      <c r="C29" s="334" t="s">
        <v>106</v>
      </c>
      <c r="D29" s="545" t="s">
        <v>617</v>
      </c>
      <c r="E29" s="967">
        <v>0</v>
      </c>
      <c r="F29" s="328">
        <f>IF(E$14&gt;0,E29/E$14*100,0)</f>
        <v>0</v>
      </c>
      <c r="G29" s="968">
        <v>0</v>
      </c>
      <c r="H29" s="328">
        <f>IF(G$14&gt;0,G29/G$14*100,0)</f>
        <v>0</v>
      </c>
      <c r="I29" s="968">
        <v>0</v>
      </c>
      <c r="J29" s="328">
        <f>IF(I$14&gt;0,I29/I$14*100,0)</f>
        <v>0</v>
      </c>
      <c r="K29" s="972">
        <v>0</v>
      </c>
      <c r="L29" s="1017">
        <f>IF(K$14&gt;0,K29/K$14*100,0)</f>
        <v>0</v>
      </c>
      <c r="M29" s="973">
        <v>0</v>
      </c>
      <c r="N29" s="328">
        <f>IF(M$14&gt;0,M29/M$14*100,0)</f>
        <v>0</v>
      </c>
      <c r="O29" s="968">
        <v>0</v>
      </c>
      <c r="P29" s="1418">
        <f>IF(O$14&gt;0,O29/O$14*100,0)</f>
        <v>0</v>
      </c>
      <c r="Q29" s="167"/>
      <c r="R29" s="378"/>
      <c r="S29" s="320"/>
      <c r="T29" s="320"/>
      <c r="U29" s="320"/>
      <c r="V29" s="320"/>
      <c r="W29" s="320"/>
      <c r="X29" s="320"/>
      <c r="Y29" s="320"/>
      <c r="Z29" s="320"/>
      <c r="AA29" s="320"/>
      <c r="AB29" s="320"/>
      <c r="AC29" s="320"/>
      <c r="AD29" s="320"/>
      <c r="AE29" s="320"/>
      <c r="AF29" s="464"/>
    </row>
    <row r="30" spans="1:32" s="51" customFormat="1" ht="14.15" customHeight="1">
      <c r="A30"/>
      <c r="B30" s="1416" t="s">
        <v>175</v>
      </c>
      <c r="C30" s="322" t="s">
        <v>422</v>
      </c>
      <c r="D30" s="330" t="s">
        <v>280</v>
      </c>
      <c r="E30" s="967">
        <v>0</v>
      </c>
      <c r="F30" s="328">
        <f>-IF(E$14&gt;0,E30/E$14*100,0)</f>
        <v>0</v>
      </c>
      <c r="G30" s="968">
        <v>0</v>
      </c>
      <c r="H30" s="328">
        <f>-IF(G$14&gt;0,G30/G$14*100,0)</f>
        <v>0</v>
      </c>
      <c r="I30" s="966">
        <f>-('3. T3 TASE '!H64-'3. T3 TASE '!G64)</f>
        <v>0</v>
      </c>
      <c r="J30" s="328">
        <f>-IF(I$14&gt;0,I30/I$14*100,0)</f>
        <v>0</v>
      </c>
      <c r="K30" s="966">
        <f>-('3. T3 TASE '!I64-'3. T3 TASE '!H64)</f>
        <v>0</v>
      </c>
      <c r="L30" s="328">
        <f>-IF(K$14&gt;0,K30/K$14*100,0)</f>
        <v>0</v>
      </c>
      <c r="M30" s="966">
        <f>-('3. T3 TASE '!J64-'3. T3 TASE '!I64)</f>
        <v>0</v>
      </c>
      <c r="N30" s="328">
        <f>-IF(M$14&gt;0,M30/M$14*100,0)</f>
        <v>0</v>
      </c>
      <c r="O30" s="966">
        <f>-('3. T3 TASE '!K64-'3. T3 TASE '!J64)</f>
        <v>0</v>
      </c>
      <c r="P30" s="1418">
        <f>-IF(O$14&gt;0,O30/O$14*100,0)</f>
        <v>0</v>
      </c>
      <c r="Q30" s="167"/>
      <c r="R30" s="378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464"/>
    </row>
    <row r="31" spans="1:32" s="51" customFormat="1" ht="20.149999999999999" customHeight="1">
      <c r="B31" s="1420" t="s">
        <v>439</v>
      </c>
      <c r="C31" s="1421" t="s">
        <v>91</v>
      </c>
      <c r="D31" s="1422"/>
      <c r="E31" s="963">
        <f>SUM(E26:E30)</f>
        <v>0</v>
      </c>
      <c r="F31" s="328">
        <f>IF(E$14&gt;0,E31/E$14*100,0)</f>
        <v>0</v>
      </c>
      <c r="G31" s="964">
        <f>SUM(G26:G30)</f>
        <v>0</v>
      </c>
      <c r="H31" s="328">
        <f>IF(G$14&gt;0,G31/G$14*100,0)</f>
        <v>0</v>
      </c>
      <c r="I31" s="964">
        <f>I26+I27+I29+I30</f>
        <v>0</v>
      </c>
      <c r="J31" s="328">
        <f>IF(I$11&gt;0,I31/I$14*100,0)</f>
        <v>0</v>
      </c>
      <c r="K31" s="964">
        <f>K26+K27+K29+K30</f>
        <v>0</v>
      </c>
      <c r="L31" s="328">
        <f>IF(K$11&gt;0,K31/K$14*100,0)</f>
        <v>0</v>
      </c>
      <c r="M31" s="964">
        <f>M26+M27+M29+M30</f>
        <v>0</v>
      </c>
      <c r="N31" s="328">
        <f>IF(M$11&gt;0,M31/M$14*100,0)</f>
        <v>0</v>
      </c>
      <c r="O31" s="964">
        <f>O26+O27+O29+O30</f>
        <v>0</v>
      </c>
      <c r="P31" s="1418">
        <f>IF(O$11&gt;0,O31/O$14*100,0)</f>
        <v>0</v>
      </c>
      <c r="Q31" s="167"/>
      <c r="R31" s="541"/>
      <c r="S31" s="465"/>
      <c r="T31" s="465"/>
      <c r="U31" s="465"/>
      <c r="V31" s="465"/>
      <c r="W31" s="465"/>
      <c r="X31" s="465"/>
      <c r="Y31" s="465"/>
      <c r="Z31" s="465"/>
      <c r="AA31" s="465"/>
      <c r="AB31" s="465"/>
      <c r="AC31" s="465"/>
      <c r="AD31" s="465"/>
      <c r="AE31" s="465"/>
      <c r="AF31" s="467"/>
    </row>
    <row r="32" spans="1:32" ht="3.75" customHeight="1">
      <c r="B32" s="57"/>
      <c r="C32" s="167"/>
      <c r="D32" s="167"/>
      <c r="E32" s="167"/>
      <c r="F32" s="167"/>
      <c r="G32" s="167"/>
      <c r="H32" s="168"/>
      <c r="I32" s="167"/>
      <c r="J32" s="168"/>
      <c r="K32" s="167"/>
      <c r="L32" s="168"/>
      <c r="M32" s="167"/>
      <c r="N32" s="168"/>
      <c r="O32" s="167"/>
      <c r="P32" s="168"/>
    </row>
    <row r="33" spans="1:17" ht="15" customHeight="1">
      <c r="B33" s="1409"/>
      <c r="C33" s="1410" t="s">
        <v>102</v>
      </c>
      <c r="D33" s="1411"/>
      <c r="E33" s="1796">
        <v>1</v>
      </c>
      <c r="F33" s="1796"/>
      <c r="G33" s="1798">
        <f>E33</f>
        <v>1</v>
      </c>
      <c r="H33" s="1799"/>
      <c r="I33" s="1798">
        <f>G33</f>
        <v>1</v>
      </c>
      <c r="J33" s="1799"/>
      <c r="K33" s="1798">
        <f>I33</f>
        <v>1</v>
      </c>
      <c r="L33" s="1799"/>
      <c r="M33" s="1798">
        <f>K33</f>
        <v>1</v>
      </c>
      <c r="N33" s="1799"/>
      <c r="O33" s="1798">
        <f>M33</f>
        <v>1</v>
      </c>
      <c r="P33" s="1800"/>
    </row>
    <row r="34" spans="1:17" ht="12.75" customHeight="1">
      <c r="B34" s="57"/>
      <c r="C34" s="1"/>
      <c r="D34" s="4"/>
      <c r="E34" s="4"/>
      <c r="F34" s="4"/>
      <c r="G34" s="82"/>
      <c r="H34" s="82"/>
      <c r="I34" s="338"/>
      <c r="J34" s="82"/>
      <c r="K34" s="82"/>
      <c r="L34" s="82"/>
      <c r="M34" s="82"/>
      <c r="N34" s="82"/>
      <c r="O34" s="82"/>
      <c r="P34" s="82"/>
    </row>
    <row r="35" spans="1:17" ht="12.75" customHeight="1">
      <c r="B35" s="74">
        <f>'1. T1 INVESTOINTISUUN.'!B66</f>
        <v>0</v>
      </c>
      <c r="C35" s="1"/>
      <c r="D35" s="4"/>
      <c r="E35" s="4"/>
      <c r="F35" s="4"/>
      <c r="G35" s="82"/>
      <c r="H35" s="1073" t="str">
        <f>IF(I18&gt;0,"MUUTA E1 KUSTANNUKSET -TAULUKON LUVUT +MERKKISIKSI!","")</f>
        <v/>
      </c>
      <c r="I35" s="338"/>
      <c r="J35" s="82"/>
      <c r="K35" s="82"/>
      <c r="L35" s="82"/>
      <c r="M35" s="1746" t="str">
        <f>OHJE!I5</f>
        <v>Yritystulkin tarjoaa</v>
      </c>
      <c r="N35" s="1746"/>
      <c r="O35" s="1746"/>
      <c r="P35" s="1746"/>
    </row>
    <row r="36" spans="1:17" ht="14.25" customHeight="1">
      <c r="A36" s="51"/>
      <c r="B36" s="74" t="str">
        <f>'1. T1 INVESTOINTISUUN.'!B67</f>
        <v>YT22 Toimivan yrityksen tulossuunnitelma</v>
      </c>
      <c r="C36" s="4"/>
      <c r="D36" s="4"/>
      <c r="E36" s="4"/>
      <c r="F36" s="4"/>
      <c r="G36" s="4"/>
      <c r="H36" s="57"/>
      <c r="I36" s="130"/>
      <c r="J36" s="57"/>
      <c r="K36" s="1757" t="str">
        <f>OHJE!H7</f>
        <v>Invest Lapua</v>
      </c>
      <c r="L36" s="1757"/>
      <c r="M36" s="1757"/>
      <c r="N36" s="1757"/>
      <c r="O36" s="1757"/>
      <c r="P36" s="1757"/>
    </row>
    <row r="37" spans="1:17">
      <c r="A37" s="2"/>
      <c r="B37" s="1815"/>
      <c r="C37" s="1815"/>
      <c r="D37" s="1815"/>
      <c r="E37" s="499"/>
      <c r="F37" s="499"/>
      <c r="G37" s="1788"/>
      <c r="H37" s="1788"/>
      <c r="I37" s="1788"/>
      <c r="J37" s="1788"/>
      <c r="K37" s="533"/>
      <c r="L37" s="533"/>
      <c r="M37" s="533"/>
      <c r="N37" s="533"/>
      <c r="O37" s="533"/>
      <c r="P37" s="533"/>
      <c r="Q37" s="128"/>
    </row>
    <row r="38" spans="1:17">
      <c r="B38" s="129"/>
      <c r="C38" s="130"/>
      <c r="D38" s="130"/>
      <c r="E38" s="130"/>
      <c r="F38" s="130"/>
      <c r="G38" s="1781"/>
      <c r="H38" s="1781"/>
      <c r="I38" s="1781"/>
      <c r="J38" s="1781"/>
      <c r="K38" s="1781"/>
      <c r="L38" s="1781"/>
      <c r="M38" s="1781"/>
      <c r="N38" s="1781"/>
      <c r="O38" s="1781"/>
      <c r="P38" s="1781"/>
      <c r="Q38" s="128"/>
    </row>
    <row r="39" spans="1:17">
      <c r="B39" s="129"/>
      <c r="C39" s="396" t="s">
        <v>332</v>
      </c>
      <c r="D39" s="130"/>
      <c r="E39" s="130"/>
      <c r="F39" s="130"/>
      <c r="G39" s="401"/>
      <c r="H39" s="401"/>
      <c r="I39" s="401"/>
      <c r="J39" s="401"/>
      <c r="K39" s="1781"/>
      <c r="L39" s="1781"/>
      <c r="M39" s="1781"/>
      <c r="N39" s="1781"/>
      <c r="O39" s="1781"/>
      <c r="P39" s="1781"/>
      <c r="Q39" s="128"/>
    </row>
    <row r="40" spans="1:17">
      <c r="B40" s="129"/>
      <c r="C40" s="50" t="s">
        <v>333</v>
      </c>
      <c r="D40" s="130"/>
      <c r="E40" s="130"/>
      <c r="F40" s="130"/>
      <c r="G40" s="128"/>
      <c r="H40" s="128"/>
      <c r="I40" s="401"/>
      <c r="J40" s="401"/>
      <c r="K40" s="1781"/>
      <c r="L40" s="1781"/>
      <c r="M40" s="1781"/>
      <c r="N40" s="1781"/>
      <c r="O40" s="1781"/>
      <c r="P40" s="1781"/>
      <c r="Q40" s="128"/>
    </row>
    <row r="41" spans="1:17">
      <c r="B41" s="129"/>
      <c r="C41" s="50" t="s">
        <v>334</v>
      </c>
      <c r="D41" s="130"/>
      <c r="E41" s="130"/>
      <c r="F41" s="130"/>
      <c r="G41" s="401"/>
      <c r="H41" s="401"/>
      <c r="I41" s="401"/>
      <c r="J41" s="401"/>
      <c r="K41" s="1781"/>
      <c r="L41" s="1781"/>
      <c r="M41" s="1781"/>
      <c r="N41" s="1781"/>
      <c r="O41" s="1781"/>
      <c r="P41" s="1781"/>
      <c r="Q41" s="128"/>
    </row>
    <row r="42" spans="1:17">
      <c r="B42" s="129"/>
      <c r="C42" s="130"/>
      <c r="D42" s="130"/>
      <c r="E42" s="130"/>
      <c r="F42" s="130"/>
      <c r="G42" s="1781"/>
      <c r="H42" s="1781"/>
      <c r="I42" s="1781"/>
      <c r="J42" s="1781"/>
      <c r="K42" s="1781"/>
      <c r="L42" s="1781"/>
      <c r="M42" s="1781"/>
      <c r="N42" s="1781"/>
      <c r="O42" s="1781"/>
      <c r="P42" s="1781"/>
      <c r="Q42" s="128"/>
    </row>
    <row r="43" spans="1:17">
      <c r="B43" s="129"/>
      <c r="C43" s="130"/>
      <c r="D43" s="130"/>
      <c r="E43" s="130"/>
      <c r="F43" s="130"/>
      <c r="G43" s="1781"/>
      <c r="H43" s="1781"/>
      <c r="I43" s="1781"/>
      <c r="J43" s="1781"/>
      <c r="K43" s="1781"/>
      <c r="L43" s="1781"/>
      <c r="M43" s="1781"/>
      <c r="N43" s="1781"/>
      <c r="O43" s="1781"/>
      <c r="P43" s="1781"/>
      <c r="Q43" s="128"/>
    </row>
    <row r="44" spans="1:17">
      <c r="B44" s="129"/>
      <c r="C44" s="130"/>
      <c r="D44" s="130"/>
      <c r="E44" s="130"/>
      <c r="F44" s="130"/>
      <c r="G44" s="1781"/>
      <c r="H44" s="1781"/>
      <c r="I44" s="1781"/>
      <c r="J44" s="1781"/>
      <c r="K44" s="1781"/>
      <c r="L44" s="1781"/>
      <c r="M44" s="1781"/>
      <c r="N44" s="1781"/>
      <c r="O44" s="1781"/>
      <c r="P44" s="1781"/>
      <c r="Q44" s="128"/>
    </row>
    <row r="45" spans="1:17">
      <c r="B45" s="129"/>
      <c r="C45" s="130"/>
      <c r="D45" s="130"/>
      <c r="E45" s="130"/>
      <c r="F45" s="130"/>
      <c r="G45" s="1781"/>
      <c r="H45" s="1781"/>
      <c r="I45" s="1781"/>
      <c r="J45" s="1781"/>
      <c r="K45" s="1781"/>
      <c r="L45" s="1781"/>
      <c r="M45" s="1781"/>
      <c r="N45" s="1781"/>
      <c r="O45" s="1781"/>
      <c r="P45" s="1781"/>
      <c r="Q45" s="128"/>
    </row>
    <row r="46" spans="1:17">
      <c r="B46" s="129"/>
      <c r="C46" s="130"/>
      <c r="D46" s="130"/>
      <c r="E46" s="130"/>
      <c r="F46" s="130"/>
      <c r="G46" s="1789"/>
      <c r="H46" s="1789"/>
      <c r="I46" s="1789"/>
      <c r="J46" s="1789"/>
      <c r="K46" s="1789"/>
      <c r="L46" s="1789"/>
      <c r="M46" s="1789"/>
      <c r="N46" s="1789"/>
      <c r="O46" s="1789"/>
      <c r="P46" s="1789"/>
      <c r="Q46" s="128"/>
    </row>
    <row r="47" spans="1:17">
      <c r="B47" s="1801"/>
      <c r="C47" s="1801"/>
      <c r="D47" s="1801"/>
      <c r="E47" s="132"/>
      <c r="F47" s="132"/>
      <c r="G47" s="1781"/>
      <c r="H47" s="1781"/>
      <c r="I47" s="1781"/>
      <c r="J47" s="1781"/>
      <c r="K47" s="1781"/>
      <c r="L47" s="1781"/>
      <c r="M47" s="1781"/>
      <c r="N47" s="1781"/>
      <c r="O47" s="1781"/>
      <c r="P47" s="1781"/>
      <c r="Q47" s="128"/>
    </row>
    <row r="48" spans="1:17">
      <c r="B48" s="129"/>
      <c r="C48" s="130"/>
      <c r="D48" s="130"/>
      <c r="E48" s="130"/>
      <c r="F48" s="130"/>
      <c r="G48" s="1781"/>
      <c r="H48" s="1781"/>
      <c r="I48" s="1781"/>
      <c r="J48" s="1781"/>
      <c r="K48" s="1781"/>
      <c r="L48" s="1781"/>
      <c r="M48" s="1781"/>
      <c r="N48" s="1781"/>
      <c r="O48" s="1781"/>
      <c r="P48" s="1781"/>
      <c r="Q48" s="128"/>
    </row>
    <row r="49" spans="2:21">
      <c r="B49" s="129"/>
      <c r="C49" s="130"/>
      <c r="D49" s="130"/>
      <c r="E49" s="130"/>
      <c r="F49" s="130"/>
      <c r="G49" s="1781"/>
      <c r="H49" s="1781"/>
      <c r="I49" s="1781"/>
      <c r="J49" s="1781"/>
      <c r="K49" s="1781"/>
      <c r="L49" s="1781"/>
      <c r="M49" s="1781"/>
      <c r="N49" s="1781"/>
      <c r="O49" s="1781"/>
      <c r="P49" s="1781"/>
      <c r="Q49" s="128"/>
    </row>
    <row r="50" spans="2:21">
      <c r="B50" s="129"/>
      <c r="C50" s="1804"/>
      <c r="D50" s="1804"/>
      <c r="E50" s="133"/>
      <c r="F50" s="133"/>
      <c r="G50" s="1781"/>
      <c r="H50" s="1781"/>
      <c r="I50" s="1781"/>
      <c r="J50" s="1781"/>
      <c r="K50" s="1781"/>
      <c r="L50" s="1781"/>
      <c r="M50" s="1781"/>
      <c r="N50" s="1781"/>
      <c r="O50" s="1781"/>
      <c r="P50" s="1781"/>
      <c r="Q50" s="128"/>
      <c r="R50" s="1" t="s">
        <v>0</v>
      </c>
    </row>
    <row r="51" spans="2:21">
      <c r="B51" s="129"/>
      <c r="C51" s="130"/>
      <c r="D51" s="130"/>
      <c r="E51" s="130"/>
      <c r="F51" s="130"/>
      <c r="G51" s="1781"/>
      <c r="H51" s="1781"/>
      <c r="I51" s="1781"/>
      <c r="J51" s="1781"/>
      <c r="K51" s="1781"/>
      <c r="L51" s="1781"/>
      <c r="M51" s="1781"/>
      <c r="N51" s="1781"/>
      <c r="O51" s="1781"/>
      <c r="P51" s="1781"/>
      <c r="Q51" s="128"/>
      <c r="R51" s="1" t="s">
        <v>0</v>
      </c>
    </row>
    <row r="52" spans="2:21">
      <c r="B52" s="129"/>
      <c r="C52" s="130"/>
      <c r="D52" s="130"/>
      <c r="E52" s="130"/>
      <c r="F52" s="130"/>
      <c r="G52" s="1781"/>
      <c r="H52" s="1781"/>
      <c r="I52" s="1781"/>
      <c r="J52" s="1781"/>
      <c r="K52" s="1781"/>
      <c r="L52" s="1781"/>
      <c r="M52" s="1781"/>
      <c r="N52" s="1781"/>
      <c r="O52" s="1781"/>
      <c r="P52" s="1781"/>
      <c r="Q52" s="128"/>
    </row>
    <row r="53" spans="2:21">
      <c r="B53" s="1816"/>
      <c r="C53" s="1816"/>
      <c r="D53" s="1816"/>
      <c r="E53" s="499"/>
      <c r="F53" s="499"/>
      <c r="G53" s="1781"/>
      <c r="H53" s="1781"/>
      <c r="I53" s="1781"/>
      <c r="J53" s="1781"/>
      <c r="K53" s="1781"/>
      <c r="L53" s="1781"/>
      <c r="M53" s="1781"/>
      <c r="N53" s="1781"/>
      <c r="O53" s="1781"/>
      <c r="P53" s="1781"/>
      <c r="Q53" s="128"/>
    </row>
    <row r="54" spans="2:21">
      <c r="B54" s="134"/>
      <c r="C54" s="128"/>
      <c r="D54" s="128"/>
      <c r="E54" s="128"/>
      <c r="F54" s="128"/>
      <c r="G54" s="128"/>
      <c r="H54" s="134"/>
      <c r="I54" s="130"/>
      <c r="J54" s="134"/>
      <c r="K54" s="128"/>
      <c r="L54" s="134"/>
      <c r="M54" s="128"/>
      <c r="N54" s="134"/>
      <c r="O54" s="128"/>
      <c r="P54" s="134"/>
      <c r="Q54" s="128"/>
    </row>
    <row r="55" spans="2:21">
      <c r="B55" s="1817"/>
      <c r="C55" s="1817"/>
      <c r="D55" s="1817"/>
      <c r="E55" s="500"/>
      <c r="F55" s="500"/>
      <c r="G55" s="1782"/>
      <c r="H55" s="1783"/>
      <c r="I55" s="1782"/>
      <c r="J55" s="1783"/>
      <c r="K55" s="1782"/>
      <c r="L55" s="1783"/>
      <c r="M55" s="1782"/>
      <c r="N55" s="1783"/>
      <c r="O55" s="1782"/>
      <c r="P55" s="1783"/>
      <c r="Q55" s="128"/>
    </row>
    <row r="56" spans="2:21">
      <c r="B56" s="1812"/>
      <c r="C56" s="1812"/>
      <c r="D56" s="1812"/>
      <c r="E56" s="110"/>
      <c r="F56" s="110"/>
      <c r="G56" s="1781"/>
      <c r="H56" s="1781"/>
      <c r="I56" s="1781"/>
      <c r="J56" s="1781"/>
      <c r="K56" s="1781"/>
      <c r="L56" s="1781"/>
      <c r="M56" s="1781"/>
      <c r="N56" s="1781"/>
      <c r="O56" s="1781"/>
      <c r="P56" s="1781"/>
      <c r="Q56" s="128"/>
    </row>
    <row r="57" spans="2:21">
      <c r="B57" s="1812"/>
      <c r="C57" s="1812"/>
      <c r="D57" s="1812"/>
      <c r="E57" s="110"/>
      <c r="F57" s="110"/>
      <c r="G57" s="1781"/>
      <c r="H57" s="1781"/>
      <c r="I57" s="1781"/>
      <c r="J57" s="1781"/>
      <c r="K57" s="1781"/>
      <c r="L57" s="1781"/>
      <c r="M57" s="1781"/>
      <c r="N57" s="1781"/>
      <c r="O57" s="1781"/>
      <c r="P57" s="1781"/>
      <c r="Q57" s="128"/>
    </row>
    <row r="58" spans="2:21">
      <c r="B58" s="1812"/>
      <c r="C58" s="1812"/>
      <c r="D58" s="1812"/>
      <c r="E58" s="110"/>
      <c r="F58" s="110"/>
      <c r="G58" s="1781"/>
      <c r="H58" s="1781"/>
      <c r="I58" s="1781"/>
      <c r="J58" s="1781"/>
      <c r="K58" s="1781"/>
      <c r="L58" s="1781"/>
      <c r="M58" s="1781"/>
      <c r="N58" s="1781"/>
      <c r="O58" s="1781"/>
      <c r="P58" s="1781"/>
      <c r="Q58" s="128"/>
    </row>
    <row r="59" spans="2:21">
      <c r="B59" s="1812"/>
      <c r="C59" s="1812"/>
      <c r="D59" s="1812"/>
      <c r="E59" s="110"/>
      <c r="F59" s="110"/>
      <c r="G59" s="1781"/>
      <c r="H59" s="1781"/>
      <c r="I59" s="1781"/>
      <c r="J59" s="1781"/>
      <c r="K59" s="1781"/>
      <c r="L59" s="1781"/>
      <c r="M59" s="1781"/>
      <c r="N59" s="1781"/>
      <c r="O59" s="1781"/>
      <c r="P59" s="1781"/>
      <c r="Q59" s="128"/>
    </row>
    <row r="60" spans="2:21">
      <c r="B60" s="110"/>
      <c r="C60" s="110"/>
      <c r="D60" s="110"/>
      <c r="E60" s="110"/>
      <c r="F60" s="110"/>
      <c r="G60" s="1781"/>
      <c r="H60" s="1781"/>
      <c r="I60" s="150"/>
      <c r="J60" s="131"/>
      <c r="K60" s="131"/>
      <c r="L60" s="131"/>
      <c r="M60" s="131"/>
      <c r="N60" s="131"/>
      <c r="O60" s="131"/>
      <c r="P60" s="131"/>
      <c r="Q60" s="128"/>
    </row>
    <row r="61" spans="2:21">
      <c r="B61" s="1812"/>
      <c r="C61" s="1812"/>
      <c r="D61" s="1812"/>
      <c r="E61" s="110"/>
      <c r="F61" s="110"/>
      <c r="G61" s="1781"/>
      <c r="H61" s="1781"/>
      <c r="I61" s="1781"/>
      <c r="J61" s="1781"/>
      <c r="K61" s="1781"/>
      <c r="L61" s="1781"/>
      <c r="M61" s="1781"/>
      <c r="N61" s="1781"/>
      <c r="O61" s="1781"/>
      <c r="P61" s="1781"/>
      <c r="Q61" s="128"/>
      <c r="U61" s="1" t="s">
        <v>92</v>
      </c>
    </row>
    <row r="62" spans="2:21">
      <c r="B62" s="1812"/>
      <c r="C62" s="1812"/>
      <c r="D62" s="1812"/>
      <c r="E62" s="110"/>
      <c r="F62" s="110"/>
      <c r="G62" s="1781"/>
      <c r="H62" s="1781"/>
      <c r="I62" s="1781"/>
      <c r="J62" s="1781"/>
      <c r="K62" s="1781"/>
      <c r="L62" s="1781"/>
      <c r="M62" s="1781"/>
      <c r="N62" s="1781"/>
      <c r="O62" s="1781"/>
      <c r="P62" s="1781"/>
      <c r="Q62" s="128"/>
    </row>
    <row r="63" spans="2:21">
      <c r="B63" s="1812"/>
      <c r="C63" s="1812"/>
      <c r="D63" s="1812"/>
      <c r="E63" s="110"/>
      <c r="F63" s="110"/>
      <c r="G63" s="1780"/>
      <c r="H63" s="1780"/>
      <c r="I63" s="1780"/>
      <c r="J63" s="1780"/>
      <c r="K63" s="1780"/>
      <c r="L63" s="1780"/>
      <c r="M63" s="1780"/>
      <c r="N63" s="1780"/>
      <c r="O63" s="1780"/>
      <c r="P63" s="1780"/>
      <c r="Q63" s="128"/>
    </row>
    <row r="64" spans="2:21">
      <c r="B64" s="110"/>
      <c r="C64" s="110"/>
      <c r="D64" s="110"/>
      <c r="E64" s="110"/>
      <c r="F64" s="110"/>
      <c r="G64" s="136"/>
      <c r="H64" s="136"/>
      <c r="I64" s="339"/>
      <c r="J64" s="136"/>
      <c r="K64" s="136"/>
      <c r="L64" s="136"/>
      <c r="M64" s="136"/>
      <c r="N64" s="136"/>
      <c r="O64" s="136"/>
      <c r="P64" s="136"/>
      <c r="Q64" s="128"/>
    </row>
    <row r="65" spans="2:17">
      <c r="B65" s="110"/>
      <c r="C65" s="110"/>
      <c r="D65" s="110"/>
      <c r="E65" s="110"/>
      <c r="F65" s="110"/>
      <c r="G65" s="136"/>
      <c r="H65" s="136"/>
      <c r="I65" s="339"/>
      <c r="J65" s="136"/>
      <c r="K65" s="136"/>
      <c r="L65" s="136"/>
      <c r="M65" s="136"/>
      <c r="N65" s="136"/>
      <c r="O65" s="136"/>
      <c r="P65" s="136"/>
      <c r="Q65" s="128"/>
    </row>
    <row r="66" spans="2:17">
      <c r="B66" s="110"/>
      <c r="C66" s="110"/>
      <c r="D66" s="110"/>
      <c r="E66" s="110"/>
      <c r="F66" s="110"/>
      <c r="G66" s="136"/>
      <c r="H66" s="136"/>
      <c r="I66" s="339"/>
      <c r="J66" s="136"/>
      <c r="K66" s="136"/>
      <c r="L66" s="136"/>
      <c r="M66" s="136"/>
      <c r="N66" s="136"/>
      <c r="O66" s="136"/>
      <c r="P66" s="136"/>
      <c r="Q66" s="128"/>
    </row>
    <row r="67" spans="2:17">
      <c r="B67" s="110"/>
      <c r="C67" s="110"/>
      <c r="D67" s="110"/>
      <c r="E67" s="110"/>
      <c r="F67" s="110"/>
      <c r="G67" s="136"/>
      <c r="H67" s="136"/>
      <c r="I67" s="339"/>
      <c r="J67" s="136"/>
      <c r="K67" s="136"/>
      <c r="L67" s="136"/>
      <c r="M67" s="136"/>
      <c r="N67" s="136"/>
      <c r="O67" s="136"/>
      <c r="P67" s="136"/>
      <c r="Q67" s="128"/>
    </row>
    <row r="68" spans="2:17">
      <c r="B68" s="110"/>
      <c r="C68" s="110"/>
      <c r="D68" s="110"/>
      <c r="E68" s="110"/>
      <c r="F68" s="110"/>
      <c r="G68" s="136"/>
      <c r="H68" s="136"/>
      <c r="I68" s="339"/>
      <c r="J68" s="136"/>
      <c r="K68" s="136"/>
      <c r="L68" s="136"/>
      <c r="M68" s="136"/>
      <c r="N68" s="136"/>
      <c r="O68" s="136"/>
      <c r="P68" s="136"/>
      <c r="Q68" s="128"/>
    </row>
    <row r="69" spans="2:17">
      <c r="B69" s="110"/>
      <c r="C69" s="110"/>
      <c r="D69" s="110"/>
      <c r="E69" s="110"/>
      <c r="F69" s="110"/>
      <c r="G69" s="136"/>
      <c r="H69" s="136"/>
      <c r="I69" s="339"/>
      <c r="J69" s="136"/>
      <c r="K69" s="136"/>
      <c r="L69" s="136"/>
      <c r="M69" s="136"/>
      <c r="N69" s="136"/>
      <c r="O69" s="136"/>
      <c r="P69" s="136"/>
      <c r="Q69" s="128"/>
    </row>
    <row r="70" spans="2:17">
      <c r="B70" s="110"/>
      <c r="C70" s="110"/>
      <c r="D70" s="110"/>
      <c r="E70" s="110"/>
      <c r="F70" s="110"/>
      <c r="G70" s="136"/>
      <c r="H70" s="136"/>
      <c r="I70" s="339"/>
      <c r="J70" s="136"/>
      <c r="K70" s="136"/>
      <c r="L70" s="136"/>
      <c r="M70" s="136"/>
      <c r="N70" s="136"/>
      <c r="O70" s="136"/>
      <c r="P70" s="136"/>
      <c r="Q70" s="128"/>
    </row>
    <row r="71" spans="2:17">
      <c r="B71" s="110"/>
      <c r="C71" s="110"/>
      <c r="D71" s="110"/>
      <c r="E71" s="110"/>
      <c r="F71" s="110"/>
      <c r="G71" s="136"/>
      <c r="H71" s="136"/>
      <c r="I71" s="339"/>
      <c r="J71" s="136"/>
      <c r="K71" s="136"/>
      <c r="L71" s="136"/>
      <c r="M71" s="136"/>
      <c r="N71" s="136"/>
      <c r="O71" s="136"/>
      <c r="P71" s="136"/>
      <c r="Q71" s="128"/>
    </row>
    <row r="72" spans="2:17">
      <c r="B72" s="110"/>
      <c r="C72" s="110"/>
      <c r="D72" s="110"/>
      <c r="E72" s="110"/>
      <c r="F72" s="110"/>
      <c r="G72" s="136"/>
      <c r="H72" s="136"/>
      <c r="I72" s="339"/>
      <c r="J72" s="136"/>
      <c r="K72" s="136"/>
      <c r="L72" s="136"/>
      <c r="M72" s="136"/>
      <c r="N72" s="136"/>
      <c r="O72" s="136"/>
      <c r="P72" s="136"/>
      <c r="Q72" s="128"/>
    </row>
    <row r="73" spans="2:17">
      <c r="B73" s="110"/>
      <c r="C73" s="110"/>
      <c r="D73" s="110"/>
      <c r="E73" s="110"/>
      <c r="F73" s="110"/>
      <c r="G73" s="136"/>
      <c r="H73" s="136"/>
      <c r="I73" s="339"/>
      <c r="J73" s="136"/>
      <c r="K73" s="136"/>
      <c r="L73" s="136"/>
      <c r="M73" s="136"/>
      <c r="N73" s="136"/>
      <c r="O73" s="136"/>
      <c r="P73" s="136"/>
      <c r="Q73" s="128"/>
    </row>
    <row r="74" spans="2:17">
      <c r="B74" s="110"/>
      <c r="C74" s="110"/>
      <c r="D74" s="110"/>
      <c r="E74" s="110"/>
      <c r="F74" s="110"/>
      <c r="G74" s="136"/>
      <c r="H74" s="136"/>
      <c r="I74" s="339"/>
      <c r="J74" s="136"/>
      <c r="K74" s="136"/>
      <c r="L74" s="136"/>
      <c r="M74" s="136"/>
      <c r="N74" s="136"/>
      <c r="O74" s="136"/>
      <c r="P74" s="136"/>
      <c r="Q74" s="128"/>
    </row>
    <row r="75" spans="2:17">
      <c r="B75" s="110"/>
      <c r="C75" s="110"/>
      <c r="D75" s="110"/>
      <c r="E75" s="110"/>
      <c r="F75" s="110"/>
      <c r="G75" s="136"/>
      <c r="H75" s="136"/>
      <c r="I75" s="339"/>
      <c r="J75" s="136"/>
      <c r="K75" s="136"/>
      <c r="L75" s="136"/>
      <c r="M75" s="136"/>
      <c r="N75" s="136"/>
      <c r="O75" s="136"/>
      <c r="P75" s="136"/>
      <c r="Q75" s="128"/>
    </row>
    <row r="76" spans="2:17">
      <c r="B76" s="134"/>
      <c r="C76" s="137"/>
      <c r="D76" s="128"/>
      <c r="E76" s="128"/>
      <c r="F76" s="128"/>
      <c r="G76" s="135"/>
      <c r="H76" s="138"/>
      <c r="I76" s="130"/>
      <c r="J76" s="138"/>
      <c r="K76" s="135"/>
      <c r="L76" s="138"/>
      <c r="M76" s="135"/>
      <c r="N76" s="138"/>
      <c r="O76" s="135"/>
      <c r="P76" s="138"/>
      <c r="Q76" s="128"/>
    </row>
    <row r="77" spans="2:17">
      <c r="B77" s="134"/>
      <c r="C77" s="137"/>
      <c r="D77" s="128"/>
      <c r="E77" s="128"/>
      <c r="F77" s="128"/>
      <c r="G77" s="128"/>
      <c r="H77" s="134"/>
      <c r="I77" s="130"/>
      <c r="J77" s="134"/>
      <c r="K77" s="128"/>
      <c r="L77" s="134"/>
      <c r="M77" s="128"/>
      <c r="N77" s="134"/>
      <c r="O77" s="128"/>
      <c r="P77" s="134"/>
      <c r="Q77" s="128"/>
    </row>
    <row r="78" spans="2:17">
      <c r="B78" s="134"/>
      <c r="C78" s="137"/>
      <c r="D78" s="128"/>
      <c r="E78" s="128"/>
      <c r="F78" s="128"/>
      <c r="G78" s="128"/>
      <c r="H78" s="134"/>
      <c r="I78" s="130"/>
      <c r="J78" s="134"/>
      <c r="K78" s="128"/>
      <c r="L78" s="134"/>
      <c r="M78" s="128"/>
      <c r="N78" s="134"/>
      <c r="O78" s="128"/>
      <c r="P78" s="134"/>
      <c r="Q78" s="128"/>
    </row>
    <row r="79" spans="2:17">
      <c r="B79" s="139"/>
      <c r="C79" s="137"/>
      <c r="D79" s="137"/>
      <c r="E79" s="137"/>
      <c r="F79" s="137"/>
      <c r="G79" s="137"/>
      <c r="H79" s="139"/>
      <c r="I79" s="340"/>
      <c r="J79" s="139"/>
      <c r="K79" s="137"/>
      <c r="L79" s="139"/>
      <c r="M79" s="137"/>
      <c r="N79" s="139"/>
      <c r="O79" s="137"/>
      <c r="P79" s="139"/>
      <c r="Q79" s="128"/>
    </row>
    <row r="80" spans="2:17">
      <c r="B80" s="1812"/>
      <c r="C80" s="1812"/>
      <c r="D80" s="1812"/>
      <c r="E80" s="110"/>
      <c r="F80" s="110"/>
      <c r="G80" s="1813"/>
      <c r="H80" s="1813"/>
      <c r="I80" s="1813"/>
      <c r="J80" s="1813"/>
      <c r="K80" s="1813"/>
      <c r="L80" s="1814"/>
      <c r="M80" s="1783"/>
      <c r="N80" s="1783"/>
      <c r="O80" s="134"/>
      <c r="P80" s="134"/>
      <c r="Q80" s="128"/>
    </row>
    <row r="81" spans="2:17">
      <c r="B81" s="138"/>
      <c r="C81" s="110"/>
      <c r="D81" s="110"/>
      <c r="E81" s="110"/>
      <c r="F81" s="110"/>
      <c r="G81" s="140"/>
      <c r="H81" s="142"/>
      <c r="I81" s="315"/>
      <c r="J81" s="142"/>
      <c r="K81" s="140"/>
      <c r="L81" s="141"/>
      <c r="M81" s="134"/>
      <c r="N81" s="134"/>
      <c r="O81" s="134"/>
      <c r="P81" s="134"/>
      <c r="Q81" s="128"/>
    </row>
    <row r="82" spans="2:17">
      <c r="B82" s="138"/>
      <c r="C82" s="110"/>
      <c r="D82" s="110"/>
      <c r="E82" s="110"/>
      <c r="F82" s="110"/>
      <c r="G82" s="140"/>
      <c r="H82" s="142"/>
      <c r="I82" s="315"/>
      <c r="J82" s="142"/>
      <c r="K82" s="140"/>
      <c r="L82" s="141"/>
      <c r="M82" s="134"/>
      <c r="N82" s="134"/>
      <c r="O82" s="134"/>
      <c r="P82" s="134"/>
      <c r="Q82" s="128"/>
    </row>
    <row r="83" spans="2:17">
      <c r="B83" s="138"/>
      <c r="C83" s="110"/>
      <c r="D83" s="110"/>
      <c r="E83" s="110"/>
      <c r="F83" s="110"/>
      <c r="G83" s="140"/>
      <c r="H83" s="142"/>
      <c r="I83" s="315"/>
      <c r="J83" s="142"/>
      <c r="K83" s="140"/>
      <c r="L83" s="141"/>
      <c r="M83" s="134"/>
      <c r="N83" s="134"/>
      <c r="O83" s="134"/>
      <c r="P83" s="134"/>
      <c r="Q83" s="128"/>
    </row>
    <row r="84" spans="2:17" ht="17.600000000000001">
      <c r="B84" s="138"/>
      <c r="C84" s="110"/>
      <c r="D84" s="143"/>
      <c r="E84" s="143"/>
      <c r="F84" s="143"/>
      <c r="G84" s="128"/>
      <c r="H84" s="142"/>
      <c r="I84" s="315"/>
      <c r="J84" s="142"/>
      <c r="K84" s="140"/>
      <c r="L84" s="141"/>
      <c r="M84" s="134"/>
      <c r="N84" s="134"/>
      <c r="O84" s="134"/>
      <c r="P84" s="134"/>
      <c r="Q84" s="128"/>
    </row>
    <row r="85" spans="2:17" ht="17.600000000000001">
      <c r="B85" s="138"/>
      <c r="C85" s="110"/>
      <c r="D85" s="143"/>
      <c r="E85" s="143"/>
      <c r="F85" s="143"/>
      <c r="G85" s="128"/>
      <c r="H85" s="142"/>
      <c r="I85" s="315"/>
      <c r="J85" s="142"/>
      <c r="K85" s="140"/>
      <c r="L85" s="141"/>
      <c r="M85" s="134"/>
      <c r="N85" s="134"/>
      <c r="O85" s="134"/>
      <c r="P85" s="134"/>
      <c r="Q85" s="128"/>
    </row>
    <row r="86" spans="2:17">
      <c r="B86" s="134"/>
      <c r="C86" s="128"/>
      <c r="D86" s="128"/>
      <c r="E86" s="128"/>
      <c r="F86" s="128"/>
      <c r="G86" s="128"/>
      <c r="H86" s="134"/>
      <c r="I86" s="130"/>
      <c r="J86" s="134"/>
      <c r="K86" s="128"/>
      <c r="L86" s="134"/>
      <c r="M86" s="128"/>
      <c r="N86" s="134"/>
      <c r="O86" s="128"/>
      <c r="P86" s="134"/>
      <c r="Q86" s="128"/>
    </row>
    <row r="87" spans="2:17">
      <c r="B87" s="134"/>
      <c r="C87" s="128"/>
      <c r="D87" s="128"/>
      <c r="E87" s="128"/>
      <c r="F87" s="128"/>
      <c r="G87" s="128"/>
      <c r="H87" s="134"/>
      <c r="I87" s="130"/>
      <c r="J87" s="134"/>
      <c r="K87" s="128"/>
      <c r="L87" s="134"/>
      <c r="M87" s="128"/>
      <c r="N87" s="134"/>
      <c r="O87" s="128"/>
      <c r="P87" s="134"/>
      <c r="Q87" s="128"/>
    </row>
    <row r="88" spans="2:17">
      <c r="B88" s="134"/>
      <c r="C88" s="128"/>
      <c r="D88" s="128"/>
      <c r="E88" s="128"/>
      <c r="F88" s="128"/>
      <c r="G88" s="128"/>
      <c r="H88" s="134"/>
      <c r="I88" s="130"/>
      <c r="J88" s="134"/>
      <c r="K88" s="128"/>
      <c r="L88" s="134"/>
      <c r="M88" s="128"/>
      <c r="N88" s="134"/>
      <c r="O88" s="128"/>
      <c r="P88" s="134"/>
      <c r="Q88" s="128"/>
    </row>
    <row r="89" spans="2:17">
      <c r="B89" s="134"/>
      <c r="C89" s="128"/>
      <c r="D89" s="128"/>
      <c r="E89" s="128"/>
      <c r="F89" s="128"/>
      <c r="G89" s="128"/>
      <c r="H89" s="134"/>
      <c r="I89" s="130"/>
      <c r="J89" s="134"/>
      <c r="K89" s="128"/>
      <c r="L89" s="134"/>
      <c r="M89" s="128"/>
      <c r="N89" s="134"/>
      <c r="O89" s="128"/>
      <c r="P89" s="134"/>
      <c r="Q89" s="128"/>
    </row>
    <row r="90" spans="2:17">
      <c r="B90" s="134"/>
      <c r="C90" s="128"/>
      <c r="D90" s="128"/>
      <c r="E90" s="128"/>
      <c r="F90" s="128"/>
      <c r="G90" s="128"/>
      <c r="H90" s="134"/>
      <c r="I90" s="130"/>
      <c r="J90" s="134"/>
      <c r="K90" s="128"/>
      <c r="L90" s="134"/>
      <c r="M90" s="128"/>
      <c r="N90" s="134"/>
      <c r="O90" s="128"/>
      <c r="P90" s="134"/>
      <c r="Q90" s="128"/>
    </row>
    <row r="91" spans="2:17">
      <c r="B91" s="134"/>
      <c r="C91" s="128"/>
      <c r="D91" s="128"/>
      <c r="E91" s="128"/>
      <c r="F91" s="128"/>
      <c r="G91" s="128"/>
      <c r="H91" s="134"/>
      <c r="I91" s="130"/>
      <c r="J91" s="134"/>
      <c r="K91" s="128"/>
      <c r="L91" s="134"/>
      <c r="M91" s="128"/>
      <c r="N91" s="134"/>
      <c r="O91" s="128"/>
      <c r="P91" s="134"/>
      <c r="Q91" s="128"/>
    </row>
    <row r="92" spans="2:17">
      <c r="B92" s="134"/>
      <c r="C92" s="128"/>
      <c r="D92" s="128"/>
      <c r="E92" s="128"/>
      <c r="F92" s="128"/>
      <c r="G92" s="128"/>
      <c r="H92" s="134"/>
      <c r="I92" s="130"/>
      <c r="J92" s="134"/>
      <c r="K92" s="128"/>
      <c r="L92" s="134"/>
      <c r="M92" s="128"/>
      <c r="N92" s="134"/>
      <c r="O92" s="128"/>
      <c r="P92" s="134"/>
      <c r="Q92" s="128"/>
    </row>
    <row r="93" spans="2:17">
      <c r="B93" s="134"/>
      <c r="C93" s="128"/>
      <c r="D93" s="128"/>
      <c r="E93" s="128"/>
      <c r="F93" s="128"/>
      <c r="G93" s="128"/>
      <c r="H93" s="134"/>
      <c r="I93" s="130"/>
      <c r="J93" s="134"/>
      <c r="K93" s="128"/>
      <c r="L93" s="134"/>
      <c r="M93" s="128"/>
      <c r="N93" s="134"/>
      <c r="O93" s="128"/>
      <c r="P93" s="134"/>
      <c r="Q93" s="128"/>
    </row>
    <row r="94" spans="2:17">
      <c r="B94" s="134"/>
      <c r="C94" s="128"/>
      <c r="D94" s="128"/>
      <c r="E94" s="128"/>
      <c r="F94" s="128"/>
      <c r="G94" s="128"/>
      <c r="H94" s="134"/>
      <c r="I94" s="130"/>
      <c r="J94" s="134"/>
      <c r="K94" s="128"/>
      <c r="L94" s="134"/>
      <c r="M94" s="128"/>
      <c r="N94" s="134"/>
      <c r="O94" s="128"/>
      <c r="P94" s="134"/>
      <c r="Q94" s="128"/>
    </row>
    <row r="95" spans="2:17">
      <c r="B95" s="134"/>
      <c r="C95" s="128"/>
      <c r="D95" s="128"/>
      <c r="E95" s="128"/>
      <c r="F95" s="128"/>
      <c r="G95" s="128"/>
      <c r="H95" s="134"/>
      <c r="I95" s="130"/>
      <c r="J95" s="134"/>
      <c r="K95" s="128"/>
      <c r="L95" s="134"/>
      <c r="M95" s="128"/>
      <c r="N95" s="134"/>
      <c r="O95" s="128"/>
      <c r="P95" s="134"/>
      <c r="Q95" s="128"/>
    </row>
    <row r="96" spans="2:17">
      <c r="B96" s="134"/>
      <c r="C96" s="128"/>
      <c r="D96" s="128"/>
      <c r="E96" s="128"/>
      <c r="F96" s="128"/>
      <c r="G96" s="128"/>
      <c r="H96" s="134"/>
      <c r="I96" s="130"/>
      <c r="J96" s="134"/>
      <c r="K96" s="128"/>
      <c r="L96" s="134"/>
      <c r="M96" s="128"/>
      <c r="N96" s="134"/>
      <c r="O96" s="128"/>
      <c r="P96" s="134"/>
      <c r="Q96" s="128"/>
    </row>
    <row r="97" spans="2:17">
      <c r="B97" s="134"/>
      <c r="C97" s="128"/>
      <c r="D97" s="128"/>
      <c r="E97" s="128"/>
      <c r="F97" s="128"/>
      <c r="G97" s="128"/>
      <c r="H97" s="134"/>
      <c r="I97" s="130"/>
      <c r="J97" s="134"/>
      <c r="K97" s="128"/>
      <c r="L97" s="134"/>
      <c r="M97" s="128"/>
      <c r="N97" s="134"/>
      <c r="O97" s="128"/>
      <c r="P97" s="134"/>
      <c r="Q97" s="128"/>
    </row>
    <row r="98" spans="2:17">
      <c r="B98" s="134"/>
      <c r="C98" s="128"/>
      <c r="D98" s="128"/>
      <c r="E98" s="128"/>
      <c r="F98" s="128"/>
      <c r="G98" s="128"/>
      <c r="H98" s="134"/>
      <c r="I98" s="130"/>
      <c r="J98" s="134"/>
      <c r="K98" s="128"/>
      <c r="L98" s="134"/>
      <c r="M98" s="128"/>
      <c r="N98" s="134"/>
      <c r="O98" s="128"/>
      <c r="P98" s="134"/>
      <c r="Q98" s="128"/>
    </row>
    <row r="99" spans="2:17">
      <c r="B99" s="134"/>
      <c r="C99" s="128"/>
      <c r="D99" s="128"/>
      <c r="E99" s="128"/>
      <c r="F99" s="128"/>
      <c r="G99" s="128"/>
      <c r="H99" s="134"/>
      <c r="I99" s="130"/>
      <c r="J99" s="134"/>
      <c r="K99" s="128"/>
      <c r="L99" s="134"/>
      <c r="M99" s="128"/>
      <c r="N99" s="134"/>
      <c r="O99" s="128"/>
      <c r="P99" s="134"/>
      <c r="Q99" s="128"/>
    </row>
    <row r="100" spans="2:17">
      <c r="B100" s="134"/>
      <c r="C100" s="128"/>
      <c r="D100" s="128"/>
      <c r="E100" s="128"/>
      <c r="F100" s="128"/>
      <c r="G100" s="128"/>
      <c r="H100" s="134"/>
      <c r="I100" s="130"/>
      <c r="J100" s="134"/>
      <c r="K100" s="128"/>
      <c r="L100" s="134"/>
      <c r="M100" s="128"/>
      <c r="N100" s="134"/>
      <c r="O100" s="128"/>
      <c r="P100" s="134"/>
      <c r="Q100" s="128"/>
    </row>
    <row r="101" spans="2:17">
      <c r="B101" s="134"/>
      <c r="C101" s="128"/>
      <c r="D101" s="128"/>
      <c r="E101" s="128"/>
      <c r="F101" s="128"/>
      <c r="G101" s="128"/>
      <c r="H101" s="134"/>
      <c r="I101" s="130"/>
      <c r="J101" s="134"/>
      <c r="K101" s="128"/>
      <c r="L101" s="134"/>
      <c r="M101" s="128"/>
      <c r="N101" s="134"/>
      <c r="O101" s="128"/>
      <c r="P101" s="134"/>
      <c r="Q101" s="128"/>
    </row>
    <row r="102" spans="2:17">
      <c r="B102" s="134"/>
      <c r="C102" s="128"/>
      <c r="D102" s="128"/>
      <c r="E102" s="128"/>
      <c r="F102" s="128"/>
      <c r="G102" s="128"/>
      <c r="H102" s="134"/>
      <c r="I102" s="130"/>
      <c r="J102" s="134"/>
      <c r="K102" s="128"/>
      <c r="L102" s="134"/>
      <c r="M102" s="128"/>
      <c r="N102" s="134"/>
      <c r="O102" s="128"/>
      <c r="P102" s="134"/>
      <c r="Q102" s="128"/>
    </row>
    <row r="103" spans="2:17">
      <c r="B103" s="134"/>
      <c r="C103" s="128"/>
      <c r="D103" s="128"/>
      <c r="E103" s="128"/>
      <c r="F103" s="128"/>
      <c r="G103" s="128"/>
      <c r="H103" s="134"/>
      <c r="I103" s="130"/>
      <c r="J103" s="134"/>
      <c r="K103" s="128"/>
      <c r="L103" s="134"/>
      <c r="M103" s="128"/>
      <c r="N103" s="134"/>
      <c r="O103" s="128"/>
      <c r="P103" s="134"/>
      <c r="Q103" s="128"/>
    </row>
    <row r="104" spans="2:17">
      <c r="B104" s="134"/>
      <c r="C104" s="128"/>
      <c r="D104" s="128"/>
      <c r="E104" s="128"/>
      <c r="F104" s="128"/>
      <c r="G104" s="128"/>
      <c r="H104" s="134"/>
      <c r="I104" s="130"/>
      <c r="J104" s="134"/>
      <c r="K104" s="128"/>
      <c r="L104" s="134"/>
      <c r="M104" s="128"/>
      <c r="N104" s="134"/>
      <c r="O104" s="128"/>
      <c r="P104" s="134"/>
      <c r="Q104" s="128"/>
    </row>
    <row r="105" spans="2:17">
      <c r="B105" s="134"/>
      <c r="C105" s="128"/>
      <c r="D105" s="128"/>
      <c r="E105" s="128"/>
      <c r="F105" s="128"/>
      <c r="G105" s="128"/>
      <c r="H105" s="134"/>
      <c r="I105" s="130"/>
      <c r="J105" s="134"/>
      <c r="K105" s="128"/>
      <c r="L105" s="134"/>
      <c r="M105" s="128"/>
      <c r="N105" s="134"/>
      <c r="O105" s="128"/>
      <c r="P105" s="134"/>
      <c r="Q105" s="128"/>
    </row>
    <row r="106" spans="2:17">
      <c r="B106" s="134"/>
      <c r="C106" s="128"/>
      <c r="D106" s="128"/>
      <c r="E106" s="128"/>
      <c r="F106" s="128"/>
      <c r="G106" s="128"/>
      <c r="H106" s="134"/>
      <c r="I106" s="130"/>
      <c r="J106" s="134"/>
      <c r="K106" s="128"/>
      <c r="L106" s="134"/>
      <c r="M106" s="128"/>
      <c r="N106" s="134"/>
      <c r="O106" s="128"/>
      <c r="P106" s="134"/>
      <c r="Q106" s="128"/>
    </row>
    <row r="107" spans="2:17">
      <c r="B107" s="134"/>
      <c r="C107" s="128"/>
      <c r="D107" s="128"/>
      <c r="E107" s="128"/>
      <c r="F107" s="128"/>
      <c r="G107" s="128"/>
      <c r="H107" s="134"/>
      <c r="I107" s="130"/>
      <c r="J107" s="134"/>
      <c r="K107" s="128"/>
      <c r="L107" s="134"/>
      <c r="M107" s="128"/>
      <c r="N107" s="134"/>
      <c r="O107" s="128"/>
      <c r="P107" s="134"/>
      <c r="Q107" s="128"/>
    </row>
    <row r="108" spans="2:17">
      <c r="B108" s="134"/>
      <c r="C108" s="128"/>
      <c r="D108" s="128"/>
      <c r="E108" s="128"/>
      <c r="F108" s="128"/>
      <c r="G108" s="128"/>
      <c r="H108" s="134"/>
      <c r="I108" s="130"/>
      <c r="J108" s="134"/>
      <c r="K108" s="128"/>
      <c r="L108" s="134"/>
      <c r="M108" s="128"/>
      <c r="N108" s="134"/>
      <c r="O108" s="128"/>
      <c r="P108" s="134"/>
      <c r="Q108" s="128"/>
    </row>
    <row r="109" spans="2:17">
      <c r="B109" s="134"/>
      <c r="C109" s="128"/>
      <c r="D109" s="128"/>
      <c r="E109" s="128"/>
      <c r="F109" s="128"/>
      <c r="G109" s="128"/>
      <c r="H109" s="134"/>
      <c r="I109" s="130"/>
      <c r="J109" s="134"/>
      <c r="K109" s="128"/>
      <c r="L109" s="134"/>
      <c r="M109" s="128"/>
      <c r="N109" s="134"/>
      <c r="O109" s="128"/>
      <c r="P109" s="134"/>
      <c r="Q109" s="128"/>
    </row>
    <row r="110" spans="2:17">
      <c r="B110" s="134"/>
      <c r="C110" s="128"/>
      <c r="D110" s="128"/>
      <c r="E110" s="128"/>
      <c r="F110" s="128"/>
      <c r="G110" s="128"/>
      <c r="H110" s="134"/>
      <c r="I110" s="130"/>
      <c r="J110" s="134"/>
      <c r="K110" s="128"/>
      <c r="L110" s="134"/>
      <c r="M110" s="128"/>
      <c r="N110" s="134"/>
      <c r="O110" s="128"/>
      <c r="P110" s="134"/>
      <c r="Q110" s="128"/>
    </row>
    <row r="111" spans="2:17">
      <c r="B111" s="134"/>
      <c r="C111" s="128"/>
      <c r="D111" s="128"/>
      <c r="E111" s="128"/>
      <c r="F111" s="128"/>
      <c r="G111" s="128"/>
      <c r="H111" s="134"/>
      <c r="I111" s="130"/>
      <c r="J111" s="134"/>
      <c r="K111" s="128"/>
      <c r="L111" s="134"/>
      <c r="M111" s="128"/>
      <c r="N111" s="134"/>
      <c r="O111" s="128"/>
      <c r="P111" s="134"/>
      <c r="Q111" s="128"/>
    </row>
    <row r="112" spans="2:17">
      <c r="B112" s="134"/>
      <c r="C112" s="128"/>
      <c r="D112" s="128"/>
      <c r="E112" s="128"/>
      <c r="F112" s="128"/>
      <c r="G112" s="128"/>
      <c r="H112" s="134"/>
      <c r="I112" s="130"/>
      <c r="J112" s="134"/>
      <c r="K112" s="128"/>
      <c r="L112" s="134"/>
      <c r="M112" s="128"/>
      <c r="N112" s="134"/>
      <c r="O112" s="128"/>
      <c r="P112" s="134"/>
      <c r="Q112" s="128"/>
    </row>
    <row r="113" spans="2:17">
      <c r="B113" s="134"/>
      <c r="C113" s="128"/>
      <c r="D113" s="128"/>
      <c r="E113" s="128"/>
      <c r="F113" s="128"/>
      <c r="G113" s="128"/>
      <c r="H113" s="134"/>
      <c r="I113" s="130"/>
      <c r="J113" s="134"/>
      <c r="K113" s="128"/>
      <c r="L113" s="134"/>
      <c r="M113" s="128"/>
      <c r="N113" s="134"/>
      <c r="O113" s="128"/>
      <c r="P113" s="134"/>
      <c r="Q113" s="128"/>
    </row>
    <row r="114" spans="2:17">
      <c r="B114" s="134"/>
      <c r="C114" s="1806"/>
      <c r="D114" s="1807"/>
      <c r="E114" s="1807"/>
      <c r="F114" s="1807"/>
      <c r="G114" s="1807"/>
      <c r="H114" s="1801"/>
      <c r="I114" s="1801"/>
      <c r="J114" s="1801"/>
      <c r="K114" s="1801"/>
      <c r="L114" s="1801"/>
      <c r="M114" s="1801"/>
      <c r="N114" s="132"/>
      <c r="O114" s="132"/>
      <c r="P114" s="132"/>
      <c r="Q114" s="132"/>
    </row>
    <row r="115" spans="2:17">
      <c r="B115" s="134"/>
      <c r="C115" s="1807"/>
      <c r="D115" s="1807"/>
      <c r="E115" s="1807"/>
      <c r="F115" s="1807"/>
      <c r="G115" s="1807"/>
      <c r="H115" s="1802"/>
      <c r="I115" s="1802"/>
      <c r="J115" s="1802"/>
      <c r="K115" s="1802"/>
      <c r="L115" s="1802"/>
      <c r="M115" s="1802"/>
      <c r="N115" s="144"/>
      <c r="O115" s="144"/>
      <c r="P115" s="144"/>
      <c r="Q115" s="144"/>
    </row>
    <row r="116" spans="2:17">
      <c r="B116" s="134"/>
      <c r="C116" s="145"/>
      <c r="D116" s="1804"/>
      <c r="E116" s="1804"/>
      <c r="F116" s="1804"/>
      <c r="G116" s="1804"/>
      <c r="H116" s="1803"/>
      <c r="I116" s="1803"/>
      <c r="J116" s="1803"/>
      <c r="K116" s="1803"/>
      <c r="L116" s="1803"/>
      <c r="M116" s="1803"/>
      <c r="N116" s="146"/>
      <c r="O116" s="146"/>
      <c r="P116" s="146"/>
      <c r="Q116" s="146"/>
    </row>
    <row r="117" spans="2:17">
      <c r="B117" s="134"/>
      <c r="C117" s="145"/>
      <c r="D117" s="133"/>
      <c r="E117" s="133"/>
      <c r="F117" s="133"/>
      <c r="G117" s="147"/>
      <c r="H117" s="1803"/>
      <c r="I117" s="1803"/>
      <c r="J117" s="1803"/>
      <c r="K117" s="1809"/>
      <c r="L117" s="1803"/>
      <c r="M117" s="1809"/>
      <c r="N117" s="146"/>
      <c r="O117" s="146"/>
      <c r="P117" s="146"/>
      <c r="Q117" s="148"/>
    </row>
    <row r="118" spans="2:17">
      <c r="B118" s="134"/>
      <c r="C118" s="145"/>
      <c r="D118" s="133"/>
      <c r="E118" s="133"/>
      <c r="F118" s="133"/>
      <c r="G118" s="147"/>
      <c r="H118" s="1803"/>
      <c r="I118" s="1803"/>
      <c r="J118" s="1803"/>
      <c r="K118" s="1809"/>
      <c r="L118" s="1803"/>
      <c r="M118" s="1809"/>
      <c r="N118" s="146"/>
      <c r="O118" s="146"/>
      <c r="P118" s="146"/>
      <c r="Q118" s="148"/>
    </row>
    <row r="119" spans="2:17">
      <c r="B119" s="134"/>
      <c r="C119" s="145"/>
      <c r="D119" s="133"/>
      <c r="E119" s="133"/>
      <c r="F119" s="133"/>
      <c r="G119" s="147"/>
      <c r="H119" s="1803"/>
      <c r="I119" s="1803"/>
      <c r="J119" s="1803"/>
      <c r="K119" s="1809"/>
      <c r="L119" s="1803"/>
      <c r="M119" s="1809"/>
      <c r="N119" s="146"/>
      <c r="O119" s="146"/>
      <c r="P119" s="146"/>
      <c r="Q119" s="148"/>
    </row>
    <row r="120" spans="2:17">
      <c r="B120" s="134"/>
      <c r="C120" s="145"/>
      <c r="D120" s="133"/>
      <c r="E120" s="133"/>
      <c r="F120" s="133"/>
      <c r="G120" s="147"/>
      <c r="H120" s="1803"/>
      <c r="I120" s="1803"/>
      <c r="J120" s="1805"/>
      <c r="K120" s="1805"/>
      <c r="L120" s="1805"/>
      <c r="M120" s="1805"/>
      <c r="N120" s="149"/>
      <c r="O120" s="149"/>
      <c r="P120" s="149"/>
      <c r="Q120" s="149"/>
    </row>
    <row r="121" spans="2:17">
      <c r="B121" s="134"/>
      <c r="C121" s="145"/>
      <c r="D121" s="1804"/>
      <c r="E121" s="1804"/>
      <c r="F121" s="1804"/>
      <c r="G121" s="1804"/>
      <c r="H121" s="1803"/>
      <c r="I121" s="1803"/>
      <c r="J121" s="1808"/>
      <c r="K121" s="1808"/>
      <c r="L121" s="1808"/>
      <c r="M121" s="1808"/>
      <c r="N121" s="150"/>
      <c r="O121" s="150"/>
      <c r="P121" s="150"/>
      <c r="Q121" s="150"/>
    </row>
    <row r="122" spans="2:17">
      <c r="B122" s="134"/>
      <c r="C122" s="145"/>
      <c r="D122" s="1823"/>
      <c r="E122" s="1823"/>
      <c r="F122" s="1823"/>
      <c r="G122" s="1823"/>
      <c r="H122" s="1803"/>
      <c r="I122" s="1809"/>
      <c r="J122" s="1803"/>
      <c r="K122" s="1809"/>
      <c r="L122" s="1803"/>
      <c r="M122" s="1809"/>
      <c r="N122" s="146"/>
      <c r="O122" s="146"/>
      <c r="P122" s="146"/>
      <c r="Q122" s="148"/>
    </row>
    <row r="123" spans="2:17">
      <c r="B123" s="134"/>
      <c r="C123" s="1806"/>
      <c r="D123" s="1807"/>
      <c r="E123" s="1807"/>
      <c r="F123" s="1807"/>
      <c r="G123" s="1807"/>
      <c r="H123" s="1801"/>
      <c r="I123" s="1801"/>
      <c r="J123" s="1801"/>
      <c r="K123" s="1801"/>
      <c r="L123" s="1801"/>
      <c r="M123" s="1801"/>
      <c r="N123" s="132"/>
      <c r="O123" s="132"/>
      <c r="P123" s="132"/>
      <c r="Q123" s="132"/>
    </row>
    <row r="124" spans="2:17">
      <c r="B124" s="134"/>
      <c r="C124" s="1807"/>
      <c r="D124" s="1807"/>
      <c r="E124" s="1807"/>
      <c r="F124" s="1807"/>
      <c r="G124" s="1807"/>
      <c r="H124" s="1802"/>
      <c r="I124" s="1802"/>
      <c r="J124" s="1802"/>
      <c r="K124" s="1802"/>
      <c r="L124" s="1802"/>
      <c r="M124" s="1802"/>
      <c r="N124" s="144"/>
      <c r="O124" s="144"/>
      <c r="P124" s="144"/>
      <c r="Q124" s="144"/>
    </row>
    <row r="125" spans="2:17">
      <c r="B125" s="134"/>
      <c r="C125" s="145"/>
      <c r="D125" s="130"/>
      <c r="E125" s="130"/>
      <c r="F125" s="130"/>
      <c r="G125" s="151"/>
      <c r="H125" s="1803"/>
      <c r="I125" s="1809"/>
      <c r="J125" s="1803"/>
      <c r="K125" s="1809"/>
      <c r="L125" s="1803"/>
      <c r="M125" s="1809"/>
      <c r="N125" s="146"/>
      <c r="O125" s="146"/>
      <c r="P125" s="146"/>
      <c r="Q125" s="148"/>
    </row>
    <row r="126" spans="2:17">
      <c r="B126" s="134"/>
      <c r="C126" s="145"/>
      <c r="D126" s="130"/>
      <c r="E126" s="130"/>
      <c r="F126" s="130"/>
      <c r="G126" s="151"/>
      <c r="H126" s="1803"/>
      <c r="I126" s="1809"/>
      <c r="J126" s="1803"/>
      <c r="K126" s="1809"/>
      <c r="L126" s="1803"/>
      <c r="M126" s="1809"/>
      <c r="N126" s="146"/>
      <c r="O126" s="146"/>
      <c r="P126" s="146"/>
      <c r="Q126" s="148"/>
    </row>
    <row r="127" spans="2:17">
      <c r="B127" s="134"/>
      <c r="C127" s="145"/>
      <c r="D127" s="130"/>
      <c r="E127" s="130"/>
      <c r="F127" s="130"/>
      <c r="G127" s="151"/>
      <c r="H127" s="1808"/>
      <c r="I127" s="1808"/>
      <c r="J127" s="1803"/>
      <c r="K127" s="1809"/>
      <c r="L127" s="1803"/>
      <c r="M127" s="1809"/>
      <c r="N127" s="146"/>
      <c r="O127" s="146"/>
      <c r="P127" s="146"/>
      <c r="Q127" s="148"/>
    </row>
    <row r="128" spans="2:17">
      <c r="B128" s="134"/>
      <c r="C128" s="145"/>
      <c r="D128" s="130"/>
      <c r="E128" s="130"/>
      <c r="F128" s="130"/>
      <c r="G128" s="151"/>
      <c r="H128" s="1803"/>
      <c r="I128" s="1809"/>
      <c r="J128" s="1803"/>
      <c r="K128" s="1809"/>
      <c r="L128" s="1803"/>
      <c r="M128" s="1809"/>
      <c r="N128" s="146"/>
      <c r="O128" s="146"/>
      <c r="P128" s="146"/>
      <c r="Q128" s="148"/>
    </row>
    <row r="129" spans="2:17">
      <c r="B129" s="134"/>
      <c r="C129" s="145"/>
      <c r="D129" s="130"/>
      <c r="E129" s="130"/>
      <c r="F129" s="130"/>
      <c r="G129" s="151"/>
      <c r="H129" s="1803"/>
      <c r="I129" s="1809"/>
      <c r="J129" s="1803"/>
      <c r="K129" s="1809"/>
      <c r="L129" s="1803"/>
      <c r="M129" s="1809"/>
      <c r="N129" s="146"/>
      <c r="O129" s="146"/>
      <c r="P129" s="146"/>
      <c r="Q129" s="148"/>
    </row>
  </sheetData>
  <sheetProtection algorithmName="SHA-512" hashValue="1oPmGYbYxwPQ0X8Qlrf3chXSWpeO0R8n6tQn7k8su13n0qmM2DJgW/sgsRVSMbXAAjALQVkzEmhG6f4qU7WAeA==" saltValue="Rj2YlT8AwpsvlFlnCMMByg==" spinCount="100000" sheet="1" objects="1" scenarios="1"/>
  <mergeCells count="218">
    <mergeCell ref="O5:P5"/>
    <mergeCell ref="G5:L5"/>
    <mergeCell ref="B5:E5"/>
    <mergeCell ref="R6:S6"/>
    <mergeCell ref="L120:M120"/>
    <mergeCell ref="D122:G122"/>
    <mergeCell ref="B59:D59"/>
    <mergeCell ref="B7:D8"/>
    <mergeCell ref="B62:D62"/>
    <mergeCell ref="B58:D58"/>
    <mergeCell ref="B63:D63"/>
    <mergeCell ref="B57:D57"/>
    <mergeCell ref="L116:M116"/>
    <mergeCell ref="L117:M117"/>
    <mergeCell ref="J114:K114"/>
    <mergeCell ref="J115:K115"/>
    <mergeCell ref="J116:K116"/>
    <mergeCell ref="M62:N62"/>
    <mergeCell ref="L115:M115"/>
    <mergeCell ref="H116:I116"/>
    <mergeCell ref="H117:I117"/>
    <mergeCell ref="G43:H43"/>
    <mergeCell ref="G45:H45"/>
    <mergeCell ref="G47:H47"/>
    <mergeCell ref="C26:D26"/>
    <mergeCell ref="B80:D80"/>
    <mergeCell ref="G80:K80"/>
    <mergeCell ref="G60:H60"/>
    <mergeCell ref="G63:H63"/>
    <mergeCell ref="I63:J63"/>
    <mergeCell ref="K63:L63"/>
    <mergeCell ref="G37:H37"/>
    <mergeCell ref="G59:H59"/>
    <mergeCell ref="G62:H62"/>
    <mergeCell ref="K55:L55"/>
    <mergeCell ref="I58:J58"/>
    <mergeCell ref="I59:J59"/>
    <mergeCell ref="L80:N80"/>
    <mergeCell ref="B37:D37"/>
    <mergeCell ref="B47:D47"/>
    <mergeCell ref="B53:D53"/>
    <mergeCell ref="C50:D50"/>
    <mergeCell ref="B55:D55"/>
    <mergeCell ref="B56:D56"/>
    <mergeCell ref="B61:D61"/>
    <mergeCell ref="M63:N63"/>
    <mergeCell ref="M59:N59"/>
    <mergeCell ref="C28:D28"/>
    <mergeCell ref="H126:I126"/>
    <mergeCell ref="J126:K126"/>
    <mergeCell ref="L126:M126"/>
    <mergeCell ref="M61:N61"/>
    <mergeCell ref="M58:N58"/>
    <mergeCell ref="M55:N55"/>
    <mergeCell ref="K58:L58"/>
    <mergeCell ref="G57:H57"/>
    <mergeCell ref="G61:H61"/>
    <mergeCell ref="G58:H58"/>
    <mergeCell ref="M57:N57"/>
    <mergeCell ref="I57:J57"/>
    <mergeCell ref="G56:H56"/>
    <mergeCell ref="M56:N56"/>
    <mergeCell ref="D121:G121"/>
    <mergeCell ref="J117:K117"/>
    <mergeCell ref="H125:I125"/>
    <mergeCell ref="H119:I119"/>
    <mergeCell ref="H122:I122"/>
    <mergeCell ref="L125:M125"/>
    <mergeCell ref="J121:K121"/>
    <mergeCell ref="H121:I121"/>
    <mergeCell ref="J125:K125"/>
    <mergeCell ref="J122:K122"/>
    <mergeCell ref="L129:M129"/>
    <mergeCell ref="L128:M128"/>
    <mergeCell ref="H127:I127"/>
    <mergeCell ref="J127:K127"/>
    <mergeCell ref="L127:M127"/>
    <mergeCell ref="J129:K129"/>
    <mergeCell ref="J128:K128"/>
    <mergeCell ref="H128:I128"/>
    <mergeCell ref="H129:I129"/>
    <mergeCell ref="J124:K124"/>
    <mergeCell ref="J123:K123"/>
    <mergeCell ref="H118:I118"/>
    <mergeCell ref="H120:I120"/>
    <mergeCell ref="D116:G116"/>
    <mergeCell ref="J120:K120"/>
    <mergeCell ref="C123:G124"/>
    <mergeCell ref="H123:I123"/>
    <mergeCell ref="K50:L50"/>
    <mergeCell ref="L123:M123"/>
    <mergeCell ref="L121:M121"/>
    <mergeCell ref="J119:K119"/>
    <mergeCell ref="L119:M119"/>
    <mergeCell ref="H124:I124"/>
    <mergeCell ref="L122:M122"/>
    <mergeCell ref="L124:M124"/>
    <mergeCell ref="J118:K118"/>
    <mergeCell ref="L118:M118"/>
    <mergeCell ref="H115:I115"/>
    <mergeCell ref="I56:J56"/>
    <mergeCell ref="K61:L61"/>
    <mergeCell ref="K57:L57"/>
    <mergeCell ref="K56:L56"/>
    <mergeCell ref="C114:G115"/>
    <mergeCell ref="L114:M114"/>
    <mergeCell ref="H114:I114"/>
    <mergeCell ref="G51:H51"/>
    <mergeCell ref="I62:J62"/>
    <mergeCell ref="K62:L62"/>
    <mergeCell ref="K59:L59"/>
    <mergeCell ref="I61:J61"/>
    <mergeCell ref="I51:J51"/>
    <mergeCell ref="G52:H52"/>
    <mergeCell ref="I52:J52"/>
    <mergeCell ref="K52:L52"/>
    <mergeCell ref="O33:P33"/>
    <mergeCell ref="O38:P38"/>
    <mergeCell ref="G46:H46"/>
    <mergeCell ref="M50:N50"/>
    <mergeCell ref="G49:H49"/>
    <mergeCell ref="G48:H48"/>
    <mergeCell ref="K39:L39"/>
    <mergeCell ref="K47:L47"/>
    <mergeCell ref="K38:L38"/>
    <mergeCell ref="I45:J45"/>
    <mergeCell ref="G44:H44"/>
    <mergeCell ref="K43:L43"/>
    <mergeCell ref="M43:N43"/>
    <mergeCell ref="M48:N48"/>
    <mergeCell ref="I46:J46"/>
    <mergeCell ref="K46:L46"/>
    <mergeCell ref="M46:N46"/>
    <mergeCell ref="I47:J47"/>
    <mergeCell ref="I48:J48"/>
    <mergeCell ref="M49:N49"/>
    <mergeCell ref="M42:N42"/>
    <mergeCell ref="M44:N44"/>
    <mergeCell ref="G38:H38"/>
    <mergeCell ref="K49:L49"/>
    <mergeCell ref="G42:H42"/>
    <mergeCell ref="G50:H50"/>
    <mergeCell ref="G55:H55"/>
    <mergeCell ref="I55:J55"/>
    <mergeCell ref="K40:L40"/>
    <mergeCell ref="M40:N40"/>
    <mergeCell ref="M52:N52"/>
    <mergeCell ref="M45:N45"/>
    <mergeCell ref="K45:L45"/>
    <mergeCell ref="G53:H53"/>
    <mergeCell ref="I53:J53"/>
    <mergeCell ref="K53:L53"/>
    <mergeCell ref="M53:N53"/>
    <mergeCell ref="K51:L51"/>
    <mergeCell ref="M51:N51"/>
    <mergeCell ref="I49:J49"/>
    <mergeCell ref="K41:L41"/>
    <mergeCell ref="I43:J43"/>
    <mergeCell ref="M41:N41"/>
    <mergeCell ref="K48:L48"/>
    <mergeCell ref="I50:J50"/>
    <mergeCell ref="E7:F7"/>
    <mergeCell ref="E8:F8"/>
    <mergeCell ref="E10:F10"/>
    <mergeCell ref="E33:F33"/>
    <mergeCell ref="G8:H8"/>
    <mergeCell ref="I8:J8"/>
    <mergeCell ref="K8:L8"/>
    <mergeCell ref="M8:N8"/>
    <mergeCell ref="G33:H33"/>
    <mergeCell ref="G7:H7"/>
    <mergeCell ref="K7:L7"/>
    <mergeCell ref="M7:N7"/>
    <mergeCell ref="I33:J33"/>
    <mergeCell ref="K33:L33"/>
    <mergeCell ref="M33:N33"/>
    <mergeCell ref="G10:H10"/>
    <mergeCell ref="I10:J10"/>
    <mergeCell ref="K10:L10"/>
    <mergeCell ref="M10:N10"/>
    <mergeCell ref="O10:P10"/>
    <mergeCell ref="I38:J38"/>
    <mergeCell ref="I7:J7"/>
    <mergeCell ref="O47:P47"/>
    <mergeCell ref="O48:P48"/>
    <mergeCell ref="K44:L44"/>
    <mergeCell ref="M39:N39"/>
    <mergeCell ref="M47:N47"/>
    <mergeCell ref="I42:J42"/>
    <mergeCell ref="K42:L42"/>
    <mergeCell ref="I37:J37"/>
    <mergeCell ref="O39:P39"/>
    <mergeCell ref="M38:N38"/>
    <mergeCell ref="I44:J44"/>
    <mergeCell ref="O40:P40"/>
    <mergeCell ref="O41:P41"/>
    <mergeCell ref="O42:P42"/>
    <mergeCell ref="O43:P43"/>
    <mergeCell ref="O44:P44"/>
    <mergeCell ref="O45:P45"/>
    <mergeCell ref="O46:P46"/>
    <mergeCell ref="K36:P36"/>
    <mergeCell ref="O7:P7"/>
    <mergeCell ref="O8:P8"/>
    <mergeCell ref="M35:P35"/>
    <mergeCell ref="O63:P63"/>
    <mergeCell ref="O51:P51"/>
    <mergeCell ref="O52:P52"/>
    <mergeCell ref="O53:P53"/>
    <mergeCell ref="O55:P55"/>
    <mergeCell ref="O62:P62"/>
    <mergeCell ref="O56:P56"/>
    <mergeCell ref="O49:P49"/>
    <mergeCell ref="O50:P50"/>
    <mergeCell ref="O58:P58"/>
    <mergeCell ref="O59:P59"/>
    <mergeCell ref="O61:P61"/>
    <mergeCell ref="O57:P57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5" orientation="landscape" verticalDpi="4" r:id="rId1"/>
  <colBreaks count="1" manualBreakCount="1">
    <brk id="16" max="36" man="1"/>
  </colBreaks>
  <ignoredErrors>
    <ignoredError sqref="B5 G5 O5 I8" unlockedFormula="1"/>
    <ignoredError sqref="G10 K10" numberStoredAsText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ul5"/>
  <dimension ref="B1:H54"/>
  <sheetViews>
    <sheetView workbookViewId="0">
      <selection activeCell="C52" sqref="C52:H54"/>
    </sheetView>
  </sheetViews>
  <sheetFormatPr defaultRowHeight="12.45"/>
  <cols>
    <col min="2" max="2" width="26.69140625" customWidth="1"/>
  </cols>
  <sheetData>
    <row r="1" spans="2:8">
      <c r="B1" s="277" t="s">
        <v>290</v>
      </c>
    </row>
    <row r="2" spans="2:8" ht="12.9" thickBot="1">
      <c r="C2" s="276">
        <f>'8. T4 RAHOITUSSUUN. '!P11</f>
        <v>2023</v>
      </c>
      <c r="D2" s="276">
        <f>'8. T4 RAHOITUSSUUN. '!Q11</f>
        <v>2024</v>
      </c>
      <c r="E2" s="276">
        <f>'8. T4 RAHOITUSSUUN. '!R11</f>
        <v>2025</v>
      </c>
      <c r="F2" s="276">
        <f>'8. T4 RAHOITUSSUUN. '!S11</f>
        <v>2026</v>
      </c>
      <c r="G2" s="276">
        <f>'8. T4 RAHOITUSSUUN. '!T11</f>
        <v>2027</v>
      </c>
      <c r="H2" s="276">
        <f>'8. T4 RAHOITUSSUUN. '!U11</f>
        <v>2028</v>
      </c>
    </row>
    <row r="3" spans="2:8">
      <c r="B3" s="501" t="s">
        <v>564</v>
      </c>
      <c r="C3" s="1518">
        <f>'8. T4 RAHOITUSSUUN. '!P13/1000</f>
        <v>0</v>
      </c>
      <c r="D3" s="1518">
        <f>'8. T4 RAHOITUSSUUN. '!Q13/1000</f>
        <v>0</v>
      </c>
      <c r="E3" s="1518">
        <f>'8. T4 RAHOITUSSUUN. '!R13/1000</f>
        <v>0</v>
      </c>
      <c r="F3" s="1518">
        <f>'8. T4 RAHOITUSSUUN. '!S13/1000</f>
        <v>0</v>
      </c>
      <c r="G3" s="1518">
        <f>'8. T4 RAHOITUSSUUN. '!T13/1000</f>
        <v>0</v>
      </c>
      <c r="H3" s="1518">
        <f>'8. T4 RAHOITUSSUUN. '!U13/1000</f>
        <v>0</v>
      </c>
    </row>
    <row r="4" spans="2:8">
      <c r="B4" s="503" t="s">
        <v>565</v>
      </c>
      <c r="C4" s="1518">
        <f>'3. T3 TASE '!F98/1000</f>
        <v>0</v>
      </c>
      <c r="D4" s="1518">
        <f>'3. T3 TASE '!G98/1000</f>
        <v>0</v>
      </c>
      <c r="E4" s="1518">
        <f>'3. T3 TASE '!H98/1000</f>
        <v>0</v>
      </c>
      <c r="F4" s="1518">
        <f>'3. T3 TASE '!I98/1000</f>
        <v>0</v>
      </c>
      <c r="G4" s="1518">
        <f>'3. T3 TASE '!J98/1000</f>
        <v>0</v>
      </c>
      <c r="H4" s="1518">
        <f>'3. T3 TASE '!K98/1000</f>
        <v>0</v>
      </c>
    </row>
    <row r="5" spans="2:8">
      <c r="B5" s="505" t="s">
        <v>566</v>
      </c>
      <c r="C5" s="1518">
        <f>'8. T4 RAHOITUSSUUN. '!P16/1000</f>
        <v>0</v>
      </c>
      <c r="D5" s="1518">
        <f>'8. T4 RAHOITUSSUUN. '!Q16/1000</f>
        <v>0</v>
      </c>
      <c r="E5" s="1518">
        <f>'8. T4 RAHOITUSSUUN. '!R16/1000</f>
        <v>0</v>
      </c>
      <c r="F5" s="1518">
        <f>'8. T4 RAHOITUSSUUN. '!S16/1000</f>
        <v>0</v>
      </c>
      <c r="G5" s="1518">
        <f>'8. T4 RAHOITUSSUUN. '!T16/1000</f>
        <v>0</v>
      </c>
      <c r="H5" s="1518">
        <f>'8. T4 RAHOITUSSUUN. '!U16/1000</f>
        <v>0</v>
      </c>
    </row>
    <row r="25" spans="2:8">
      <c r="B25" s="166" t="s">
        <v>291</v>
      </c>
    </row>
    <row r="26" spans="2:8">
      <c r="C26" s="18">
        <f t="shared" ref="C26:H26" si="0">C2</f>
        <v>2023</v>
      </c>
      <c r="D26" s="18">
        <f t="shared" si="0"/>
        <v>2024</v>
      </c>
      <c r="E26" s="18">
        <f t="shared" si="0"/>
        <v>2025</v>
      </c>
      <c r="F26" s="18">
        <f t="shared" si="0"/>
        <v>2026</v>
      </c>
      <c r="G26" s="18">
        <f t="shared" si="0"/>
        <v>2027</v>
      </c>
      <c r="H26" s="18">
        <f t="shared" si="0"/>
        <v>2028</v>
      </c>
    </row>
    <row r="27" spans="2:8">
      <c r="B27" s="503" t="s">
        <v>620</v>
      </c>
      <c r="C27" s="1519">
        <f>'8. T4 RAHOITUSSUUN. '!P19*100</f>
        <v>0</v>
      </c>
      <c r="D27" s="1519">
        <f>'8. T4 RAHOITUSSUUN. '!Q19*100</f>
        <v>0</v>
      </c>
      <c r="E27" s="1519">
        <f>'8. T4 RAHOITUSSUUN. '!R19*100</f>
        <v>0</v>
      </c>
      <c r="F27" s="1519">
        <f>'8. T4 RAHOITUSSUUN. '!S19*100</f>
        <v>0</v>
      </c>
      <c r="G27" s="1519">
        <f>'8. T4 RAHOITUSSUUN. '!T19*100</f>
        <v>0</v>
      </c>
      <c r="H27" s="1519">
        <f>'8. T4 RAHOITUSSUUN. '!U19*100</f>
        <v>0</v>
      </c>
    </row>
    <row r="28" spans="2:8">
      <c r="B28" s="503" t="s">
        <v>626</v>
      </c>
      <c r="C28" s="1519">
        <f>'8. T4 RAHOITUSSUUN. '!P21*100</f>
        <v>0</v>
      </c>
      <c r="D28" s="1519">
        <f>'8. T4 RAHOITUSSUUN. '!Q21*100</f>
        <v>0</v>
      </c>
      <c r="E28" s="1519">
        <f>'8. T4 RAHOITUSSUUN. '!R21*100</f>
        <v>0</v>
      </c>
      <c r="F28" s="1519">
        <f>'8. T4 RAHOITUSSUUN. '!S21*100</f>
        <v>0</v>
      </c>
      <c r="G28" s="1519">
        <f>'8. T4 RAHOITUSSUUN. '!T21*100</f>
        <v>0</v>
      </c>
      <c r="H28" s="1519">
        <f>'8. T4 RAHOITUSSUUN. '!U21*100</f>
        <v>0</v>
      </c>
    </row>
    <row r="29" spans="2:8">
      <c r="B29" s="503" t="s">
        <v>622</v>
      </c>
      <c r="C29" s="1520">
        <f>'8. T4 RAHOITUSSUUN. '!P24*100</f>
        <v>0</v>
      </c>
      <c r="D29" s="1520">
        <f>'8. T4 RAHOITUSSUUN. '!Q24*100</f>
        <v>0</v>
      </c>
      <c r="E29" s="1520">
        <f>'8. T4 RAHOITUSSUUN. '!R24*100</f>
        <v>0</v>
      </c>
      <c r="F29" s="1520">
        <f>'8. T4 RAHOITUSSUUN. '!S24*100</f>
        <v>0</v>
      </c>
      <c r="G29" s="1520">
        <f>'8. T4 RAHOITUSSUUN. '!T24*100</f>
        <v>0</v>
      </c>
      <c r="H29" s="1520">
        <f>'8. T4 RAHOITUSSUUN. '!U24*100</f>
        <v>0</v>
      </c>
    </row>
    <row r="30" spans="2:8">
      <c r="B30" s="505" t="s">
        <v>621</v>
      </c>
      <c r="C30" s="1520">
        <f>'8. T4 RAHOITUSSUUN. '!P25*100</f>
        <v>0</v>
      </c>
      <c r="D30" s="1520">
        <f>'8. T4 RAHOITUSSUUN. '!Q25*100</f>
        <v>0</v>
      </c>
      <c r="E30" s="1520">
        <f>'8. T4 RAHOITUSSUUN. '!R25*100</f>
        <v>0</v>
      </c>
      <c r="F30" s="1520">
        <f>'8. T4 RAHOITUSSUUN. '!S25*100</f>
        <v>0</v>
      </c>
      <c r="G30" s="1520">
        <f>'8. T4 RAHOITUSSUUN. '!T25*100</f>
        <v>0</v>
      </c>
      <c r="H30" s="1520">
        <f>'8. T4 RAHOITUSSUUN. '!U25*100</f>
        <v>0</v>
      </c>
    </row>
    <row r="31" spans="2:8">
      <c r="B31" s="151"/>
      <c r="C31" s="761"/>
      <c r="D31" s="761"/>
      <c r="E31" s="761"/>
      <c r="F31" s="761"/>
      <c r="G31" s="761"/>
      <c r="H31" s="761"/>
    </row>
    <row r="50" spans="2:8">
      <c r="B50" s="358" t="s">
        <v>317</v>
      </c>
    </row>
    <row r="51" spans="2:8">
      <c r="C51" s="513">
        <f>'8. T4 RAHOITUSSUUN. '!P44</f>
        <v>2023</v>
      </c>
      <c r="D51" s="513">
        <f>'8. T4 RAHOITUSSUUN. '!Q44</f>
        <v>2024</v>
      </c>
      <c r="E51" s="513">
        <f>'8. T4 RAHOITUSSUUN. '!R44</f>
        <v>2025</v>
      </c>
      <c r="F51" s="513">
        <f>'8. T4 RAHOITUSSUUN. '!S44</f>
        <v>2026</v>
      </c>
      <c r="G51" s="513">
        <f>'8. T4 RAHOITUSSUUN. '!T44</f>
        <v>2027</v>
      </c>
      <c r="H51" s="513">
        <f>'8. T4 RAHOITUSSUUN. '!U44</f>
        <v>2028</v>
      </c>
    </row>
    <row r="52" spans="2:8">
      <c r="B52" s="501" t="s">
        <v>567</v>
      </c>
      <c r="C52" s="1518">
        <f>'8. T4 RAHOITUSSUUN. '!P45/1000</f>
        <v>0</v>
      </c>
      <c r="D52" s="1518">
        <f>'8. T4 RAHOITUSSUUN. '!Q45/1000</f>
        <v>0</v>
      </c>
      <c r="E52" s="1518">
        <f>'8. T4 RAHOITUSSUUN. '!R45/1000</f>
        <v>0</v>
      </c>
      <c r="F52" s="1518">
        <f>'8. T4 RAHOITUSSUUN. '!S45/1000</f>
        <v>0</v>
      </c>
      <c r="G52" s="1518">
        <f>'8. T4 RAHOITUSSUUN. '!T45/1000</f>
        <v>0</v>
      </c>
      <c r="H52" s="1518">
        <f>'8. T4 RAHOITUSSUUN. '!U45/1000</f>
        <v>0</v>
      </c>
    </row>
    <row r="53" spans="2:8">
      <c r="B53" s="503" t="s">
        <v>568</v>
      </c>
      <c r="C53" s="1518">
        <f>'8. T4 RAHOITUSSUUN. '!P46/1000</f>
        <v>0</v>
      </c>
      <c r="D53" s="1518">
        <f>'8. T4 RAHOITUSSUUN. '!Q46/1000</f>
        <v>0</v>
      </c>
      <c r="E53" s="1518">
        <f>'8. T4 RAHOITUSSUUN. '!R46/1000</f>
        <v>0</v>
      </c>
      <c r="F53" s="1518">
        <f>'8. T4 RAHOITUSSUUN. '!S46/1000</f>
        <v>0</v>
      </c>
      <c r="G53" s="1518">
        <f>'8. T4 RAHOITUSSUUN. '!T46/1000</f>
        <v>0</v>
      </c>
      <c r="H53" s="1518">
        <f>'8. T4 RAHOITUSSUUN. '!U46/1000</f>
        <v>0</v>
      </c>
    </row>
    <row r="54" spans="2:8">
      <c r="B54" s="503" t="s">
        <v>569</v>
      </c>
      <c r="C54" s="1521">
        <f>'8. T4 RAHOITUSSUUN. '!P49/1000</f>
        <v>0</v>
      </c>
      <c r="D54" s="1521">
        <f>'8. T4 RAHOITUSSUUN. '!Q49/1000</f>
        <v>0</v>
      </c>
      <c r="E54" s="1521">
        <f>'8. T4 RAHOITUSSUUN. '!R49/1000</f>
        <v>0</v>
      </c>
      <c r="F54" s="1521">
        <f>'8. T4 RAHOITUSSUUN. '!S49/1000</f>
        <v>0</v>
      </c>
      <c r="G54" s="1521">
        <f>'8. T4 RAHOITUSSUUN. '!T49/1000</f>
        <v>0</v>
      </c>
      <c r="H54" s="1521">
        <f>'8. T4 RAHOITUSSUUN. '!U49/1000</f>
        <v>0</v>
      </c>
    </row>
  </sheetData>
  <sheetProtection algorithmName="SHA-512" hashValue="fOPVZC6Smw41Dw5XR5w6nKcVXk/4grx6TT309Fp1oz+eqmPTwtXRh5eZkcIip56oa596gJqarMx5UsAyi2zXDw==" saltValue="wYxbHlQB5D7S66nP2qWgPg==" spinCount="100000" sheet="1" objects="1" scenarios="1" selectLockedCells="1" selectUnlockedCell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ul4">
    <tabColor rgb="FF0152A1"/>
  </sheetPr>
  <dimension ref="A1:U106"/>
  <sheetViews>
    <sheetView showGridLines="0" showZeros="0" defaultGridColor="0" colorId="23" zoomScaleNormal="100" workbookViewId="0">
      <selection activeCell="F14" sqref="F14"/>
    </sheetView>
  </sheetViews>
  <sheetFormatPr defaultRowHeight="12.45"/>
  <cols>
    <col min="1" max="1" width="11.4609375" style="38" customWidth="1"/>
    <col min="2" max="2" width="3.3046875" customWidth="1"/>
    <col min="3" max="3" width="18.3046875" customWidth="1"/>
    <col min="4" max="4" width="10" customWidth="1"/>
    <col min="5" max="5" width="7.07421875" customWidth="1"/>
    <col min="6" max="11" width="11.3046875" customWidth="1"/>
    <col min="12" max="12" width="5" customWidth="1"/>
    <col min="13" max="21" width="11.3046875" customWidth="1"/>
  </cols>
  <sheetData>
    <row r="1" spans="1:21">
      <c r="A1" s="38" t="s">
        <v>0</v>
      </c>
    </row>
    <row r="2" spans="1:21" ht="15.45">
      <c r="A2" s="1525" t="s">
        <v>740</v>
      </c>
      <c r="C2" s="89" t="s">
        <v>431</v>
      </c>
      <c r="D2" s="22"/>
      <c r="G2" s="46"/>
      <c r="J2" s="58"/>
      <c r="K2" s="58"/>
      <c r="M2" s="89" t="s">
        <v>248</v>
      </c>
      <c r="N2" s="22"/>
    </row>
    <row r="3" spans="1:21">
      <c r="B3" s="50"/>
      <c r="G3" s="548"/>
      <c r="M3" s="1778"/>
      <c r="N3" s="1778"/>
    </row>
    <row r="4" spans="1:21">
      <c r="B4" s="46" t="s">
        <v>685</v>
      </c>
      <c r="H4" s="83">
        <v>0</v>
      </c>
    </row>
    <row r="5" spans="1:21">
      <c r="B5" s="1870">
        <f>'1. T1 INVESTOINTISUUN.'!B7:D7</f>
        <v>0</v>
      </c>
      <c r="C5" s="1870"/>
      <c r="D5" s="1870"/>
      <c r="E5" s="1870"/>
      <c r="F5" s="1870"/>
      <c r="G5" s="494"/>
      <c r="H5" s="494"/>
      <c r="I5" s="51"/>
      <c r="J5" s="494"/>
      <c r="K5" s="494"/>
      <c r="L5" s="43"/>
      <c r="M5" s="1340"/>
      <c r="N5" s="1341"/>
      <c r="O5" s="1335"/>
      <c r="P5" s="1341"/>
      <c r="Q5" s="1341"/>
      <c r="R5" s="1341"/>
      <c r="S5" s="1341"/>
      <c r="T5" s="1341"/>
      <c r="U5" s="1342"/>
    </row>
    <row r="6" spans="1:21">
      <c r="B6" s="550"/>
      <c r="C6" s="552"/>
      <c r="D6" s="552"/>
      <c r="E6" s="506"/>
      <c r="F6" s="506"/>
      <c r="G6" s="51"/>
      <c r="H6" s="1831"/>
      <c r="I6" s="1831"/>
      <c r="J6" s="1831"/>
      <c r="K6" s="1831"/>
      <c r="M6" s="1343" t="s">
        <v>88</v>
      </c>
      <c r="N6" s="140"/>
      <c r="U6" s="1344"/>
    </row>
    <row r="7" spans="1:21">
      <c r="B7" s="161" t="s">
        <v>520</v>
      </c>
      <c r="C7" s="494"/>
      <c r="D7" s="494"/>
      <c r="E7" s="494"/>
      <c r="F7" s="494"/>
      <c r="G7" s="494"/>
      <c r="H7" s="494" t="s">
        <v>93</v>
      </c>
      <c r="J7" s="494"/>
      <c r="K7" s="494"/>
      <c r="L7" s="43"/>
      <c r="M7" s="1345"/>
      <c r="N7" s="140"/>
      <c r="U7" s="1344"/>
    </row>
    <row r="8" spans="1:21">
      <c r="B8" s="1862">
        <f>'1. T1 INVESTOINTISUUN.'!B9:D9</f>
        <v>0</v>
      </c>
      <c r="C8" s="1862"/>
      <c r="D8" s="1862"/>
      <c r="E8" s="1862"/>
      <c r="F8" s="1862"/>
      <c r="G8" s="495"/>
      <c r="H8" s="551">
        <f>'1. T1 INVESTOINTISUUN.'!E4</f>
        <v>0</v>
      </c>
      <c r="I8" s="51"/>
      <c r="J8" s="51"/>
      <c r="K8" s="51"/>
      <c r="M8" s="1345"/>
      <c r="N8" s="140"/>
      <c r="O8" s="387"/>
      <c r="P8" s="140"/>
      <c r="Q8" s="140"/>
      <c r="R8" s="140"/>
      <c r="S8" s="140"/>
      <c r="T8" s="140"/>
      <c r="U8" s="1344"/>
    </row>
    <row r="9" spans="1:21" ht="12.9" thickBot="1">
      <c r="B9" s="38"/>
      <c r="M9" s="1345"/>
      <c r="N9" s="140"/>
      <c r="O9" s="140"/>
      <c r="P9" s="140"/>
      <c r="Q9" s="140"/>
      <c r="R9" s="140"/>
      <c r="S9" s="140"/>
      <c r="T9" s="140"/>
      <c r="U9" s="1344"/>
    </row>
    <row r="10" spans="1:21" ht="12.75" customHeight="1">
      <c r="B10" s="1838" t="s">
        <v>213</v>
      </c>
      <c r="C10" s="1839"/>
      <c r="D10" s="1186"/>
      <c r="E10" s="1187"/>
      <c r="F10" s="1188" t="str">
        <f>'3. T3 TASE '!G10</f>
        <v>Tot. tilikausi</v>
      </c>
      <c r="G10" s="1188" t="str">
        <f>'6. E2 LIIKEVAIHTO '!D7</f>
        <v>Tot. tilikausi</v>
      </c>
      <c r="H10" s="1188" t="str">
        <f>'1. T1 INVESTOINTISUUN.'!D15</f>
        <v>Ennuste 1</v>
      </c>
      <c r="I10" s="1188" t="str">
        <f>'6. E2 LIIKEVAIHTO '!F7</f>
        <v>Ennuste 2</v>
      </c>
      <c r="J10" s="1189" t="str">
        <f>'6. E2 LIIKEVAIHTO '!G7</f>
        <v>Ennuste 3</v>
      </c>
      <c r="K10" s="1190" t="s">
        <v>257</v>
      </c>
      <c r="M10" s="1871" t="s">
        <v>213</v>
      </c>
      <c r="N10" s="1872"/>
      <c r="O10" s="1872"/>
      <c r="P10" s="1872"/>
      <c r="Q10" s="1872"/>
      <c r="R10" s="1872"/>
      <c r="S10" s="1872"/>
      <c r="T10" s="1872"/>
      <c r="U10" s="1873"/>
    </row>
    <row r="11" spans="1:21" ht="12.75" customHeight="1">
      <c r="A11"/>
      <c r="B11" s="1840"/>
      <c r="C11" s="1841"/>
      <c r="D11" s="1191"/>
      <c r="E11" s="1191"/>
      <c r="F11" s="1192">
        <f>'2. &amp; 7. T2 TULOSSUUN. '!E8</f>
        <v>2023</v>
      </c>
      <c r="G11" s="1192">
        <f>'2. &amp; 7. T2 TULOSSUUN. '!G8</f>
        <v>2024</v>
      </c>
      <c r="H11" s="1192">
        <f>'2. &amp; 7. T2 TULOSSUUN. '!I8</f>
        <v>2025</v>
      </c>
      <c r="I11" s="1192">
        <f>'2. &amp; 7. T2 TULOSSUUN. '!K8</f>
        <v>2026</v>
      </c>
      <c r="J11" s="1192">
        <f>'2. &amp; 7. T2 TULOSSUUN. '!M8</f>
        <v>2027</v>
      </c>
      <c r="K11" s="1193">
        <f>'2. &amp; 7. T2 TULOSSUUN. '!O8</f>
        <v>2028</v>
      </c>
      <c r="M11" s="1871"/>
      <c r="N11" s="1872"/>
      <c r="O11" s="1872"/>
      <c r="P11" s="1872"/>
      <c r="Q11" s="1872"/>
      <c r="R11" s="1872"/>
      <c r="S11" s="1872"/>
      <c r="T11" s="1872"/>
      <c r="U11" s="1873"/>
    </row>
    <row r="12" spans="1:21" ht="12.75" customHeight="1" thickBot="1">
      <c r="A12" s="51"/>
      <c r="B12" s="1842"/>
      <c r="C12" s="1843"/>
      <c r="D12" s="1833"/>
      <c r="E12" s="1833"/>
      <c r="F12" s="1208" t="s">
        <v>17</v>
      </c>
      <c r="G12" s="1208" t="s">
        <v>17</v>
      </c>
      <c r="H12" s="1208" t="s">
        <v>17</v>
      </c>
      <c r="I12" s="1208" t="s">
        <v>17</v>
      </c>
      <c r="J12" s="1209" t="s">
        <v>17</v>
      </c>
      <c r="K12" s="1210" t="s">
        <v>17</v>
      </c>
      <c r="M12" s="378"/>
      <c r="N12" s="320"/>
      <c r="O12" s="320"/>
      <c r="P12" s="320"/>
      <c r="Q12" s="320"/>
      <c r="R12" s="320"/>
      <c r="S12" s="320"/>
      <c r="T12" s="320"/>
      <c r="U12" s="464"/>
    </row>
    <row r="13" spans="1:21">
      <c r="A13"/>
      <c r="B13" s="993" t="s">
        <v>218</v>
      </c>
      <c r="C13" s="264" t="s">
        <v>219</v>
      </c>
      <c r="D13" s="264"/>
      <c r="E13" s="994"/>
      <c r="F13" s="995">
        <f t="shared" ref="F13:K13" si="0">F14+F18+F34</f>
        <v>0</v>
      </c>
      <c r="G13" s="995">
        <f>G14+G18+G34</f>
        <v>0</v>
      </c>
      <c r="H13" s="995">
        <f t="shared" si="0"/>
        <v>0</v>
      </c>
      <c r="I13" s="995">
        <f t="shared" si="0"/>
        <v>0</v>
      </c>
      <c r="J13" s="996">
        <f t="shared" si="0"/>
        <v>0</v>
      </c>
      <c r="K13" s="1007">
        <f t="shared" si="0"/>
        <v>0</v>
      </c>
      <c r="M13" s="378"/>
      <c r="N13" s="320"/>
      <c r="O13" s="320"/>
      <c r="P13" s="320"/>
      <c r="Q13" s="320"/>
      <c r="R13" s="320"/>
      <c r="S13" s="320"/>
      <c r="T13" s="320"/>
      <c r="U13" s="464"/>
    </row>
    <row r="14" spans="1:21">
      <c r="A14" s="51"/>
      <c r="B14" s="193" t="s">
        <v>412</v>
      </c>
      <c r="C14" s="194" t="s">
        <v>251</v>
      </c>
      <c r="D14" s="194"/>
      <c r="E14" s="195"/>
      <c r="F14" s="918">
        <v>0</v>
      </c>
      <c r="G14" s="918">
        <v>0</v>
      </c>
      <c r="H14" s="755">
        <f>G14+H15-H16-H17</f>
        <v>0</v>
      </c>
      <c r="I14" s="755">
        <f>H14+I15-I16-I17</f>
        <v>0</v>
      </c>
      <c r="J14" s="919">
        <f>I14+J15-J16-J17</f>
        <v>0</v>
      </c>
      <c r="K14" s="327">
        <f>J14+K15-K16-K17</f>
        <v>0</v>
      </c>
      <c r="M14" s="378"/>
      <c r="N14" s="320"/>
      <c r="O14" s="320"/>
      <c r="P14" s="320"/>
      <c r="Q14" s="320"/>
      <c r="R14" s="320"/>
      <c r="S14" s="320"/>
      <c r="T14" s="320"/>
      <c r="U14" s="464"/>
    </row>
    <row r="15" spans="1:21">
      <c r="A15" s="2"/>
      <c r="B15" s="196" t="s">
        <v>0</v>
      </c>
      <c r="C15" s="225" t="s">
        <v>503</v>
      </c>
      <c r="D15" s="225"/>
      <c r="E15" s="226" t="s">
        <v>89</v>
      </c>
      <c r="F15" s="988"/>
      <c r="G15" s="988"/>
      <c r="H15" s="643">
        <f>'AT1 Avustus, alv-laskenta '!C47</f>
        <v>0</v>
      </c>
      <c r="I15" s="643">
        <f>'AT1 Avustus, alv-laskenta '!D47</f>
        <v>0</v>
      </c>
      <c r="J15" s="920">
        <f>'AT1 Avustus, alv-laskenta '!E47</f>
        <v>0</v>
      </c>
      <c r="K15" s="644">
        <f>'AT1 Avustus, alv-laskenta '!F47</f>
        <v>0</v>
      </c>
      <c r="M15" s="1866" t="s">
        <v>407</v>
      </c>
      <c r="N15" s="1867"/>
      <c r="O15" s="1867"/>
      <c r="P15" s="1867"/>
      <c r="Q15" s="320"/>
      <c r="R15" s="320"/>
      <c r="S15" s="320"/>
      <c r="T15" s="320"/>
      <c r="U15" s="464"/>
    </row>
    <row r="16" spans="1:21">
      <c r="A16" s="51"/>
      <c r="B16" s="196" t="s">
        <v>0</v>
      </c>
      <c r="C16" s="1832" t="s">
        <v>266</v>
      </c>
      <c r="D16" s="1832"/>
      <c r="E16" s="227" t="s">
        <v>90</v>
      </c>
      <c r="F16" s="988"/>
      <c r="G16" s="988"/>
      <c r="H16" s="663">
        <v>0</v>
      </c>
      <c r="I16" s="663">
        <v>0</v>
      </c>
      <c r="J16" s="921"/>
      <c r="K16" s="664"/>
      <c r="M16" s="411">
        <f>H$11</f>
        <v>2025</v>
      </c>
      <c r="N16" s="411">
        <f>I$11</f>
        <v>2026</v>
      </c>
      <c r="O16" s="411">
        <f>J$11</f>
        <v>2027</v>
      </c>
      <c r="P16" s="411">
        <f>K$11</f>
        <v>2028</v>
      </c>
      <c r="Q16" s="320"/>
      <c r="R16" s="320"/>
      <c r="S16" s="320"/>
      <c r="T16" s="320"/>
      <c r="U16" s="464"/>
    </row>
    <row r="17" spans="1:21">
      <c r="A17"/>
      <c r="B17" s="181"/>
      <c r="C17" s="182" t="s">
        <v>267</v>
      </c>
      <c r="D17" s="197" t="s">
        <v>222</v>
      </c>
      <c r="E17" s="1510">
        <v>0.2</v>
      </c>
      <c r="F17" s="988"/>
      <c r="G17" s="988"/>
      <c r="H17" s="663">
        <f>(G14+H15*M17/12-H16)*$E$17</f>
        <v>0</v>
      </c>
      <c r="I17" s="663">
        <f>(H14+I15*N17/12-I16)*$E$17</f>
        <v>0</v>
      </c>
      <c r="J17" s="663">
        <f>(I14+J15*O17/12-J16)*$E$17</f>
        <v>0</v>
      </c>
      <c r="K17" s="664">
        <f>(J14+K15*P17/12-K16)*$E$17</f>
        <v>0</v>
      </c>
      <c r="M17" s="412">
        <v>12</v>
      </c>
      <c r="N17" s="412">
        <v>12</v>
      </c>
      <c r="O17" s="412">
        <v>12</v>
      </c>
      <c r="P17" s="412">
        <v>12</v>
      </c>
      <c r="Q17" s="320"/>
      <c r="R17" s="320"/>
      <c r="S17" s="320"/>
      <c r="T17" s="320"/>
      <c r="U17" s="464"/>
    </row>
    <row r="18" spans="1:21">
      <c r="A18" s="51"/>
      <c r="B18" s="193" t="s">
        <v>413</v>
      </c>
      <c r="C18" s="447" t="s">
        <v>252</v>
      </c>
      <c r="D18" s="447"/>
      <c r="E18" s="448"/>
      <c r="F18" s="922">
        <f t="shared" ref="F18:K18" si="1">F19+F22+F26+F30</f>
        <v>0</v>
      </c>
      <c r="G18" s="922">
        <f t="shared" si="1"/>
        <v>0</v>
      </c>
      <c r="H18" s="922">
        <f t="shared" si="1"/>
        <v>0</v>
      </c>
      <c r="I18" s="922">
        <f t="shared" si="1"/>
        <v>0</v>
      </c>
      <c r="J18" s="923">
        <f t="shared" si="1"/>
        <v>0</v>
      </c>
      <c r="K18" s="924">
        <f t="shared" si="1"/>
        <v>0</v>
      </c>
      <c r="M18" s="378"/>
      <c r="N18" s="320"/>
      <c r="O18" s="320"/>
      <c r="P18" s="320"/>
      <c r="Q18" s="320"/>
      <c r="R18" s="320"/>
      <c r="S18" s="320"/>
      <c r="T18" s="320"/>
      <c r="U18" s="464"/>
    </row>
    <row r="19" spans="1:21">
      <c r="A19"/>
      <c r="B19" s="196" t="s">
        <v>0</v>
      </c>
      <c r="C19" s="445" t="s">
        <v>277</v>
      </c>
      <c r="D19" s="445"/>
      <c r="E19" s="446"/>
      <c r="F19" s="918">
        <v>0</v>
      </c>
      <c r="G19" s="918">
        <v>0</v>
      </c>
      <c r="H19" s="755">
        <f>G19+H20-H21</f>
        <v>0</v>
      </c>
      <c r="I19" s="755">
        <f>H19+I20-I21</f>
        <v>0</v>
      </c>
      <c r="J19" s="919">
        <f>I19+J20-J21</f>
        <v>0</v>
      </c>
      <c r="K19" s="327">
        <f>J19+K20-K21</f>
        <v>0</v>
      </c>
      <c r="M19" s="378"/>
      <c r="N19" s="320"/>
      <c r="O19" s="320"/>
      <c r="P19" s="320"/>
      <c r="Q19" s="320"/>
      <c r="R19" s="320"/>
      <c r="S19" s="320"/>
      <c r="T19" s="320"/>
      <c r="U19" s="464"/>
    </row>
    <row r="20" spans="1:21">
      <c r="A20" s="51"/>
      <c r="B20" s="196" t="s">
        <v>0</v>
      </c>
      <c r="C20" s="225" t="s">
        <v>722</v>
      </c>
      <c r="D20" s="225"/>
      <c r="E20" s="228" t="s">
        <v>89</v>
      </c>
      <c r="F20" s="988"/>
      <c r="G20" s="988"/>
      <c r="H20" s="643">
        <f>'AT1 Avustus, alv-laskenta '!C7</f>
        <v>0</v>
      </c>
      <c r="I20" s="643">
        <f>'AT1 Avustus, alv-laskenta '!D7</f>
        <v>0</v>
      </c>
      <c r="J20" s="920">
        <f>'AT1 Avustus, alv-laskenta '!E7</f>
        <v>0</v>
      </c>
      <c r="K20" s="644">
        <f>'AT1 Avustus, alv-laskenta '!F7</f>
        <v>0</v>
      </c>
      <c r="M20" s="1346"/>
      <c r="N20" s="320"/>
      <c r="O20" s="320"/>
      <c r="P20" s="320"/>
      <c r="Q20" s="320"/>
      <c r="R20" s="320"/>
      <c r="S20" s="320"/>
      <c r="T20" s="320"/>
      <c r="U20" s="464"/>
    </row>
    <row r="21" spans="1:21">
      <c r="A21" s="2"/>
      <c r="B21" s="196" t="s">
        <v>0</v>
      </c>
      <c r="C21" s="1832" t="s">
        <v>730</v>
      </c>
      <c r="D21" s="1832"/>
      <c r="E21" s="227" t="s">
        <v>90</v>
      </c>
      <c r="F21" s="988"/>
      <c r="G21" s="988"/>
      <c r="H21" s="663">
        <v>0</v>
      </c>
      <c r="I21" s="663">
        <v>0</v>
      </c>
      <c r="J21" s="921"/>
      <c r="K21" s="664"/>
      <c r="M21" s="378"/>
      <c r="N21" s="320"/>
      <c r="O21" s="320"/>
      <c r="P21" s="320"/>
      <c r="Q21" s="320"/>
      <c r="R21" s="320"/>
      <c r="S21" s="320"/>
      <c r="T21" s="320"/>
      <c r="U21" s="464"/>
    </row>
    <row r="22" spans="1:21">
      <c r="A22" s="51"/>
      <c r="B22" s="196"/>
      <c r="C22" s="985" t="s">
        <v>253</v>
      </c>
      <c r="D22" s="985"/>
      <c r="E22" s="229"/>
      <c r="F22" s="918">
        <v>0</v>
      </c>
      <c r="G22" s="918">
        <v>0</v>
      </c>
      <c r="H22" s="755">
        <f>G22+H23-H24-H25</f>
        <v>0</v>
      </c>
      <c r="I22" s="755">
        <f>H22+I23-I24-I25</f>
        <v>0</v>
      </c>
      <c r="J22" s="919">
        <f>I22+J23-J24-J25</f>
        <v>0</v>
      </c>
      <c r="K22" s="327">
        <f>J22+K23-K24-K25</f>
        <v>0</v>
      </c>
      <c r="M22" s="378"/>
      <c r="N22" s="320"/>
      <c r="O22" s="320"/>
      <c r="P22" s="320"/>
      <c r="Q22" s="320"/>
      <c r="R22" s="320"/>
      <c r="S22" s="320"/>
      <c r="T22" s="320"/>
      <c r="U22" s="464"/>
    </row>
    <row r="23" spans="1:21">
      <c r="A23"/>
      <c r="B23" s="196" t="s">
        <v>0</v>
      </c>
      <c r="C23" s="225" t="s">
        <v>722</v>
      </c>
      <c r="D23" s="225"/>
      <c r="E23" s="228" t="s">
        <v>89</v>
      </c>
      <c r="F23" s="988"/>
      <c r="G23" s="988"/>
      <c r="H23" s="643">
        <f>'AT1 Avustus, alv-laskenta '!C14+'AT1 Avustus, alv-laskenta '!C18</f>
        <v>0</v>
      </c>
      <c r="I23" s="643">
        <f>'AT1 Avustus, alv-laskenta '!D14+'AT1 Avustus, alv-laskenta '!D18</f>
        <v>0</v>
      </c>
      <c r="J23" s="920">
        <f>'AT1 Avustus, alv-laskenta '!E14+'AT1 Avustus, alv-laskenta '!E18</f>
        <v>0</v>
      </c>
      <c r="K23" s="644">
        <f>'AT1 Avustus, alv-laskenta '!F14+'AT1 Avustus, alv-laskenta '!F18</f>
        <v>0</v>
      </c>
      <c r="M23" s="1866" t="s">
        <v>407</v>
      </c>
      <c r="N23" s="1867"/>
      <c r="O23" s="1867"/>
      <c r="P23" s="1867"/>
      <c r="Q23" s="320"/>
      <c r="R23" s="320"/>
      <c r="S23" s="320"/>
      <c r="T23" s="320"/>
      <c r="U23" s="464"/>
    </row>
    <row r="24" spans="1:21">
      <c r="A24" s="51"/>
      <c r="B24" s="196" t="s">
        <v>0</v>
      </c>
      <c r="C24" s="1832" t="s">
        <v>730</v>
      </c>
      <c r="D24" s="1832"/>
      <c r="E24" s="227" t="s">
        <v>90</v>
      </c>
      <c r="F24" s="988"/>
      <c r="G24" s="988"/>
      <c r="H24" s="663">
        <v>0</v>
      </c>
      <c r="I24" s="663"/>
      <c r="J24" s="921"/>
      <c r="K24" s="664"/>
      <c r="M24" s="411">
        <f>H$11</f>
        <v>2025</v>
      </c>
      <c r="N24" s="411">
        <f>I$11</f>
        <v>2026</v>
      </c>
      <c r="O24" s="411">
        <f>J$11</f>
        <v>2027</v>
      </c>
      <c r="P24" s="411">
        <f>K$11</f>
        <v>2028</v>
      </c>
      <c r="Q24" s="320"/>
      <c r="R24" s="320"/>
      <c r="S24" s="320"/>
      <c r="T24" s="320"/>
      <c r="U24" s="464"/>
    </row>
    <row r="25" spans="1:21">
      <c r="A25"/>
      <c r="B25" s="196"/>
      <c r="C25" s="225" t="s">
        <v>723</v>
      </c>
      <c r="D25" s="230" t="s">
        <v>222</v>
      </c>
      <c r="E25" s="1511">
        <v>7.0000000000000007E-2</v>
      </c>
      <c r="F25" s="988"/>
      <c r="G25" s="988"/>
      <c r="H25" s="663">
        <f>(G22+H23*M25/12-H24)*$E$25</f>
        <v>0</v>
      </c>
      <c r="I25" s="663">
        <f>(H22+I23*N25/12-I24)*$E$25</f>
        <v>0</v>
      </c>
      <c r="J25" s="663">
        <f>(I22+J23*O25/12-J24)*$E$25</f>
        <v>0</v>
      </c>
      <c r="K25" s="664">
        <f>(J22+K23*P25/12-K24)*$E$25</f>
        <v>0</v>
      </c>
      <c r="M25" s="412">
        <v>12</v>
      </c>
      <c r="N25" s="412">
        <v>12</v>
      </c>
      <c r="O25" s="412">
        <v>12</v>
      </c>
      <c r="P25" s="412">
        <v>12</v>
      </c>
      <c r="Q25" s="320"/>
      <c r="R25" s="320"/>
      <c r="S25" s="320"/>
      <c r="T25" s="320"/>
      <c r="U25" s="464"/>
    </row>
    <row r="26" spans="1:21">
      <c r="A26" s="51"/>
      <c r="B26" s="196"/>
      <c r="C26" s="985" t="s">
        <v>254</v>
      </c>
      <c r="D26" s="985"/>
      <c r="E26" s="229"/>
      <c r="F26" s="925">
        <v>0</v>
      </c>
      <c r="G26" s="925">
        <v>0</v>
      </c>
      <c r="H26" s="755">
        <f>G26+H27-H28-H29</f>
        <v>0</v>
      </c>
      <c r="I26" s="755">
        <f>H26+I27-I28-I29</f>
        <v>0</v>
      </c>
      <c r="J26" s="919">
        <f>I26+J27-J28-J29</f>
        <v>0</v>
      </c>
      <c r="K26" s="327">
        <f>J26+K27-K28-K29</f>
        <v>0</v>
      </c>
      <c r="M26" s="1347"/>
      <c r="N26" s="316"/>
      <c r="O26" s="316"/>
      <c r="P26" s="316"/>
      <c r="Q26" s="320"/>
      <c r="R26" s="320"/>
      <c r="S26" s="320"/>
      <c r="T26" s="320"/>
      <c r="U26" s="464"/>
    </row>
    <row r="27" spans="1:21">
      <c r="A27" s="2"/>
      <c r="B27" s="196" t="s">
        <v>0</v>
      </c>
      <c r="C27" s="225" t="s">
        <v>722</v>
      </c>
      <c r="D27" s="225"/>
      <c r="E27" s="228" t="s">
        <v>89</v>
      </c>
      <c r="F27" s="988"/>
      <c r="G27" s="988"/>
      <c r="H27" s="643">
        <f>'AT1 Avustus, alv-laskenta '!C27+'AT1 Avustus, alv-laskenta '!C33</f>
        <v>0</v>
      </c>
      <c r="I27" s="643">
        <f>'AT1 Avustus, alv-laskenta '!D27+'AT1 Avustus, alv-laskenta '!D33</f>
        <v>0</v>
      </c>
      <c r="J27" s="643">
        <f>'AT1 Avustus, alv-laskenta '!E27+'AT1 Avustus, alv-laskenta '!E33</f>
        <v>0</v>
      </c>
      <c r="K27" s="644">
        <f>'AT1 Avustus, alv-laskenta '!F27+'AT1 Avustus, alv-laskenta '!F33</f>
        <v>0</v>
      </c>
      <c r="M27" s="1866" t="s">
        <v>407</v>
      </c>
      <c r="N27" s="1867"/>
      <c r="O27" s="1867"/>
      <c r="P27" s="1867"/>
      <c r="Q27" s="320"/>
      <c r="R27" s="320"/>
      <c r="S27" s="320"/>
      <c r="T27" s="320"/>
      <c r="U27" s="464"/>
    </row>
    <row r="28" spans="1:21">
      <c r="A28" s="51"/>
      <c r="B28" s="196" t="s">
        <v>0</v>
      </c>
      <c r="C28" s="1832" t="s">
        <v>730</v>
      </c>
      <c r="D28" s="1832"/>
      <c r="E28" s="227" t="s">
        <v>90</v>
      </c>
      <c r="F28" s="988"/>
      <c r="G28" s="988"/>
      <c r="H28" s="663">
        <v>0</v>
      </c>
      <c r="I28" s="663"/>
      <c r="J28" s="921">
        <v>0</v>
      </c>
      <c r="K28" s="664"/>
      <c r="M28" s="411">
        <f>H$11</f>
        <v>2025</v>
      </c>
      <c r="N28" s="411">
        <f>I$11</f>
        <v>2026</v>
      </c>
      <c r="O28" s="411">
        <f>J$11</f>
        <v>2027</v>
      </c>
      <c r="P28" s="411">
        <f>K$11</f>
        <v>2028</v>
      </c>
      <c r="Q28" s="320"/>
      <c r="R28" s="320"/>
      <c r="S28" s="320"/>
      <c r="T28" s="320"/>
      <c r="U28" s="464"/>
    </row>
    <row r="29" spans="1:21">
      <c r="A29"/>
      <c r="B29" s="196"/>
      <c r="C29" s="225" t="s">
        <v>723</v>
      </c>
      <c r="D29" s="230" t="s">
        <v>222</v>
      </c>
      <c r="E29" s="1511">
        <v>0.2</v>
      </c>
      <c r="F29" s="926"/>
      <c r="G29" s="926"/>
      <c r="H29" s="663">
        <f>(G26+H27*M29/12-H28)*$E$29</f>
        <v>0</v>
      </c>
      <c r="I29" s="663">
        <f>(H26+I27*N29/12-I28)*$E$29</f>
        <v>0</v>
      </c>
      <c r="J29" s="663">
        <f>(I26+J27*O29/12-J28)*$E$29</f>
        <v>0</v>
      </c>
      <c r="K29" s="664">
        <f>(J26+K27*P29/12-K28)*$E$29</f>
        <v>0</v>
      </c>
      <c r="M29" s="412">
        <v>12</v>
      </c>
      <c r="N29" s="412">
        <v>12</v>
      </c>
      <c r="O29" s="412">
        <v>12</v>
      </c>
      <c r="P29" s="412">
        <v>12</v>
      </c>
      <c r="Q29" s="320"/>
      <c r="R29" s="320"/>
      <c r="S29" s="320"/>
      <c r="T29" s="320"/>
      <c r="U29" s="464"/>
    </row>
    <row r="30" spans="1:21">
      <c r="A30" s="51"/>
      <c r="B30" s="196"/>
      <c r="C30" s="1868" t="s">
        <v>255</v>
      </c>
      <c r="D30" s="1868"/>
      <c r="E30" s="1869"/>
      <c r="F30" s="918">
        <v>0</v>
      </c>
      <c r="G30" s="918">
        <v>0</v>
      </c>
      <c r="H30" s="755">
        <f>G30+H31-H32-H33</f>
        <v>0</v>
      </c>
      <c r="I30" s="755">
        <f>H30+I31-I32-I33</f>
        <v>0</v>
      </c>
      <c r="J30" s="919">
        <f>I30+J31-J32-J33</f>
        <v>0</v>
      </c>
      <c r="K30" s="327">
        <f>J30+K31-K32-K33</f>
        <v>0</v>
      </c>
      <c r="M30" s="1347"/>
      <c r="N30" s="316"/>
      <c r="O30" s="316"/>
      <c r="P30" s="316"/>
      <c r="Q30" s="320"/>
      <c r="R30" s="320"/>
      <c r="S30" s="320"/>
      <c r="T30" s="320"/>
      <c r="U30" s="464"/>
    </row>
    <row r="31" spans="1:21">
      <c r="A31" s="2"/>
      <c r="B31" s="196" t="s">
        <v>0</v>
      </c>
      <c r="C31" s="225" t="s">
        <v>722</v>
      </c>
      <c r="D31" s="225"/>
      <c r="E31" s="228" t="s">
        <v>89</v>
      </c>
      <c r="F31" s="988"/>
      <c r="G31" s="988"/>
      <c r="H31" s="643">
        <f>'AT1 Avustus, alv-laskenta '!C40</f>
        <v>0</v>
      </c>
      <c r="I31" s="643">
        <f>'AT1 Avustus, alv-laskenta '!D40</f>
        <v>0</v>
      </c>
      <c r="J31" s="920">
        <f>'AT1 Avustus, alv-laskenta '!E40</f>
        <v>0</v>
      </c>
      <c r="K31" s="644">
        <f>'AT1 Avustus, alv-laskenta '!F40</f>
        <v>0</v>
      </c>
      <c r="M31" s="1866" t="s">
        <v>407</v>
      </c>
      <c r="N31" s="1867"/>
      <c r="O31" s="1867"/>
      <c r="P31" s="1867"/>
      <c r="Q31" s="320"/>
      <c r="R31" s="320"/>
      <c r="S31" s="320"/>
      <c r="T31" s="320"/>
      <c r="U31" s="464"/>
    </row>
    <row r="32" spans="1:21">
      <c r="A32" s="51"/>
      <c r="B32" s="196" t="s">
        <v>0</v>
      </c>
      <c r="C32" s="1832" t="s">
        <v>730</v>
      </c>
      <c r="D32" s="1832"/>
      <c r="E32" s="227" t="s">
        <v>90</v>
      </c>
      <c r="F32" s="988"/>
      <c r="G32" s="988"/>
      <c r="H32" s="663">
        <v>0</v>
      </c>
      <c r="I32" s="663">
        <v>0</v>
      </c>
      <c r="J32" s="921"/>
      <c r="K32" s="664"/>
      <c r="M32" s="411">
        <f>H$11</f>
        <v>2025</v>
      </c>
      <c r="N32" s="411">
        <f>I$11</f>
        <v>2026</v>
      </c>
      <c r="O32" s="411">
        <f>J$11</f>
        <v>2027</v>
      </c>
      <c r="P32" s="411">
        <f>K$11</f>
        <v>2028</v>
      </c>
      <c r="Q32" s="320"/>
      <c r="R32" s="320"/>
      <c r="S32" s="320"/>
      <c r="T32" s="320"/>
      <c r="U32" s="464"/>
    </row>
    <row r="33" spans="1:21">
      <c r="B33" s="181"/>
      <c r="C33" s="182" t="s">
        <v>723</v>
      </c>
      <c r="D33" s="197" t="s">
        <v>222</v>
      </c>
      <c r="E33" s="1510">
        <v>0.2</v>
      </c>
      <c r="F33" s="988"/>
      <c r="G33" s="988"/>
      <c r="H33" s="663">
        <f>(G30+H31*M33/12-H32)*$E$33</f>
        <v>0</v>
      </c>
      <c r="I33" s="663">
        <f>(H30+I31*N33/12-I32)*$E$33</f>
        <v>0</v>
      </c>
      <c r="J33" s="663">
        <f>(I30+J31*O33/12-J32)*$E$33</f>
        <v>0</v>
      </c>
      <c r="K33" s="664">
        <f>(J30+K31*P33/12-K32)*$E$33</f>
        <v>0</v>
      </c>
      <c r="M33" s="412">
        <v>12</v>
      </c>
      <c r="N33" s="412">
        <v>12</v>
      </c>
      <c r="O33" s="412">
        <v>12</v>
      </c>
      <c r="P33" s="412">
        <v>12</v>
      </c>
      <c r="Q33" s="320"/>
      <c r="R33" s="320"/>
      <c r="S33" s="320"/>
      <c r="T33" s="320"/>
      <c r="U33" s="464"/>
    </row>
    <row r="34" spans="1:21">
      <c r="B34" s="193" t="s">
        <v>414</v>
      </c>
      <c r="C34" s="447" t="s">
        <v>208</v>
      </c>
      <c r="D34" s="449"/>
      <c r="E34" s="1645"/>
      <c r="F34" s="927">
        <v>0</v>
      </c>
      <c r="G34" s="927">
        <v>0</v>
      </c>
      <c r="H34" s="755">
        <f>G34+H35-H36</f>
        <v>0</v>
      </c>
      <c r="I34" s="755">
        <f>H34+I35-I36</f>
        <v>0</v>
      </c>
      <c r="J34" s="755">
        <f>I34+J35-J36</f>
        <v>0</v>
      </c>
      <c r="K34" s="327">
        <f>J34+K35-K36</f>
        <v>0</v>
      </c>
      <c r="M34" s="378"/>
      <c r="N34" s="320"/>
      <c r="O34" s="320"/>
      <c r="P34" s="320"/>
      <c r="Q34" s="320"/>
      <c r="R34" s="320"/>
      <c r="S34" s="320"/>
      <c r="T34" s="320"/>
      <c r="U34" s="464"/>
    </row>
    <row r="35" spans="1:21">
      <c r="B35" s="198"/>
      <c r="C35" s="443" t="s">
        <v>503</v>
      </c>
      <c r="D35" s="443"/>
      <c r="E35" s="444" t="s">
        <v>89</v>
      </c>
      <c r="F35" s="928"/>
      <c r="G35" s="928"/>
      <c r="H35" s="663">
        <f>'1. T1 INVESTOINTISUUN.'!D38</f>
        <v>0</v>
      </c>
      <c r="I35" s="663">
        <f>'1. T1 INVESTOINTISUUN.'!E38</f>
        <v>0</v>
      </c>
      <c r="J35" s="663">
        <f>'1. T1 INVESTOINTISUUN.'!F38</f>
        <v>0</v>
      </c>
      <c r="K35" s="664">
        <f>'1. T1 INVESTOINTISUUN.'!G38</f>
        <v>0</v>
      </c>
      <c r="M35" s="378"/>
      <c r="N35" s="320"/>
      <c r="O35" s="320"/>
      <c r="P35" s="320"/>
      <c r="Q35" s="320"/>
      <c r="R35" s="320"/>
      <c r="S35" s="320"/>
      <c r="T35" s="320"/>
      <c r="U35" s="464"/>
    </row>
    <row r="36" spans="1:21" ht="12.9" thickBot="1">
      <c r="B36" s="222"/>
      <c r="C36" s="454" t="s">
        <v>266</v>
      </c>
      <c r="D36" s="454"/>
      <c r="E36" s="455" t="s">
        <v>90</v>
      </c>
      <c r="F36" s="929"/>
      <c r="G36" s="929"/>
      <c r="H36" s="930">
        <v>0</v>
      </c>
      <c r="I36" s="930">
        <v>0</v>
      </c>
      <c r="J36" s="930">
        <v>0</v>
      </c>
      <c r="K36" s="931">
        <v>0</v>
      </c>
      <c r="M36" s="378"/>
      <c r="N36" s="320"/>
      <c r="O36" s="320"/>
      <c r="P36" s="320"/>
      <c r="Q36" s="320"/>
      <c r="R36" s="320"/>
      <c r="S36" s="320"/>
      <c r="T36" s="320"/>
      <c r="U36" s="464"/>
    </row>
    <row r="37" spans="1:21" ht="6" customHeight="1" thickBot="1">
      <c r="B37" s="214"/>
      <c r="C37" s="215"/>
      <c r="D37" s="216"/>
      <c r="E37" s="217"/>
      <c r="F37" s="217"/>
      <c r="G37" s="218"/>
      <c r="H37" s="218" t="s">
        <v>342</v>
      </c>
      <c r="I37" s="218"/>
      <c r="J37" s="218"/>
      <c r="K37" s="218"/>
      <c r="L37" s="128"/>
      <c r="M37" s="417"/>
      <c r="N37" s="167"/>
      <c r="O37" s="167"/>
      <c r="P37" s="167"/>
      <c r="Q37" s="167"/>
      <c r="R37" s="167"/>
      <c r="S37" s="167"/>
      <c r="T37" s="167"/>
      <c r="U37" s="341"/>
    </row>
    <row r="38" spans="1:21">
      <c r="B38" s="686" t="s">
        <v>216</v>
      </c>
      <c r="C38" s="108" t="s">
        <v>217</v>
      </c>
      <c r="D38" s="108"/>
      <c r="E38" s="158"/>
      <c r="F38" s="917">
        <f t="shared" ref="F38:K38" si="2">F39+F41+F48+F49</f>
        <v>0</v>
      </c>
      <c r="G38" s="917">
        <f t="shared" si="2"/>
        <v>0</v>
      </c>
      <c r="H38" s="917">
        <f>H39+H41+H48+H49</f>
        <v>0</v>
      </c>
      <c r="I38" s="917">
        <f t="shared" si="2"/>
        <v>0</v>
      </c>
      <c r="J38" s="932">
        <f t="shared" si="2"/>
        <v>0</v>
      </c>
      <c r="K38" s="933">
        <f t="shared" si="2"/>
        <v>0</v>
      </c>
      <c r="M38" s="378"/>
      <c r="N38" s="320"/>
      <c r="O38" s="320"/>
      <c r="P38" s="320"/>
      <c r="Q38" s="320"/>
      <c r="R38" s="320"/>
      <c r="S38" s="320"/>
      <c r="T38" s="320"/>
      <c r="U38" s="464"/>
    </row>
    <row r="39" spans="1:21">
      <c r="A39"/>
      <c r="B39" s="198" t="s">
        <v>415</v>
      </c>
      <c r="C39" s="231" t="s">
        <v>117</v>
      </c>
      <c r="D39" s="231"/>
      <c r="E39" s="226" t="s">
        <v>89</v>
      </c>
      <c r="F39" s="918">
        <v>0</v>
      </c>
      <c r="G39" s="918">
        <v>0</v>
      </c>
      <c r="H39" s="755">
        <f>'8. T4 RAHOITUSSUUN. '!H49</f>
        <v>0</v>
      </c>
      <c r="I39" s="755">
        <f>'8. T4 RAHOITUSSUUN. '!I49</f>
        <v>0</v>
      </c>
      <c r="J39" s="919">
        <f>'8. T4 RAHOITUSSUUN. '!J49</f>
        <v>0</v>
      </c>
      <c r="K39" s="327">
        <f>'8. T4 RAHOITUSSUUN. '!K49</f>
        <v>0</v>
      </c>
      <c r="M39" s="378"/>
      <c r="N39" s="320"/>
      <c r="O39" s="320"/>
      <c r="P39" s="320"/>
      <c r="Q39" s="320"/>
      <c r="R39" s="320"/>
      <c r="S39" s="320"/>
      <c r="T39" s="320"/>
      <c r="U39" s="464"/>
    </row>
    <row r="40" spans="1:21">
      <c r="A40" s="6"/>
      <c r="B40" s="198"/>
      <c r="C40" s="1836" t="str">
        <f>'8. T4 RAHOITUSSUUN. '!C50</f>
        <v>Vaihto-omaisuus/liikevaihto (%)</v>
      </c>
      <c r="D40" s="1836"/>
      <c r="E40" s="1837"/>
      <c r="F40" s="936">
        <f>'8. T4 RAHOITUSSUUN. '!F50</f>
        <v>0</v>
      </c>
      <c r="G40" s="936">
        <f>'8. T4 RAHOITUSSUUN. '!G50</f>
        <v>0</v>
      </c>
      <c r="H40" s="936">
        <f>'8. T4 RAHOITUSSUUN. '!H50</f>
        <v>0</v>
      </c>
      <c r="I40" s="936">
        <f>'8. T4 RAHOITUSSUUN. '!I50</f>
        <v>0</v>
      </c>
      <c r="J40" s="936">
        <f>'8. T4 RAHOITUSSUUN. '!J50</f>
        <v>0</v>
      </c>
      <c r="K40" s="937">
        <f>'8. T4 RAHOITUSSUUN. '!K50</f>
        <v>0</v>
      </c>
      <c r="M40" s="378"/>
      <c r="N40" s="320"/>
      <c r="O40" s="320"/>
      <c r="P40" s="320"/>
      <c r="Q40" s="320"/>
      <c r="R40" s="320"/>
      <c r="S40" s="320"/>
      <c r="T40" s="320"/>
      <c r="U40" s="464"/>
    </row>
    <row r="41" spans="1:21">
      <c r="B41" s="198" t="s">
        <v>413</v>
      </c>
      <c r="C41" s="1699" t="s">
        <v>209</v>
      </c>
      <c r="D41" s="1699"/>
      <c r="E41" s="1700" t="s">
        <v>89</v>
      </c>
      <c r="F41" s="755">
        <f t="shared" ref="F41:K41" si="3">F42+F46+F47+F44</f>
        <v>0</v>
      </c>
      <c r="G41" s="755">
        <f t="shared" si="3"/>
        <v>0</v>
      </c>
      <c r="H41" s="755">
        <f t="shared" si="3"/>
        <v>0</v>
      </c>
      <c r="I41" s="755">
        <f t="shared" si="3"/>
        <v>0</v>
      </c>
      <c r="J41" s="755">
        <f t="shared" si="3"/>
        <v>0</v>
      </c>
      <c r="K41" s="327">
        <f t="shared" si="3"/>
        <v>0</v>
      </c>
      <c r="M41" s="378"/>
      <c r="N41" s="320"/>
      <c r="O41" s="320"/>
      <c r="P41" s="320"/>
      <c r="Q41" s="320"/>
      <c r="R41" s="320"/>
      <c r="S41" s="320"/>
      <c r="T41" s="320"/>
      <c r="U41" s="464"/>
    </row>
    <row r="42" spans="1:21">
      <c r="B42" s="196" t="s">
        <v>0</v>
      </c>
      <c r="C42" s="1701" t="s">
        <v>210</v>
      </c>
      <c r="D42" s="1701"/>
      <c r="E42" s="1702" t="s">
        <v>89</v>
      </c>
      <c r="F42" s="663">
        <v>0</v>
      </c>
      <c r="G42" s="663">
        <v>0</v>
      </c>
      <c r="H42" s="643">
        <f>'8. T4 RAHOITUSSUUN. '!H51</f>
        <v>0</v>
      </c>
      <c r="I42" s="643">
        <f>'8. T4 RAHOITUSSUUN. '!I51</f>
        <v>0</v>
      </c>
      <c r="J42" s="920">
        <f>'8. T4 RAHOITUSSUUN. '!J51</f>
        <v>0</v>
      </c>
      <c r="K42" s="644">
        <f>'8. T4 RAHOITUSSUUN. '!K51</f>
        <v>0</v>
      </c>
      <c r="M42" s="378"/>
      <c r="N42" s="320"/>
      <c r="O42" s="320"/>
      <c r="P42" s="320"/>
      <c r="Q42" s="320"/>
      <c r="R42" s="320"/>
      <c r="S42" s="320"/>
      <c r="T42" s="320"/>
      <c r="U42" s="464"/>
    </row>
    <row r="43" spans="1:21">
      <c r="B43" s="196"/>
      <c r="C43" s="1834" t="s">
        <v>281</v>
      </c>
      <c r="D43" s="1834"/>
      <c r="E43" s="1835"/>
      <c r="F43" s="934">
        <f>'8. T4 RAHOITUSSUUN. '!F52</f>
        <v>0</v>
      </c>
      <c r="G43" s="934">
        <f>'8. T4 RAHOITUSSUUN. '!G52</f>
        <v>0</v>
      </c>
      <c r="H43" s="934">
        <f>'8. T4 RAHOITUSSUUN. '!H52</f>
        <v>0</v>
      </c>
      <c r="I43" s="934">
        <f>'8. T4 RAHOITUSSUUN. '!I52</f>
        <v>0</v>
      </c>
      <c r="J43" s="934">
        <f>'8. T4 RAHOITUSSUUN. '!J52</f>
        <v>0</v>
      </c>
      <c r="K43" s="935">
        <f>'8. T4 RAHOITUSSUUN. '!K52</f>
        <v>0</v>
      </c>
      <c r="M43" s="378"/>
      <c r="N43" s="320"/>
      <c r="O43" s="320"/>
      <c r="P43" s="320"/>
      <c r="Q43" s="320"/>
      <c r="R43" s="320"/>
      <c r="S43" s="320"/>
      <c r="T43" s="320"/>
      <c r="U43" s="464"/>
    </row>
    <row r="44" spans="1:21">
      <c r="B44" s="196"/>
      <c r="C44" s="1701" t="s">
        <v>249</v>
      </c>
      <c r="D44" s="1701"/>
      <c r="E44" s="1702" t="s">
        <v>89</v>
      </c>
      <c r="F44" s="663">
        <v>0</v>
      </c>
      <c r="G44" s="663">
        <v>0</v>
      </c>
      <c r="H44" s="643">
        <f>'8. T4 RAHOITUSSUUN. '!H54</f>
        <v>0</v>
      </c>
      <c r="I44" s="643">
        <f>'8. T4 RAHOITUSSUUN. '!I54</f>
        <v>0</v>
      </c>
      <c r="J44" s="643">
        <f>'8. T4 RAHOITUSSUUN. '!J54</f>
        <v>0</v>
      </c>
      <c r="K44" s="644">
        <f>'8. T4 RAHOITUSSUUN. '!K54</f>
        <v>0</v>
      </c>
      <c r="M44" s="378"/>
      <c r="N44" s="320"/>
      <c r="O44" s="320"/>
      <c r="P44" s="320"/>
      <c r="Q44" s="320"/>
      <c r="R44" s="320"/>
      <c r="S44" s="320"/>
      <c r="T44" s="320"/>
      <c r="U44" s="464"/>
    </row>
    <row r="45" spans="1:21">
      <c r="A45" s="245"/>
      <c r="B45" s="196"/>
      <c r="C45" s="1876" t="s">
        <v>441</v>
      </c>
      <c r="D45" s="1876"/>
      <c r="E45" s="1877"/>
      <c r="F45" s="936">
        <f>'8. T4 RAHOITUSSUUN. '!F55</f>
        <v>0</v>
      </c>
      <c r="G45" s="936">
        <f>'8. T4 RAHOITUSSUUN. '!G55</f>
        <v>0</v>
      </c>
      <c r="H45" s="936">
        <f>'8. T4 RAHOITUSSUUN. '!H55</f>
        <v>0</v>
      </c>
      <c r="I45" s="936">
        <f>'8. T4 RAHOITUSSUUN. '!I55</f>
        <v>0</v>
      </c>
      <c r="J45" s="936">
        <f>'8. T4 RAHOITUSSUUN. '!J55</f>
        <v>0</v>
      </c>
      <c r="K45" s="937">
        <f>'8. T4 RAHOITUSSUUN. '!K55</f>
        <v>0</v>
      </c>
      <c r="M45" s="378"/>
      <c r="N45" s="320"/>
      <c r="O45" s="320"/>
      <c r="P45" s="320"/>
      <c r="Q45" s="320"/>
      <c r="R45" s="320"/>
      <c r="S45" s="320"/>
      <c r="T45" s="320"/>
      <c r="U45" s="464"/>
    </row>
    <row r="46" spans="1:21">
      <c r="A46" s="245"/>
      <c r="B46" s="196"/>
      <c r="C46" s="1832" t="s">
        <v>306</v>
      </c>
      <c r="D46" s="1832"/>
      <c r="E46" s="228" t="s">
        <v>89</v>
      </c>
      <c r="F46" s="663">
        <v>0</v>
      </c>
      <c r="G46" s="663">
        <v>0</v>
      </c>
      <c r="H46" s="663">
        <v>0</v>
      </c>
      <c r="I46" s="663">
        <v>0</v>
      </c>
      <c r="J46" s="921">
        <v>0</v>
      </c>
      <c r="K46" s="664">
        <v>0</v>
      </c>
      <c r="M46" s="378">
        <v>0</v>
      </c>
      <c r="N46" s="320"/>
      <c r="O46" s="320"/>
      <c r="P46" s="320"/>
      <c r="Q46" s="320"/>
      <c r="R46" s="320"/>
      <c r="S46" s="320"/>
      <c r="T46" s="320"/>
      <c r="U46" s="464"/>
    </row>
    <row r="47" spans="1:21">
      <c r="B47" s="196"/>
      <c r="C47" s="1832" t="s">
        <v>307</v>
      </c>
      <c r="D47" s="1832"/>
      <c r="E47" s="228" t="s">
        <v>89</v>
      </c>
      <c r="F47" s="663">
        <v>0</v>
      </c>
      <c r="G47" s="663">
        <v>0</v>
      </c>
      <c r="H47" s="663">
        <f>$R47*'2. &amp; 7. T2 TULOSSUUN. '!I11</f>
        <v>0</v>
      </c>
      <c r="I47" s="663">
        <f>$R47*'2. &amp; 7. T2 TULOSSUUN. '!K11</f>
        <v>0</v>
      </c>
      <c r="J47" s="663">
        <f>$R47*'2. &amp; 7. T2 TULOSSUUN. '!M11</f>
        <v>0</v>
      </c>
      <c r="K47" s="664">
        <f>$R47*'2. &amp; 7. T2 TULOSSUUN. '!O11</f>
        <v>0</v>
      </c>
      <c r="M47" s="1679" t="s">
        <v>302</v>
      </c>
      <c r="N47" s="1348"/>
      <c r="O47" s="1348"/>
      <c r="P47" s="1348"/>
      <c r="Q47" s="1348"/>
      <c r="R47" s="1349">
        <f>IF(G47=0,0,G47/'2. &amp; 7. T2 TULOSSUUN. '!G11)</f>
        <v>0</v>
      </c>
      <c r="S47" s="1349"/>
      <c r="T47" s="315"/>
      <c r="U47" s="1350"/>
    </row>
    <row r="48" spans="1:21">
      <c r="A48" s="245"/>
      <c r="B48" s="198" t="s">
        <v>414</v>
      </c>
      <c r="C48" s="1868" t="s">
        <v>211</v>
      </c>
      <c r="D48" s="1868"/>
      <c r="E48" s="226" t="s">
        <v>89</v>
      </c>
      <c r="F48" s="918">
        <v>0</v>
      </c>
      <c r="G48" s="918">
        <v>0</v>
      </c>
      <c r="H48" s="918">
        <f>G48</f>
        <v>0</v>
      </c>
      <c r="I48" s="918">
        <f>H48</f>
        <v>0</v>
      </c>
      <c r="J48" s="918">
        <f>I48</f>
        <v>0</v>
      </c>
      <c r="K48" s="938">
        <f>J48</f>
        <v>0</v>
      </c>
      <c r="M48" s="378"/>
      <c r="N48" s="320"/>
      <c r="O48" s="320"/>
      <c r="P48" s="320"/>
      <c r="Q48" s="320"/>
      <c r="R48" s="320"/>
      <c r="S48" s="320"/>
      <c r="T48" s="320"/>
      <c r="U48" s="464"/>
    </row>
    <row r="49" spans="1:21" ht="12.9" thickBot="1">
      <c r="A49" s="6"/>
      <c r="B49" s="222" t="s">
        <v>416</v>
      </c>
      <c r="C49" s="223" t="s">
        <v>212</v>
      </c>
      <c r="D49" s="223"/>
      <c r="E49" s="224" t="s">
        <v>89</v>
      </c>
      <c r="F49" s="939">
        <v>0</v>
      </c>
      <c r="G49" s="939">
        <v>0</v>
      </c>
      <c r="H49" s="730">
        <f>H98-H13-H39-H41-H48</f>
        <v>0</v>
      </c>
      <c r="I49" s="730">
        <f>I98-I13-I39-I41-I48</f>
        <v>0</v>
      </c>
      <c r="J49" s="940">
        <f>J98-J13-J39-J41-J48</f>
        <v>0</v>
      </c>
      <c r="K49" s="731">
        <f>K98-K13-K39-K41-K48</f>
        <v>0</v>
      </c>
      <c r="M49" s="378"/>
      <c r="N49" s="320"/>
      <c r="O49" s="320"/>
      <c r="P49" s="320"/>
      <c r="Q49" s="320"/>
      <c r="R49" s="320"/>
      <c r="S49" s="320"/>
      <c r="T49" s="320"/>
      <c r="U49" s="464"/>
    </row>
    <row r="50" spans="1:21" ht="6" customHeight="1" thickBot="1">
      <c r="B50" s="997"/>
      <c r="C50" s="998"/>
      <c r="D50" s="998"/>
      <c r="E50" s="999"/>
      <c r="F50" s="997"/>
      <c r="G50" s="1000"/>
      <c r="H50" s="1001"/>
      <c r="I50" s="1001"/>
      <c r="J50" s="1001"/>
      <c r="K50" s="1001"/>
      <c r="M50" s="417"/>
      <c r="N50" s="167"/>
      <c r="O50" s="167"/>
      <c r="P50" s="167"/>
      <c r="Q50" s="167"/>
      <c r="R50" s="167"/>
      <c r="S50" s="167"/>
      <c r="T50" s="167"/>
      <c r="U50" s="341"/>
    </row>
    <row r="51" spans="1:21" ht="12.9" thickBot="1">
      <c r="B51" s="1852" t="s">
        <v>448</v>
      </c>
      <c r="C51" s="1853"/>
      <c r="D51" s="1853"/>
      <c r="E51" s="1854"/>
      <c r="F51" s="1002">
        <f t="shared" ref="F51:K51" si="4">F38+F13</f>
        <v>0</v>
      </c>
      <c r="G51" s="1002">
        <f t="shared" si="4"/>
        <v>0</v>
      </c>
      <c r="H51" s="1002">
        <f t="shared" si="4"/>
        <v>0</v>
      </c>
      <c r="I51" s="1002">
        <f t="shared" si="4"/>
        <v>0</v>
      </c>
      <c r="J51" s="1003">
        <f t="shared" si="4"/>
        <v>0</v>
      </c>
      <c r="K51" s="1008">
        <f t="shared" si="4"/>
        <v>0</v>
      </c>
      <c r="M51" s="1351" t="str">
        <f>M98</f>
        <v xml:space="preserve"> </v>
      </c>
      <c r="N51" s="182"/>
      <c r="O51" s="182"/>
      <c r="P51" s="182"/>
      <c r="Q51" s="182"/>
      <c r="R51" s="182"/>
      <c r="S51" s="182"/>
      <c r="T51" s="182"/>
      <c r="U51" s="1352"/>
    </row>
    <row r="52" spans="1:21" ht="12.9" thickBot="1">
      <c r="B52" s="38"/>
      <c r="C52" s="1" t="s">
        <v>0</v>
      </c>
      <c r="D52" s="1"/>
      <c r="M52" s="317"/>
      <c r="N52" s="317"/>
      <c r="O52" s="317"/>
      <c r="P52" s="317"/>
      <c r="Q52" s="317"/>
      <c r="R52" s="317"/>
      <c r="S52" s="317"/>
      <c r="T52" s="317"/>
      <c r="U52" s="317"/>
    </row>
    <row r="53" spans="1:21" ht="12.75" customHeight="1" thickBot="1">
      <c r="A53" s="245"/>
      <c r="B53" s="1194"/>
      <c r="C53" s="1195"/>
      <c r="D53" s="1195"/>
      <c r="E53" s="1196"/>
      <c r="F53" s="1197" t="str">
        <f t="shared" ref="F53:K54" si="5">F10</f>
        <v>Tot. tilikausi</v>
      </c>
      <c r="G53" s="1197" t="str">
        <f t="shared" si="5"/>
        <v>Tot. tilikausi</v>
      </c>
      <c r="H53" s="1197" t="str">
        <f t="shared" si="5"/>
        <v>Ennuste 1</v>
      </c>
      <c r="I53" s="1197" t="str">
        <f t="shared" si="5"/>
        <v>Ennuste 2</v>
      </c>
      <c r="J53" s="1198" t="str">
        <f t="shared" si="5"/>
        <v>Ennuste 3</v>
      </c>
      <c r="K53" s="1199" t="str">
        <f t="shared" si="5"/>
        <v>Ennuste 4</v>
      </c>
      <c r="M53" s="1863" t="str">
        <f>B54</f>
        <v>VASTATTAVAA</v>
      </c>
      <c r="N53" s="1864"/>
      <c r="O53" s="1864"/>
      <c r="P53" s="1864"/>
      <c r="Q53" s="1864"/>
      <c r="R53" s="1864"/>
      <c r="S53" s="1864"/>
      <c r="T53" s="1864"/>
      <c r="U53" s="1865"/>
    </row>
    <row r="54" spans="1:21" ht="12.75" customHeight="1">
      <c r="A54" s="245"/>
      <c r="B54" s="1855" t="s">
        <v>214</v>
      </c>
      <c r="C54" s="1856"/>
      <c r="D54" s="1200">
        <f>D12</f>
        <v>0</v>
      </c>
      <c r="E54" s="1201"/>
      <c r="F54" s="1202">
        <f t="shared" si="5"/>
        <v>2023</v>
      </c>
      <c r="G54" s="1202">
        <f t="shared" si="5"/>
        <v>2024</v>
      </c>
      <c r="H54" s="1202">
        <f t="shared" si="5"/>
        <v>2025</v>
      </c>
      <c r="I54" s="1202">
        <f t="shared" si="5"/>
        <v>2026</v>
      </c>
      <c r="J54" s="1203">
        <f t="shared" si="5"/>
        <v>2027</v>
      </c>
      <c r="K54" s="1204">
        <f t="shared" si="5"/>
        <v>2028</v>
      </c>
      <c r="M54" s="1353"/>
      <c r="N54" s="428"/>
      <c r="O54" s="428"/>
      <c r="P54" s="428"/>
      <c r="Q54" s="428"/>
      <c r="R54" s="428"/>
      <c r="S54" s="428"/>
      <c r="T54" s="428"/>
      <c r="U54" s="1354"/>
    </row>
    <row r="55" spans="1:21" ht="12.75" customHeight="1" thickBot="1">
      <c r="A55" s="6"/>
      <c r="B55" s="1205"/>
      <c r="C55" s="1206"/>
      <c r="D55" s="1206"/>
      <c r="E55" s="1207"/>
      <c r="F55" s="1211" t="s">
        <v>17</v>
      </c>
      <c r="G55" s="1211" t="s">
        <v>17</v>
      </c>
      <c r="H55" s="1211" t="s">
        <v>17</v>
      </c>
      <c r="I55" s="1211" t="s">
        <v>17</v>
      </c>
      <c r="J55" s="1212" t="s">
        <v>17</v>
      </c>
      <c r="K55" s="1213" t="s">
        <v>17</v>
      </c>
      <c r="M55" s="378"/>
      <c r="N55" s="320"/>
      <c r="O55" s="320"/>
      <c r="P55" s="320"/>
      <c r="Q55" s="320"/>
      <c r="R55" s="320"/>
      <c r="S55" s="320"/>
      <c r="T55" s="320"/>
      <c r="U55" s="464"/>
    </row>
    <row r="56" spans="1:21">
      <c r="A56" s="245"/>
      <c r="B56" s="491" t="s">
        <v>223</v>
      </c>
      <c r="C56" s="185" t="s">
        <v>215</v>
      </c>
      <c r="D56" s="185"/>
      <c r="E56" s="516"/>
      <c r="F56" s="941">
        <f t="shared" ref="F56:K56" si="6">F57+F58-F59+F60+F61</f>
        <v>0</v>
      </c>
      <c r="G56" s="941">
        <f t="shared" si="6"/>
        <v>0</v>
      </c>
      <c r="H56" s="941">
        <f t="shared" si="6"/>
        <v>0</v>
      </c>
      <c r="I56" s="941">
        <f t="shared" si="6"/>
        <v>0</v>
      </c>
      <c r="J56" s="941">
        <f t="shared" si="6"/>
        <v>0</v>
      </c>
      <c r="K56" s="942">
        <f t="shared" si="6"/>
        <v>0</v>
      </c>
      <c r="M56" s="378"/>
      <c r="N56" s="320"/>
      <c r="O56" s="320"/>
      <c r="P56" s="320"/>
      <c r="Q56" s="320"/>
      <c r="R56" s="320"/>
      <c r="S56" s="320"/>
      <c r="T56" s="320"/>
      <c r="U56" s="464"/>
    </row>
    <row r="57" spans="1:21" s="1" customFormat="1">
      <c r="A57" s="38"/>
      <c r="B57" s="1004"/>
      <c r="C57" s="167" t="s">
        <v>275</v>
      </c>
      <c r="D57" s="167"/>
      <c r="E57" s="341"/>
      <c r="F57" s="697">
        <v>0</v>
      </c>
      <c r="G57" s="697">
        <v>0</v>
      </c>
      <c r="H57" s="643">
        <f>'1. T1 INVESTOINTISUUN.'!D48+G57+H70</f>
        <v>0</v>
      </c>
      <c r="I57" s="943">
        <f>'1. T1 INVESTOINTISUUN.'!E48+H57+I70</f>
        <v>0</v>
      </c>
      <c r="J57" s="643">
        <f>'1. T1 INVESTOINTISUUN.'!F48+I57+J70</f>
        <v>0</v>
      </c>
      <c r="K57" s="944">
        <f>'1. T1 INVESTOINTISUUN.'!G48+J57+K70</f>
        <v>0</v>
      </c>
      <c r="L57" s="4"/>
      <c r="M57" s="378"/>
      <c r="N57" s="320"/>
      <c r="O57" s="320"/>
      <c r="P57" s="320"/>
      <c r="Q57" s="320"/>
      <c r="R57" s="320"/>
      <c r="S57" s="320"/>
      <c r="T57" s="320"/>
      <c r="U57" s="464"/>
    </row>
    <row r="58" spans="1:21" s="1" customFormat="1">
      <c r="A58" s="245"/>
      <c r="B58" s="1004"/>
      <c r="C58" s="167" t="s">
        <v>276</v>
      </c>
      <c r="D58" s="167"/>
      <c r="E58" s="341"/>
      <c r="F58" s="697">
        <v>0</v>
      </c>
      <c r="G58" s="697">
        <v>0</v>
      </c>
      <c r="H58" s="728">
        <f>G58-G59+G60</f>
        <v>0</v>
      </c>
      <c r="I58" s="728">
        <f>H58-H59+H60</f>
        <v>0</v>
      </c>
      <c r="J58" s="945">
        <f>I58-I59+I60</f>
        <v>0</v>
      </c>
      <c r="K58" s="644">
        <f>J58-J59+J60</f>
        <v>0</v>
      </c>
      <c r="L58" s="4"/>
      <c r="M58" s="378"/>
      <c r="N58" s="320"/>
      <c r="O58" s="320"/>
      <c r="P58" s="320"/>
      <c r="Q58" s="320"/>
      <c r="R58" s="320"/>
      <c r="S58" s="320"/>
      <c r="T58" s="320"/>
      <c r="U58" s="464"/>
    </row>
    <row r="59" spans="1:21" s="1" customFormat="1">
      <c r="A59"/>
      <c r="B59" s="1004"/>
      <c r="C59" s="1858" t="s">
        <v>305</v>
      </c>
      <c r="D59" s="1858"/>
      <c r="E59" s="1859"/>
      <c r="F59" s="988"/>
      <c r="G59" s="988"/>
      <c r="H59" s="946">
        <f>'8. T4 RAHOITUSSUUN. '!H39</f>
        <v>0</v>
      </c>
      <c r="I59" s="946">
        <f>'8. T4 RAHOITUSSUUN. '!I39</f>
        <v>0</v>
      </c>
      <c r="J59" s="946">
        <f>'8. T4 RAHOITUSSUUN. '!J39</f>
        <v>0</v>
      </c>
      <c r="K59" s="947">
        <f>'8. T4 RAHOITUSSUUN. '!K39</f>
        <v>0</v>
      </c>
      <c r="L59" s="4"/>
      <c r="M59" s="1680" t="s">
        <v>409</v>
      </c>
      <c r="N59" s="167"/>
      <c r="O59" s="167"/>
      <c r="P59" s="167"/>
      <c r="Q59" s="167"/>
      <c r="R59" s="167"/>
      <c r="S59" s="167"/>
      <c r="T59" s="167"/>
      <c r="U59" s="341"/>
    </row>
    <row r="60" spans="1:21" s="1" customFormat="1">
      <c r="A60" s="51"/>
      <c r="B60" s="1004"/>
      <c r="C60" s="167" t="s">
        <v>340</v>
      </c>
      <c r="D60" s="167"/>
      <c r="E60" s="341"/>
      <c r="F60" s="728">
        <f>'2. &amp; 7. T2 TULOSSUUN. '!E31</f>
        <v>0</v>
      </c>
      <c r="G60" s="728">
        <f>'2. &amp; 7. T2 TULOSSUUN. '!G31</f>
        <v>0</v>
      </c>
      <c r="H60" s="728">
        <f>'2. &amp; 7. T2 TULOSSUUN. '!I31</f>
        <v>0</v>
      </c>
      <c r="I60" s="728">
        <f>'2. &amp; 7. T2 TULOSSUUN. '!K31</f>
        <v>0</v>
      </c>
      <c r="J60" s="945">
        <f>'2. &amp; 7. T2 TULOSSUUN. '!M31</f>
        <v>0</v>
      </c>
      <c r="K60" s="644">
        <f>'2. &amp; 7. T2 TULOSSUUN. '!O31</f>
        <v>0</v>
      </c>
      <c r="L60" s="4"/>
      <c r="M60" s="378"/>
      <c r="N60" s="320"/>
      <c r="O60" s="320"/>
      <c r="P60" s="320"/>
      <c r="Q60" s="320"/>
      <c r="R60" s="320"/>
      <c r="S60" s="320"/>
      <c r="T60" s="320"/>
      <c r="U60" s="464"/>
    </row>
    <row r="61" spans="1:21" s="1" customFormat="1">
      <c r="A61"/>
      <c r="B61" s="1004"/>
      <c r="C61" s="1858" t="s">
        <v>353</v>
      </c>
      <c r="D61" s="1858"/>
      <c r="E61" s="1859"/>
      <c r="F61" s="697">
        <v>0</v>
      </c>
      <c r="G61" s="697">
        <v>0</v>
      </c>
      <c r="H61" s="663">
        <f>G61+'1. T1 INVESTOINTISUUN.'!D49</f>
        <v>0</v>
      </c>
      <c r="I61" s="663">
        <f>H61+'1. T1 INVESTOINTISUUN.'!E49</f>
        <v>0</v>
      </c>
      <c r="J61" s="663">
        <f>I61+'1. T1 INVESTOINTISUUN.'!F49</f>
        <v>0</v>
      </c>
      <c r="K61" s="664">
        <f>J61+'1. T1 INVESTOINTISUUN.'!G49</f>
        <v>0</v>
      </c>
      <c r="L61" s="4"/>
      <c r="M61" s="378"/>
      <c r="N61" s="320"/>
      <c r="O61" s="320"/>
      <c r="P61" s="320"/>
      <c r="Q61" s="320"/>
      <c r="R61" s="320"/>
      <c r="S61" s="320"/>
      <c r="T61" s="320"/>
      <c r="U61" s="464"/>
    </row>
    <row r="62" spans="1:21">
      <c r="A62" s="51"/>
      <c r="B62" s="491" t="s">
        <v>225</v>
      </c>
      <c r="C62" s="185" t="s">
        <v>220</v>
      </c>
      <c r="D62" s="185"/>
      <c r="E62" s="187"/>
      <c r="F62" s="537">
        <f t="shared" ref="F62:K62" si="7">F63+F64</f>
        <v>0</v>
      </c>
      <c r="G62" s="537">
        <f>G63+G64</f>
        <v>0</v>
      </c>
      <c r="H62" s="537">
        <f t="shared" si="7"/>
        <v>0</v>
      </c>
      <c r="I62" s="537">
        <f t="shared" si="7"/>
        <v>0</v>
      </c>
      <c r="J62" s="948">
        <f t="shared" si="7"/>
        <v>0</v>
      </c>
      <c r="K62" s="696">
        <f t="shared" si="7"/>
        <v>0</v>
      </c>
      <c r="M62" s="378"/>
      <c r="N62" s="320"/>
      <c r="O62" s="320"/>
      <c r="P62" s="320"/>
      <c r="Q62" s="320"/>
      <c r="R62" s="320"/>
      <c r="S62" s="320"/>
      <c r="T62" s="320"/>
      <c r="U62" s="464"/>
    </row>
    <row r="63" spans="1:21">
      <c r="A63"/>
      <c r="B63" s="1005" t="s">
        <v>0</v>
      </c>
      <c r="C63" s="986" t="s">
        <v>221</v>
      </c>
      <c r="D63" s="986"/>
      <c r="E63" s="342"/>
      <c r="F63" s="663">
        <v>0</v>
      </c>
      <c r="G63" s="663">
        <v>0</v>
      </c>
      <c r="H63" s="643">
        <f>G63-'2. &amp; 7. T2 TULOSSUUN. '!I29</f>
        <v>0</v>
      </c>
      <c r="I63" s="643">
        <f>H63-'2. &amp; 7. T2 TULOSSUUN. '!K29</f>
        <v>0</v>
      </c>
      <c r="J63" s="643">
        <f>I63-'2. &amp; 7. T2 TULOSSUUN. '!M29</f>
        <v>0</v>
      </c>
      <c r="K63" s="644">
        <f>J63-'2. &amp; 7. T2 TULOSSUUN. '!O29</f>
        <v>0</v>
      </c>
      <c r="M63" s="378"/>
      <c r="N63" s="320"/>
      <c r="O63" s="320"/>
      <c r="P63" s="320"/>
      <c r="Q63" s="320"/>
      <c r="R63" s="320"/>
      <c r="S63" s="320"/>
      <c r="T63" s="320"/>
      <c r="U63" s="464"/>
    </row>
    <row r="64" spans="1:21">
      <c r="A64" s="51"/>
      <c r="B64" s="1005" t="s">
        <v>0</v>
      </c>
      <c r="C64" s="1832" t="s">
        <v>432</v>
      </c>
      <c r="D64" s="1832"/>
      <c r="E64" s="1846"/>
      <c r="F64" s="663">
        <v>0</v>
      </c>
      <c r="G64" s="663">
        <v>0</v>
      </c>
      <c r="H64" s="643">
        <f>H65*('5. E1 KUSTANNUKSET '!F13*'5. E1 KUSTANNUKSET '!F15+'5. E1 KUSTANNUKSET '!F17+'5. E1 KUSTANNUKSET '!F24)</f>
        <v>0</v>
      </c>
      <c r="I64" s="643">
        <f>I65*('5. E1 KUSTANNUKSET '!H13*'5. E1 KUSTANNUKSET '!H15+'5. E1 KUSTANNUKSET '!H17+'5. E1 KUSTANNUKSET '!H24)</f>
        <v>0</v>
      </c>
      <c r="J64" s="643">
        <f>J65*('5. E1 KUSTANNUKSET '!J13*'5. E1 KUSTANNUKSET '!J15+'5. E1 KUSTANNUKSET '!J17+'5. E1 KUSTANNUKSET '!J24)</f>
        <v>0</v>
      </c>
      <c r="K64" s="644">
        <f>K65*('5. E1 KUSTANNUKSET '!L13*'5. E1 KUSTANNUKSET '!L15+'5. E1 KUSTANNUKSET '!L17+'5. E1 KUSTANNUKSET '!L24)</f>
        <v>0</v>
      </c>
      <c r="M64" s="378"/>
      <c r="N64" s="320"/>
      <c r="O64" s="320"/>
      <c r="P64" s="320"/>
      <c r="Q64" s="320"/>
      <c r="R64" s="320"/>
      <c r="S64" s="320"/>
      <c r="T64" s="320"/>
      <c r="U64" s="464"/>
    </row>
    <row r="65" spans="1:21">
      <c r="A65" s="2"/>
      <c r="B65" s="1005"/>
      <c r="C65" s="1844" t="s">
        <v>610</v>
      </c>
      <c r="D65" s="1844"/>
      <c r="E65" s="1845"/>
      <c r="F65" s="949"/>
      <c r="G65" s="949"/>
      <c r="H65" s="1018">
        <f>G65</f>
        <v>0</v>
      </c>
      <c r="I65" s="1018">
        <f>H65</f>
        <v>0</v>
      </c>
      <c r="J65" s="1019">
        <f>I65</f>
        <v>0</v>
      </c>
      <c r="K65" s="1020">
        <f>J65</f>
        <v>0</v>
      </c>
      <c r="M65" s="378"/>
      <c r="N65" s="320"/>
      <c r="O65" s="320"/>
      <c r="P65" s="320"/>
      <c r="Q65" s="320"/>
      <c r="R65" s="320"/>
      <c r="S65" s="320"/>
      <c r="T65" s="320"/>
      <c r="U65" s="464"/>
    </row>
    <row r="66" spans="1:21">
      <c r="A66" s="51"/>
      <c r="B66" s="491" t="s">
        <v>237</v>
      </c>
      <c r="C66" s="1756" t="s">
        <v>224</v>
      </c>
      <c r="D66" s="1756"/>
      <c r="E66" s="1851"/>
      <c r="F66" s="950">
        <v>0</v>
      </c>
      <c r="G66" s="950">
        <v>0</v>
      </c>
      <c r="H66" s="950"/>
      <c r="I66" s="950"/>
      <c r="J66" s="951"/>
      <c r="K66" s="952"/>
      <c r="M66" s="378"/>
      <c r="N66" s="320"/>
      <c r="O66" s="320"/>
      <c r="P66" s="320"/>
      <c r="Q66" s="320"/>
      <c r="R66" s="320"/>
      <c r="S66" s="320"/>
      <c r="T66" s="320"/>
      <c r="U66" s="464"/>
    </row>
    <row r="67" spans="1:21">
      <c r="A67"/>
      <c r="B67" s="491" t="s">
        <v>335</v>
      </c>
      <c r="C67" s="1756" t="s">
        <v>236</v>
      </c>
      <c r="D67" s="1756"/>
      <c r="E67" s="1851"/>
      <c r="F67" s="537">
        <f t="shared" ref="F67:K67" si="8">F68+F69+F71+F74</f>
        <v>0</v>
      </c>
      <c r="G67" s="537">
        <f>G68+G69+G71+G74</f>
        <v>0</v>
      </c>
      <c r="H67" s="537">
        <f>H68+H69+H71+H74</f>
        <v>0</v>
      </c>
      <c r="I67" s="537">
        <f t="shared" si="8"/>
        <v>0</v>
      </c>
      <c r="J67" s="948">
        <f t="shared" si="8"/>
        <v>0</v>
      </c>
      <c r="K67" s="696">
        <f t="shared" si="8"/>
        <v>0</v>
      </c>
      <c r="M67" s="378"/>
      <c r="N67" s="320"/>
      <c r="O67" s="320"/>
      <c r="P67" s="320"/>
      <c r="Q67" s="320"/>
      <c r="R67" s="320"/>
      <c r="S67" s="320"/>
      <c r="T67" s="320"/>
      <c r="U67" s="464"/>
    </row>
    <row r="68" spans="1:21">
      <c r="A68" s="51"/>
      <c r="B68" s="365" t="s">
        <v>0</v>
      </c>
      <c r="C68" s="1847" t="s">
        <v>226</v>
      </c>
      <c r="D68" s="1847"/>
      <c r="E68" s="1857"/>
      <c r="F68" s="663">
        <v>0</v>
      </c>
      <c r="G68" s="663">
        <v>0</v>
      </c>
      <c r="H68" s="643">
        <f>'AT2 Lainat,sotum., alv-osto'!T14+'AT2 Lainat,sotum., alv-osto'!T16+'AT2 Lainat,sotum., alv-osto'!T17+'AT2 Lainat,sotum., alv-osto'!T18-'8. T4 RAHOITUSSUUN. '!H35</f>
        <v>0</v>
      </c>
      <c r="I68" s="643">
        <f>'AT2 Lainat,sotum., alv-osto'!Z14+'AT2 Lainat,sotum., alv-osto'!Z16+'AT2 Lainat,sotum., alv-osto'!Z17+'AT2 Lainat,sotum., alv-osto'!Z18+'AT2 Lainat,sotum., alv-osto'!Z19+'AT2 Lainat,sotum., alv-osto'!Z20+'AT2 Lainat,sotum., alv-osto'!Z21-'8. T4 RAHOITUSSUUN. '!H35-'8. T4 RAHOITUSSUUN. '!I35</f>
        <v>0</v>
      </c>
      <c r="J68" s="643">
        <f>'AT2 Lainat,sotum., alv-osto'!AF14+'AT2 Lainat,sotum., alv-osto'!AF16+'AT2 Lainat,sotum., alv-osto'!AF17+'AT2 Lainat,sotum., alv-osto'!AF18+'AT2 Lainat,sotum., alv-osto'!AF21+'AT2 Lainat,sotum., alv-osto'!AF19+'AT2 Lainat,sotum., alv-osto'!AF20+'AT2 Lainat,sotum., alv-osto'!AF23+'AT2 Lainat,sotum., alv-osto'!AF22+'AT2 Lainat,sotum., alv-osto'!AF24-'8. T4 RAHOITUSSUUN. '!H35-'8. T4 RAHOITUSSUUN. '!I35-'8. T4 RAHOITUSSUUN. '!J35</f>
        <v>0</v>
      </c>
      <c r="K68" s="644">
        <f>'AT2 Lainat,sotum., alv-osto'!AL14+'AT2 Lainat,sotum., alv-osto'!AL28-'8. T4 RAHOITUSSUUN. '!H35-'8. T4 RAHOITUSSUUN. '!I35-'8. T4 RAHOITUSSUUN. '!J35-'8. T4 RAHOITUSSUUN. '!K35</f>
        <v>0</v>
      </c>
      <c r="M68" s="378"/>
      <c r="N68" s="320"/>
      <c r="O68" s="320"/>
      <c r="P68" s="320"/>
      <c r="Q68" s="320"/>
      <c r="R68" s="320"/>
      <c r="S68" s="320"/>
      <c r="T68" s="320"/>
      <c r="U68" s="464"/>
    </row>
    <row r="69" spans="1:21">
      <c r="A69"/>
      <c r="B69" s="365" t="s">
        <v>0</v>
      </c>
      <c r="C69" s="1832" t="s">
        <v>241</v>
      </c>
      <c r="D69" s="1832"/>
      <c r="E69" s="1846"/>
      <c r="F69" s="663">
        <v>0</v>
      </c>
      <c r="G69" s="663">
        <v>0</v>
      </c>
      <c r="H69" s="767">
        <f>G69+'1. T1 INVESTOINTISUUN.'!D51</f>
        <v>0</v>
      </c>
      <c r="I69" s="767">
        <f>H69+'1. T1 INVESTOINTISUUN.'!E51</f>
        <v>0</v>
      </c>
      <c r="J69" s="767">
        <f>I69+'1. T1 INVESTOINTISUUN.'!F51</f>
        <v>0</v>
      </c>
      <c r="K69" s="768">
        <f>J69+'1. T1 INVESTOINTISUUN.'!G51</f>
        <v>0</v>
      </c>
      <c r="M69" s="378"/>
      <c r="N69" s="320"/>
      <c r="O69" s="320"/>
      <c r="P69" s="320"/>
      <c r="Q69" s="320"/>
      <c r="R69" s="320"/>
      <c r="S69" s="320"/>
      <c r="T69" s="320"/>
      <c r="U69" s="464"/>
    </row>
    <row r="70" spans="1:21">
      <c r="A70" s="51"/>
      <c r="B70" s="365"/>
      <c r="C70" s="983" t="s">
        <v>710</v>
      </c>
      <c r="D70" s="983"/>
      <c r="E70" s="984"/>
      <c r="F70" s="953"/>
      <c r="G70" s="953"/>
      <c r="H70" s="767">
        <v>0</v>
      </c>
      <c r="I70" s="767">
        <v>0</v>
      </c>
      <c r="J70" s="1070">
        <v>0</v>
      </c>
      <c r="K70" s="768"/>
      <c r="M70" s="1327" t="str">
        <f>IF(H70&gt;0,"VÄHENNÄ AKORDI PÄÄOMALAINAN SALDOSTA!",IF(I70&gt;0,"VÄHENNÄ AKORDI PÄÄOMALAINAN SALDOSTA!",IF(J70&gt;0,"VÄHENNÄ AKORDI PÄÄOMALAINAN SALDOSTA!",IF(K70&gt;0,"VÄHENNÄ AKORDI PÄÄOMALAINAN SALDOSTA!",""))))</f>
        <v/>
      </c>
      <c r="N70" s="151"/>
      <c r="O70" s="151"/>
      <c r="P70" s="151"/>
      <c r="Q70" s="151"/>
      <c r="R70" s="151"/>
      <c r="S70" s="151"/>
      <c r="T70" s="151"/>
      <c r="U70" s="511"/>
    </row>
    <row r="71" spans="1:21">
      <c r="A71" s="2"/>
      <c r="B71" s="365" t="s">
        <v>0</v>
      </c>
      <c r="C71" s="225" t="s">
        <v>239</v>
      </c>
      <c r="D71" s="225"/>
      <c r="E71" s="228"/>
      <c r="F71" s="643">
        <f t="shared" ref="F71:K71" si="9">F72+F73</f>
        <v>0</v>
      </c>
      <c r="G71" s="643">
        <f t="shared" si="9"/>
        <v>0</v>
      </c>
      <c r="H71" s="643">
        <f t="shared" si="9"/>
        <v>0</v>
      </c>
      <c r="I71" s="643">
        <f t="shared" si="9"/>
        <v>0</v>
      </c>
      <c r="J71" s="920">
        <f t="shared" si="9"/>
        <v>0</v>
      </c>
      <c r="K71" s="644">
        <f t="shared" si="9"/>
        <v>0</v>
      </c>
      <c r="M71" s="378"/>
      <c r="N71" s="320"/>
      <c r="O71" s="320"/>
      <c r="P71" s="320"/>
      <c r="Q71" s="320"/>
      <c r="R71" s="320"/>
      <c r="S71" s="320"/>
      <c r="T71" s="320"/>
      <c r="U71" s="464"/>
    </row>
    <row r="72" spans="1:21">
      <c r="A72" s="51"/>
      <c r="B72" s="365"/>
      <c r="C72" s="225" t="s">
        <v>713</v>
      </c>
      <c r="D72" s="225"/>
      <c r="E72" s="228"/>
      <c r="F72" s="663">
        <v>0</v>
      </c>
      <c r="G72" s="663">
        <v>0</v>
      </c>
      <c r="H72" s="663">
        <f>G72</f>
        <v>0</v>
      </c>
      <c r="I72" s="663">
        <f>H72</f>
        <v>0</v>
      </c>
      <c r="J72" s="663">
        <f>I72</f>
        <v>0</v>
      </c>
      <c r="K72" s="664">
        <f>J72</f>
        <v>0</v>
      </c>
      <c r="M72" s="1327">
        <f>IF(H72&gt;0,"LISÄÄ OSTOVELAN KORKO T7 LAINAT-LOMAKKEEN KOHTAAN 'Korot pitkäaikaisista veloista, ei velkakirjaa'!",IF(I72&gt;0,"LISÄÄ OSTOVELAN KORKO T7 LAINAT-LOMAKKEEN KOHTAAN 'Korot pitkäaikaisista veloista, ei velkakirjaa'!",IF(J72&gt;0,"LISÄÄ OSTOVELAN KORKO T7 LAINAT-LOMAKKEEN KOHTAAN 'Korot pitkäaikaisista veloista, ei velkakirjaa'!",IF(K72&gt;0,"LISÄÄ OSTOVELAN KORKO T7 LAINAT-LOMAKKEEN KOHTAAN 'Korot pitkäaikaisista veloista, ei velkakirjaa'!",0))))</f>
        <v>0</v>
      </c>
      <c r="N72" s="320"/>
      <c r="O72" s="320"/>
      <c r="P72" s="320"/>
      <c r="Q72" s="320"/>
      <c r="R72" s="320"/>
      <c r="S72" s="320"/>
      <c r="T72" s="320"/>
      <c r="U72" s="464"/>
    </row>
    <row r="73" spans="1:21">
      <c r="A73"/>
      <c r="B73" s="365"/>
      <c r="C73" s="225" t="s">
        <v>721</v>
      </c>
      <c r="D73" s="225"/>
      <c r="E73" s="228"/>
      <c r="F73" s="1009">
        <v>0</v>
      </c>
      <c r="G73" s="663">
        <v>0</v>
      </c>
      <c r="H73" s="643">
        <f>'AT2 Lainat,sotum., alv-osto'!T40+'AT2 Lainat,sotum., alv-osto'!T44</f>
        <v>0</v>
      </c>
      <c r="I73" s="643">
        <f>'AT2 Lainat,sotum., alv-osto'!Z40+'AT2 Lainat,sotum., alv-osto'!Z44+'AT2 Lainat,sotum., alv-osto'!Z47</f>
        <v>0</v>
      </c>
      <c r="J73" s="643">
        <f>'AT2 Lainat,sotum., alv-osto'!AF40+'AT2 Lainat,sotum., alv-osto'!AF44+'AT2 Lainat,sotum., alv-osto'!AF47+'AT2 Lainat,sotum., alv-osto'!AF50</f>
        <v>0</v>
      </c>
      <c r="K73" s="644">
        <f>IF('4. T7 LAINAT '!O45=0,'AT2 Lainat,sotum., alv-osto'!AL40+'AT2 Lainat,sotum., alv-osto'!AL44+'AT2 Lainat,sotum., alv-osto'!AL47+'AT2 Lainat,sotum., alv-osto'!AL50,'AT2 Lainat,sotum., alv-osto'!AL43+'AT2 Lainat,sotum., alv-osto'!AL56)</f>
        <v>0</v>
      </c>
      <c r="M73" s="378"/>
      <c r="N73" s="320"/>
      <c r="O73" s="320"/>
      <c r="P73" s="320"/>
      <c r="Q73" s="320"/>
      <c r="R73" s="320"/>
      <c r="S73" s="320"/>
      <c r="T73" s="320"/>
      <c r="U73" s="464"/>
    </row>
    <row r="74" spans="1:21">
      <c r="A74" s="51"/>
      <c r="B74" s="365"/>
      <c r="C74" s="1832" t="s">
        <v>240</v>
      </c>
      <c r="D74" s="1832"/>
      <c r="E74" s="1846"/>
      <c r="F74" s="663">
        <v>0</v>
      </c>
      <c r="G74" s="663">
        <v>0</v>
      </c>
      <c r="H74" s="663">
        <f>G74</f>
        <v>0</v>
      </c>
      <c r="I74" s="663">
        <f>H74</f>
        <v>0</v>
      </c>
      <c r="J74" s="663">
        <f>I74</f>
        <v>0</v>
      </c>
      <c r="K74" s="664">
        <f>J74</f>
        <v>0</v>
      </c>
      <c r="M74" s="1327">
        <f>IF(H74&gt;0,"SAADUT VELKAKIRJALAINAT MERKITÄÄN TAULUKKOON 4. T7 LAINAT, MUUT TÄHÄN!",IF(I74&gt;0,"SAADUT VELKAKIRJALAINAT MERKITÄÄN TAULUKKOON 4. T7 LAINAT, MUUT TÄHÄN!",IF(J74&gt;0,"SAADUT VELKAKIRJALAINAT MERKITÄÄN TAULUKKOON 4. T7 LAINAT, MUUT TÄHÄN!",IF(K74&gt;0,"SAADUT VELKAKIRJALAINAT MERKITÄÄN TAULUKKOON 4. T7 LAINAT, MUUT TÄHÄN!",0))))</f>
        <v>0</v>
      </c>
      <c r="N74" s="450"/>
      <c r="O74" s="450"/>
      <c r="P74" s="450"/>
      <c r="Q74" s="450"/>
      <c r="R74" s="450"/>
      <c r="S74" s="450"/>
      <c r="T74" s="450"/>
      <c r="U74" s="1355"/>
    </row>
    <row r="75" spans="1:21">
      <c r="A75"/>
      <c r="B75" s="491" t="s">
        <v>336</v>
      </c>
      <c r="C75" s="1756" t="s">
        <v>238</v>
      </c>
      <c r="D75" s="1756"/>
      <c r="E75" s="1851"/>
      <c r="F75" s="537">
        <f t="shared" ref="F75:K75" si="10">F76+F79+F80+F84+F91+F96</f>
        <v>0</v>
      </c>
      <c r="G75" s="537">
        <f>G76+G79+G80+G84+G91+G96</f>
        <v>0</v>
      </c>
      <c r="H75" s="537">
        <f t="shared" si="10"/>
        <v>0</v>
      </c>
      <c r="I75" s="537">
        <f t="shared" si="10"/>
        <v>0</v>
      </c>
      <c r="J75" s="537">
        <f t="shared" si="10"/>
        <v>0</v>
      </c>
      <c r="K75" s="696">
        <f t="shared" si="10"/>
        <v>0</v>
      </c>
      <c r="M75" s="378"/>
      <c r="N75" s="320"/>
      <c r="O75" s="320"/>
      <c r="P75" s="320"/>
      <c r="Q75" s="320"/>
      <c r="R75" s="320"/>
      <c r="S75" s="320"/>
      <c r="T75" s="320"/>
      <c r="U75" s="511"/>
    </row>
    <row r="76" spans="1:21">
      <c r="A76" s="51"/>
      <c r="B76" s="365" t="s">
        <v>0</v>
      </c>
      <c r="C76" s="1847" t="s">
        <v>226</v>
      </c>
      <c r="D76" s="1847"/>
      <c r="E76" s="1857"/>
      <c r="F76" s="953">
        <f t="shared" ref="F76:K76" si="11">F77+F78</f>
        <v>0</v>
      </c>
      <c r="G76" s="953">
        <f t="shared" si="11"/>
        <v>0</v>
      </c>
      <c r="H76" s="953">
        <f t="shared" si="11"/>
        <v>0</v>
      </c>
      <c r="I76" s="953">
        <f t="shared" si="11"/>
        <v>0</v>
      </c>
      <c r="J76" s="953">
        <f t="shared" si="11"/>
        <v>0</v>
      </c>
      <c r="K76" s="1010">
        <f t="shared" si="11"/>
        <v>0</v>
      </c>
      <c r="M76" s="378"/>
      <c r="N76" s="320"/>
      <c r="O76" s="320"/>
      <c r="P76" s="320"/>
      <c r="Q76" s="320"/>
      <c r="R76" s="320"/>
      <c r="S76" s="320"/>
      <c r="T76" s="320"/>
      <c r="U76" s="464"/>
    </row>
    <row r="77" spans="1:21">
      <c r="A77" s="2"/>
      <c r="B77" s="365"/>
      <c r="C77" s="986" t="s">
        <v>711</v>
      </c>
      <c r="D77" s="986"/>
      <c r="E77" s="987"/>
      <c r="F77" s="663">
        <v>0</v>
      </c>
      <c r="G77" s="663">
        <v>0</v>
      </c>
      <c r="H77" s="643">
        <f>'4. T7 LAINAT '!I18+'4. T7 LAINAT '!J24+'4. T7 LAINAT '!J25+'4. T7 LAINAT '!J26</f>
        <v>0</v>
      </c>
      <c r="I77" s="643">
        <f>'4. T7 LAINAT '!L18+'4. T7 LAINAT '!M24+'4. T7 LAINAT '!M25+'4. T7 LAINAT '!M26+'4. T7 LAINAT '!M28+'4. T7 LAINAT '!M29+'4. T7 LAINAT '!M30</f>
        <v>0</v>
      </c>
      <c r="J77" s="643">
        <f>'4. T7 LAINAT '!O18+'4. T7 LAINAT '!P24+'4. T7 LAINAT '!P25+'4. T7 LAINAT '!P26+'4. T7 LAINAT '!P28+'4. T7 LAINAT '!P29+'4. T7 LAINAT '!P30+'4. T7 LAINAT '!P32+'4. T7 LAINAT '!P33+'4. T7 LAINAT '!P34</f>
        <v>0</v>
      </c>
      <c r="K77" s="644">
        <f>'AT2 Lainat,sotum., alv-osto'!AJ14+'AT2 Lainat,sotum., alv-osto'!AJ28</f>
        <v>0</v>
      </c>
      <c r="M77" s="378"/>
      <c r="N77" s="320"/>
      <c r="O77" s="320"/>
      <c r="P77" s="320"/>
      <c r="Q77" s="320"/>
      <c r="R77" s="320"/>
      <c r="S77" s="320"/>
      <c r="T77" s="320"/>
      <c r="U77" s="464"/>
    </row>
    <row r="78" spans="1:21">
      <c r="A78" s="51"/>
      <c r="B78" s="365"/>
      <c r="C78" s="1832" t="s">
        <v>712</v>
      </c>
      <c r="D78" s="1832"/>
      <c r="E78" s="1846"/>
      <c r="F78" s="663">
        <v>0</v>
      </c>
      <c r="G78" s="663">
        <v>0</v>
      </c>
      <c r="H78" s="663">
        <f t="shared" ref="H78:K79" si="12">G78</f>
        <v>0</v>
      </c>
      <c r="I78" s="663">
        <f t="shared" si="12"/>
        <v>0</v>
      </c>
      <c r="J78" s="663">
        <f t="shared" si="12"/>
        <v>0</v>
      </c>
      <c r="K78" s="664">
        <f t="shared" si="12"/>
        <v>0</v>
      </c>
      <c r="M78" s="1327">
        <f>IF(H78&gt;0,"MERKITSE KORKO 4. T7 LAINAT-LOMAKKEEN KOHTAAN 'Lyhytaikaisten lainojen korot'!",IF(I78&gt;0,"MERKITSE KORKO 4. T7 LAINAT-LOMAKKEEN KOHTAAN 'Lyhytaikaisten lainojen korot'!",IF(J78&gt;0,"MERKITSE KORKO 4. T7 LAINAT-LOMAKKEEN KOHTAAN 'Lyhytaikaisten lainojen korot'!",IF(K78&gt;0,"MERKITSE KORKO 4. T7 LAINAT-LOMAKKEEN KOHTAAN 'Lyhytaikaisten lainojen korot'!",0))))</f>
        <v>0</v>
      </c>
      <c r="N78" s="450"/>
      <c r="O78" s="450"/>
      <c r="P78" s="450"/>
      <c r="Q78" s="450"/>
      <c r="R78" s="450"/>
      <c r="S78" s="450"/>
      <c r="T78" s="450"/>
      <c r="U78" s="1355"/>
    </row>
    <row r="79" spans="1:21">
      <c r="A79"/>
      <c r="B79" s="365" t="s">
        <v>0</v>
      </c>
      <c r="C79" s="1832" t="s">
        <v>241</v>
      </c>
      <c r="D79" s="1832"/>
      <c r="E79" s="1846"/>
      <c r="F79" s="663">
        <v>0</v>
      </c>
      <c r="G79" s="663">
        <v>0</v>
      </c>
      <c r="H79" s="663">
        <f>G79</f>
        <v>0</v>
      </c>
      <c r="I79" s="663">
        <f t="shared" si="12"/>
        <v>0</v>
      </c>
      <c r="J79" s="663">
        <f t="shared" si="12"/>
        <v>0</v>
      </c>
      <c r="K79" s="664">
        <f t="shared" si="12"/>
        <v>0</v>
      </c>
      <c r="M79" s="378"/>
      <c r="N79" s="320"/>
      <c r="O79" s="320"/>
      <c r="P79" s="320"/>
      <c r="Q79" s="320"/>
      <c r="R79" s="320"/>
      <c r="S79" s="320"/>
      <c r="T79" s="320"/>
      <c r="U79" s="464"/>
    </row>
    <row r="80" spans="1:21">
      <c r="A80" s="51"/>
      <c r="B80" s="365" t="s">
        <v>0</v>
      </c>
      <c r="C80" s="225" t="s">
        <v>239</v>
      </c>
      <c r="D80" s="225"/>
      <c r="E80" s="228"/>
      <c r="F80" s="643">
        <f t="shared" ref="F80:K80" si="13">F81+F83</f>
        <v>0</v>
      </c>
      <c r="G80" s="643">
        <f t="shared" si="13"/>
        <v>0</v>
      </c>
      <c r="H80" s="643">
        <f t="shared" si="13"/>
        <v>0</v>
      </c>
      <c r="I80" s="643">
        <f t="shared" si="13"/>
        <v>0</v>
      </c>
      <c r="J80" s="920">
        <f t="shared" si="13"/>
        <v>0</v>
      </c>
      <c r="K80" s="644">
        <f t="shared" si="13"/>
        <v>0</v>
      </c>
      <c r="M80" s="378"/>
      <c r="N80" s="320"/>
      <c r="O80" s="320"/>
      <c r="P80" s="320"/>
      <c r="Q80" s="320"/>
      <c r="R80" s="320"/>
      <c r="S80" s="320"/>
      <c r="T80" s="320"/>
      <c r="U80" s="464"/>
    </row>
    <row r="81" spans="1:21">
      <c r="A81" s="2"/>
      <c r="B81" s="365"/>
      <c r="C81" s="225" t="s">
        <v>713</v>
      </c>
      <c r="D81" s="225"/>
      <c r="E81" s="228"/>
      <c r="F81" s="663">
        <v>0</v>
      </c>
      <c r="G81" s="663">
        <v>0</v>
      </c>
      <c r="H81" s="643">
        <f>'8. T4 RAHOITUSSUUN. '!H56</f>
        <v>0</v>
      </c>
      <c r="I81" s="643">
        <f>'8. T4 RAHOITUSSUUN. '!I56</f>
        <v>0</v>
      </c>
      <c r="J81" s="643">
        <f>'8. T4 RAHOITUSSUUN. '!J56</f>
        <v>0</v>
      </c>
      <c r="K81" s="644">
        <f>'8. T4 RAHOITUSSUUN. '!K56</f>
        <v>0</v>
      </c>
      <c r="M81" s="378"/>
      <c r="N81" s="320"/>
      <c r="O81" s="320"/>
      <c r="P81" s="320"/>
      <c r="Q81" s="320"/>
      <c r="R81" s="320"/>
      <c r="S81" s="320"/>
      <c r="T81" s="320"/>
      <c r="U81" s="464"/>
    </row>
    <row r="82" spans="1:21">
      <c r="A82" s="51"/>
      <c r="B82" s="365"/>
      <c r="C82" s="1874" t="s">
        <v>614</v>
      </c>
      <c r="D82" s="1874"/>
      <c r="E82" s="1875"/>
      <c r="F82" s="934">
        <f>'8. T4 RAHOITUSSUUN. '!F57</f>
        <v>0</v>
      </c>
      <c r="G82" s="934">
        <f>'8. T4 RAHOITUSSUUN. '!G57</f>
        <v>0</v>
      </c>
      <c r="H82" s="934">
        <f>'8. T4 RAHOITUSSUUN. '!H57</f>
        <v>0</v>
      </c>
      <c r="I82" s="934">
        <f>'8. T4 RAHOITUSSUUN. '!I57</f>
        <v>0</v>
      </c>
      <c r="J82" s="934">
        <f>'8. T4 RAHOITUSSUUN. '!J57</f>
        <v>0</v>
      </c>
      <c r="K82" s="935">
        <f>'8. T4 RAHOITUSSUUN. '!K57</f>
        <v>0</v>
      </c>
      <c r="M82" s="378"/>
      <c r="N82" s="320"/>
      <c r="O82" s="320"/>
      <c r="P82" s="320"/>
      <c r="Q82" s="320"/>
      <c r="R82" s="320"/>
      <c r="S82" s="320"/>
      <c r="T82" s="320"/>
      <c r="U82" s="464"/>
    </row>
    <row r="83" spans="1:21">
      <c r="B83" s="365"/>
      <c r="C83" s="225" t="s">
        <v>714</v>
      </c>
      <c r="D83" s="225"/>
      <c r="E83" s="228"/>
      <c r="F83" s="663">
        <v>0</v>
      </c>
      <c r="G83" s="663">
        <v>0</v>
      </c>
      <c r="H83" s="643">
        <f>'AT2 Lainat,sotum., alv-osto'!R43+'AT2 Lainat,sotum., alv-osto'!R44</f>
        <v>0</v>
      </c>
      <c r="I83" s="643">
        <f>'AT2 Lainat,sotum., alv-osto'!X40+'AT2 Lainat,sotum., alv-osto'!X44+'AT2 Lainat,sotum., alv-osto'!X47</f>
        <v>0</v>
      </c>
      <c r="J83" s="643">
        <f>'AT2 Lainat,sotum., alv-osto'!AD40+'AT2 Lainat,sotum., alv-osto'!AD44+'AT2 Lainat,sotum., alv-osto'!AD47+'AT2 Lainat,sotum., alv-osto'!AD50</f>
        <v>0</v>
      </c>
      <c r="K83" s="644">
        <f>'AT2 Lainat,sotum., alv-osto'!AJ40+'AT2 Lainat,sotum., alv-osto'!AJ44+'AT2 Lainat,sotum., alv-osto'!AJ47+'AT2 Lainat,sotum., alv-osto'!AJ50+'AT2 Lainat,sotum., alv-osto'!AJ53</f>
        <v>0</v>
      </c>
      <c r="M83" s="378"/>
      <c r="N83" s="320"/>
      <c r="O83" s="320"/>
      <c r="P83" s="320"/>
      <c r="Q83" s="320"/>
      <c r="R83" s="320"/>
      <c r="S83" s="320"/>
      <c r="T83" s="320"/>
      <c r="U83" s="464"/>
    </row>
    <row r="84" spans="1:21">
      <c r="B84" s="365"/>
      <c r="C84" s="1832" t="s">
        <v>242</v>
      </c>
      <c r="D84" s="1832"/>
      <c r="E84" s="1846"/>
      <c r="F84" s="643">
        <f t="shared" ref="F84:K84" si="14">F85+F87+F88+F90</f>
        <v>0</v>
      </c>
      <c r="G84" s="643">
        <f t="shared" si="14"/>
        <v>0</v>
      </c>
      <c r="H84" s="643">
        <f t="shared" si="14"/>
        <v>0</v>
      </c>
      <c r="I84" s="643">
        <f t="shared" si="14"/>
        <v>0</v>
      </c>
      <c r="J84" s="920">
        <f t="shared" si="14"/>
        <v>0</v>
      </c>
      <c r="K84" s="644">
        <f t="shared" si="14"/>
        <v>0</v>
      </c>
      <c r="M84" s="378"/>
      <c r="N84" s="320"/>
      <c r="O84" s="320"/>
      <c r="P84" s="320"/>
      <c r="Q84" s="320"/>
      <c r="R84" s="320"/>
      <c r="S84" s="320"/>
      <c r="T84" s="320"/>
      <c r="U84" s="464"/>
    </row>
    <row r="85" spans="1:21" ht="36" customHeight="1">
      <c r="B85" s="365"/>
      <c r="C85" s="1878" t="s">
        <v>563</v>
      </c>
      <c r="D85" s="1878"/>
      <c r="E85" s="1879"/>
      <c r="F85" s="697">
        <v>0</v>
      </c>
      <c r="G85" s="697">
        <v>0</v>
      </c>
      <c r="H85" s="728">
        <f>H86*('5. E1 KUSTANNUKSET '!F13+'5. E1 KUSTANNUKSET '!F14+'5. E1 KUSTANNUKSET '!F22/12+'5. E1 KUSTANNUKSET '!F17/12+'5. E1 KUSTANNUKSET '!F24/12+'5. E1 KUSTANNUKSET '!F28/12)</f>
        <v>0</v>
      </c>
      <c r="I85" s="728">
        <f>I86*('5. E1 KUSTANNUKSET '!H13+'5. E1 KUSTANNUKSET '!H14+'5. E1 KUSTANNUKSET '!H22/12+'5. E1 KUSTANNUKSET '!H17/12+'5. E1 KUSTANNUKSET '!H24/12+'5. E1 KUSTANNUKSET '!H28/12)</f>
        <v>0</v>
      </c>
      <c r="J85" s="728">
        <f>J86*('5. E1 KUSTANNUKSET '!J13+'5. E1 KUSTANNUKSET '!J14+'5. E1 KUSTANNUKSET '!J22/12+'5. E1 KUSTANNUKSET '!J17/12+'5. E1 KUSTANNUKSET '!J24/12+'5. E1 KUSTANNUKSET '!J28/12)</f>
        <v>0</v>
      </c>
      <c r="K85" s="644">
        <f>K86*('5. E1 KUSTANNUKSET '!L13+'5. E1 KUSTANNUKSET '!L14+'5. E1 KUSTANNUKSET '!L22/12+'5. E1 KUSTANNUKSET '!L17/12+'5. E1 KUSTANNUKSET '!L24/12+'5. E1 KUSTANNUKSET '!L28/12)</f>
        <v>0</v>
      </c>
      <c r="M85" s="378"/>
      <c r="N85" s="320"/>
      <c r="O85" s="320"/>
      <c r="P85" s="320"/>
      <c r="Q85" s="320"/>
      <c r="R85" s="320"/>
      <c r="S85" s="320"/>
      <c r="T85" s="320"/>
      <c r="U85" s="464"/>
    </row>
    <row r="86" spans="1:21">
      <c r="B86" s="365"/>
      <c r="C86" s="1844" t="s">
        <v>611</v>
      </c>
      <c r="D86" s="1844"/>
      <c r="E86" s="1845"/>
      <c r="F86" s="936"/>
      <c r="G86" s="936"/>
      <c r="H86" s="1021">
        <v>0.25</v>
      </c>
      <c r="I86" s="1021">
        <f>H86</f>
        <v>0.25</v>
      </c>
      <c r="J86" s="1021">
        <f>I86</f>
        <v>0.25</v>
      </c>
      <c r="K86" s="1022">
        <f>J86</f>
        <v>0.25</v>
      </c>
      <c r="M86" s="378"/>
      <c r="N86" s="320"/>
      <c r="O86" s="320"/>
      <c r="P86" s="320"/>
      <c r="Q86" s="320" t="s">
        <v>0</v>
      </c>
      <c r="R86" s="320"/>
      <c r="S86" s="320"/>
      <c r="T86" s="320"/>
      <c r="U86" s="464"/>
    </row>
    <row r="87" spans="1:21">
      <c r="B87" s="365"/>
      <c r="C87" s="983" t="s">
        <v>715</v>
      </c>
      <c r="D87" s="983"/>
      <c r="E87" s="983"/>
      <c r="F87" s="697">
        <v>0</v>
      </c>
      <c r="G87" s="697">
        <v>0</v>
      </c>
      <c r="H87" s="728">
        <f>'9. T5 KASSABUDJETTI  '!AD24*('5. E1 KUSTANNUKSET '!F13+'5. E1 KUSTANNUKSET '!F14+'5. E1 KUSTANNUKSET '!F17/12+'5. E1 KUSTANNUKSET '!F22/12+'5. E1 KUSTANNUKSET '!F24/12+'5. E1 KUSTANNUKSET '!F28/12)</f>
        <v>0</v>
      </c>
      <c r="I87" s="728">
        <f>'9. T5 KASSABUDJETTI  '!AD24*('5. E1 KUSTANNUKSET '!H13+'5. E1 KUSTANNUKSET '!H14+'5. E1 KUSTANNUKSET '!H17/12+'5. E1 KUSTANNUKSET '!H22/12+'5. E1 KUSTANNUKSET '!H24/12+'5. E1 KUSTANNUKSET '!H28/12)</f>
        <v>0</v>
      </c>
      <c r="J87" s="728">
        <f>'9. T5 KASSABUDJETTI  '!AD24*('5. E1 KUSTANNUKSET '!J13+'5. E1 KUSTANNUKSET '!J14+'5. E1 KUSTANNUKSET '!J17/12+'5. E1 KUSTANNUKSET '!J22/12+'5. E1 KUSTANNUKSET '!J24/12+'5. E1 KUSTANNUKSET '!J28/12)</f>
        <v>0</v>
      </c>
      <c r="K87" s="644">
        <f>'9. T5 KASSABUDJETTI  '!AD24*('5. E1 KUSTANNUKSET '!L13+'5. E1 KUSTANNUKSET '!L14+'5. E1 KUSTANNUKSET '!L17/12+'5. E1 KUSTANNUKSET '!L22/12+'5. E1 KUSTANNUKSET '!L24/12+'5. E1 KUSTANNUKSET '!L28/12)</f>
        <v>0</v>
      </c>
      <c r="M87" s="378"/>
      <c r="N87" s="320"/>
      <c r="O87" s="320"/>
      <c r="P87" s="320"/>
      <c r="Q87" s="320"/>
      <c r="R87" s="320"/>
      <c r="S87" s="320"/>
      <c r="T87" s="320"/>
      <c r="U87" s="464"/>
    </row>
    <row r="88" spans="1:21">
      <c r="B88" s="365"/>
      <c r="C88" s="1832" t="s">
        <v>716</v>
      </c>
      <c r="D88" s="1832"/>
      <c r="E88" s="1832"/>
      <c r="F88" s="697">
        <v>0</v>
      </c>
      <c r="G88" s="697">
        <v>0</v>
      </c>
      <c r="H88" s="728">
        <f>IF('2. &amp; 7. T2 TULOSSUUN. '!I11=0,0,'2. &amp; 7. T2 TULOSSUUN. '!I11*'3. T3 TASE '!H89)</f>
        <v>0</v>
      </c>
      <c r="I88" s="728">
        <f>IF('2. &amp; 7. T2 TULOSSUUN. '!K11=0,0,'2. &amp; 7. T2 TULOSSUUN. '!K11*'3. T3 TASE '!I89)</f>
        <v>0</v>
      </c>
      <c r="J88" s="728">
        <f>IF('2. &amp; 7. T2 TULOSSUUN. '!M11=0,0,'2. &amp; 7. T2 TULOSSUUN. '!M11*'3. T3 TASE '!J89)</f>
        <v>0</v>
      </c>
      <c r="K88" s="644">
        <f>IF('2. &amp; 7. T2 TULOSSUUN. '!O11=0,0,'2. &amp; 7. T2 TULOSSUUN. '!O11*'3. T3 TASE '!K89)</f>
        <v>0</v>
      </c>
      <c r="M88" s="378"/>
      <c r="N88" s="320"/>
      <c r="O88" s="320"/>
      <c r="P88" s="320"/>
      <c r="Q88" s="320"/>
      <c r="R88" s="320"/>
      <c r="S88" s="320"/>
      <c r="T88" s="320"/>
      <c r="U88" s="464"/>
    </row>
    <row r="89" spans="1:21">
      <c r="A89"/>
      <c r="B89" s="365"/>
      <c r="C89" s="1844" t="s">
        <v>613</v>
      </c>
      <c r="D89" s="1844"/>
      <c r="E89" s="1845"/>
      <c r="F89" s="954">
        <f>IF('2. &amp; 7. T2 TULOSSUUN. '!E11=0,0,F88/'2. &amp; 7. T2 TULOSSUUN. '!E11)</f>
        <v>0</v>
      </c>
      <c r="G89" s="954">
        <f>IF('2. &amp; 7. T2 TULOSSUUN. '!G11=0,0,G88/'2. &amp; 7. T2 TULOSSUUN. '!G11)</f>
        <v>0</v>
      </c>
      <c r="H89" s="1018">
        <f>G89</f>
        <v>0</v>
      </c>
      <c r="I89" s="1018">
        <f t="shared" ref="H89:K90" si="15">H89</f>
        <v>0</v>
      </c>
      <c r="J89" s="1018">
        <f t="shared" si="15"/>
        <v>0</v>
      </c>
      <c r="K89" s="1020">
        <f t="shared" si="15"/>
        <v>0</v>
      </c>
      <c r="M89" s="378"/>
      <c r="N89" s="320"/>
      <c r="O89" s="320"/>
      <c r="P89" s="320"/>
      <c r="Q89" s="320"/>
      <c r="R89" s="320"/>
      <c r="S89" s="320"/>
      <c r="T89" s="320"/>
      <c r="U89" s="464"/>
    </row>
    <row r="90" spans="1:21">
      <c r="A90" s="6"/>
      <c r="B90" s="365"/>
      <c r="C90" s="1832" t="s">
        <v>717</v>
      </c>
      <c r="D90" s="1832"/>
      <c r="E90" s="1832"/>
      <c r="F90" s="697">
        <v>0</v>
      </c>
      <c r="G90" s="697">
        <v>0</v>
      </c>
      <c r="H90" s="697">
        <f t="shared" si="15"/>
        <v>0</v>
      </c>
      <c r="I90" s="697">
        <f t="shared" si="15"/>
        <v>0</v>
      </c>
      <c r="J90" s="697">
        <f t="shared" si="15"/>
        <v>0</v>
      </c>
      <c r="K90" s="664">
        <f t="shared" si="15"/>
        <v>0</v>
      </c>
      <c r="M90" s="378"/>
      <c r="N90" s="320"/>
      <c r="O90" s="320"/>
      <c r="P90" s="320"/>
      <c r="Q90" s="320"/>
      <c r="R90" s="320"/>
      <c r="S90" s="320"/>
      <c r="T90" s="320"/>
      <c r="U90" s="464"/>
    </row>
    <row r="91" spans="1:21" s="1" customFormat="1">
      <c r="B91" s="365" t="s">
        <v>0</v>
      </c>
      <c r="C91" s="225" t="s">
        <v>243</v>
      </c>
      <c r="D91" s="230"/>
      <c r="E91" s="1643"/>
      <c r="F91" s="955">
        <f t="shared" ref="F91:K91" si="16">F93+F92+F94</f>
        <v>0</v>
      </c>
      <c r="G91" s="955">
        <f t="shared" si="16"/>
        <v>0</v>
      </c>
      <c r="H91" s="955">
        <f t="shared" si="16"/>
        <v>0</v>
      </c>
      <c r="I91" s="955">
        <f t="shared" si="16"/>
        <v>0</v>
      </c>
      <c r="J91" s="955">
        <f t="shared" si="16"/>
        <v>0</v>
      </c>
      <c r="K91" s="956">
        <f t="shared" si="16"/>
        <v>0</v>
      </c>
      <c r="M91" s="378"/>
      <c r="N91" s="320"/>
      <c r="O91" s="320"/>
      <c r="P91" s="320"/>
      <c r="Q91" s="320"/>
      <c r="R91" s="320"/>
      <c r="S91" s="320"/>
      <c r="T91" s="320"/>
      <c r="U91" s="464"/>
    </row>
    <row r="92" spans="1:21" s="1" customFormat="1">
      <c r="B92" s="365"/>
      <c r="C92" s="1832" t="s">
        <v>718</v>
      </c>
      <c r="D92" s="1832"/>
      <c r="E92" s="1832"/>
      <c r="F92" s="663">
        <v>0</v>
      </c>
      <c r="G92" s="663">
        <v>0</v>
      </c>
      <c r="H92" s="697">
        <v>0</v>
      </c>
      <c r="I92" s="697">
        <v>0</v>
      </c>
      <c r="J92" s="697">
        <v>0</v>
      </c>
      <c r="K92" s="664">
        <v>0</v>
      </c>
      <c r="M92" s="1356" t="s">
        <v>0</v>
      </c>
      <c r="N92" s="1357"/>
      <c r="O92" s="1357"/>
      <c r="P92" s="1357"/>
      <c r="Q92" s="1357"/>
      <c r="R92" s="1358"/>
      <c r="S92" s="1357"/>
      <c r="T92" s="1357"/>
      <c r="U92" s="1359"/>
    </row>
    <row r="93" spans="1:21" s="1" customFormat="1">
      <c r="B93" s="365"/>
      <c r="C93" s="1847" t="s">
        <v>719</v>
      </c>
      <c r="D93" s="1847"/>
      <c r="E93" s="1847"/>
      <c r="F93" s="663">
        <v>0</v>
      </c>
      <c r="G93" s="663">
        <v>0</v>
      </c>
      <c r="H93" s="663">
        <f>IF('5. E1 KUSTANNUKSET '!F15&lt;12.5,'5. E1 KUSTANNUKSET '!F12*10%,'5. E1 KUSTANNUKSET '!F12*14.4%)+IF('5. E1 KUSTANNUKSET '!F21&lt;12.5,'5. E1 KUSTANNUKSET '!F17*10%,'5. E1 KUSTANNUKSET '!F17*14.4%)+IF('5. E1 KUSTANNUKSET '!F27&lt;12.5,'5. E1 KUSTANNUKSET '!F24*10%,'5. E1 KUSTANNUKSET '!F24*14.4%)</f>
        <v>0</v>
      </c>
      <c r="I93" s="663">
        <f>IF('5. E1 KUSTANNUKSET '!H15&lt;12.5,'5. E1 KUSTANNUKSET '!H12*10%,'5. E1 KUSTANNUKSET '!H12*14.4%)+IF('5. E1 KUSTANNUKSET '!H21&lt;12.5,'5. E1 KUSTANNUKSET '!H17*10%,'5. E1 KUSTANNUKSET '!H17*14.4%)+IF('5. E1 KUSTANNUKSET '!H27&lt;12.5,'5. E1 KUSTANNUKSET '!H24*10%,'5. E1 KUSTANNUKSET '!H24*14.4%)</f>
        <v>0</v>
      </c>
      <c r="J93" s="663">
        <f>IF('5. E1 KUSTANNUKSET '!J15&lt;12.5,'5. E1 KUSTANNUKSET '!J12*10%,'5. E1 KUSTANNUKSET '!J12*14.4%)+IF('5. E1 KUSTANNUKSET '!J21&lt;12.5,'5. E1 KUSTANNUKSET '!J17*10%,'5. E1 KUSTANNUKSET '!J17*14.4%)+IF('5. E1 KUSTANNUKSET '!J27&lt;12.5,'5. E1 KUSTANNUKSET '!J24*10%,'5. E1 KUSTANNUKSET '!J24*14.4%)</f>
        <v>0</v>
      </c>
      <c r="K93" s="664">
        <f>IF('5. E1 KUSTANNUKSET '!L15&lt;12.5,'5. E1 KUSTANNUKSET '!L12*10%,'5. E1 KUSTANNUKSET '!L12*14.4%)+IF('5. E1 KUSTANNUKSET '!L21&lt;12.5,'5. E1 KUSTANNUKSET '!L17*10%,'5. E1 KUSTANNUKSET '!L17*14.4%)+IF('5. E1 KUSTANNUKSET '!L27&lt;12.5,'5. E1 KUSTANNUKSET '!L24*10%,'5. E1 KUSTANNUKSET '!L24*14.4%)</f>
        <v>0</v>
      </c>
      <c r="M93" s="378"/>
      <c r="N93" s="320"/>
      <c r="O93" s="320"/>
      <c r="P93" s="320"/>
      <c r="Q93" s="320"/>
      <c r="R93" s="320"/>
      <c r="S93" s="320"/>
      <c r="T93" s="320"/>
      <c r="U93" s="464"/>
    </row>
    <row r="94" spans="1:21" s="1" customFormat="1">
      <c r="B94" s="365"/>
      <c r="C94" s="225" t="s">
        <v>720</v>
      </c>
      <c r="D94" s="230"/>
      <c r="E94" s="1644"/>
      <c r="F94" s="663">
        <v>0</v>
      </c>
      <c r="G94" s="663">
        <v>0</v>
      </c>
      <c r="H94" s="728">
        <f>H93*H95</f>
        <v>0</v>
      </c>
      <c r="I94" s="728">
        <f>I93*I95</f>
        <v>0</v>
      </c>
      <c r="J94" s="728">
        <f>J93*J95</f>
        <v>0</v>
      </c>
      <c r="K94" s="644">
        <f>K93*K95</f>
        <v>0</v>
      </c>
      <c r="M94" s="378"/>
      <c r="N94" s="320"/>
      <c r="O94" s="320"/>
      <c r="P94" s="320"/>
      <c r="Q94" s="320"/>
      <c r="R94" s="320"/>
      <c r="S94" s="320"/>
      <c r="T94" s="320"/>
      <c r="U94" s="464"/>
    </row>
    <row r="95" spans="1:21" s="1" customFormat="1">
      <c r="B95" s="365"/>
      <c r="C95" s="1848" t="s">
        <v>612</v>
      </c>
      <c r="D95" s="1848"/>
      <c r="E95" s="1849"/>
      <c r="F95" s="936">
        <f>IF(F93=0,0,F94/F93)</f>
        <v>0</v>
      </c>
      <c r="G95" s="936">
        <f>IF(G93=0,0,G94/G93)</f>
        <v>0</v>
      </c>
      <c r="H95" s="1703">
        <v>0.19339999999999999</v>
      </c>
      <c r="I95" s="1703">
        <f>H95</f>
        <v>0.19339999999999999</v>
      </c>
      <c r="J95" s="1703">
        <f>I95</f>
        <v>0.19339999999999999</v>
      </c>
      <c r="K95" s="1704">
        <f>J95</f>
        <v>0.19339999999999999</v>
      </c>
      <c r="M95" s="378"/>
      <c r="N95" s="320"/>
      <c r="O95" s="320"/>
      <c r="P95" s="320"/>
      <c r="Q95" s="320"/>
      <c r="R95" s="320"/>
      <c r="S95" s="320"/>
      <c r="T95" s="320"/>
      <c r="U95" s="464"/>
    </row>
    <row r="96" spans="1:21" ht="12.9" thickBot="1">
      <c r="B96" s="1006"/>
      <c r="C96" s="1860" t="s">
        <v>250</v>
      </c>
      <c r="D96" s="1860"/>
      <c r="E96" s="1861"/>
      <c r="F96" s="930">
        <v>0</v>
      </c>
      <c r="G96" s="930">
        <v>0</v>
      </c>
      <c r="H96" s="930">
        <f>'8. T4 RAHOITUSSUUN. '!H58</f>
        <v>0</v>
      </c>
      <c r="I96" s="930">
        <f>'8. T4 RAHOITUSSUUN. '!I58</f>
        <v>0</v>
      </c>
      <c r="J96" s="1071">
        <f>'8. T4 RAHOITUSSUUN. '!J58</f>
        <v>0</v>
      </c>
      <c r="K96" s="931">
        <f>'8. T4 RAHOITUSSUUN. '!K58</f>
        <v>0</v>
      </c>
      <c r="M96" s="541"/>
      <c r="N96" s="465"/>
      <c r="O96" s="465"/>
      <c r="P96" s="465"/>
      <c r="Q96" s="465"/>
      <c r="R96" s="465"/>
      <c r="S96" s="465"/>
      <c r="T96" s="465"/>
      <c r="U96" s="467"/>
    </row>
    <row r="97" spans="1:21" ht="6" customHeight="1" thickBot="1">
      <c r="A97" s="6"/>
      <c r="B97" s="251"/>
      <c r="C97" s="252"/>
      <c r="D97" s="253"/>
      <c r="E97" s="254"/>
      <c r="F97" s="957"/>
      <c r="G97" s="957"/>
      <c r="H97" s="957"/>
      <c r="I97" s="957"/>
      <c r="J97" s="957"/>
      <c r="K97" s="957"/>
      <c r="L97" s="128"/>
      <c r="M97" s="128"/>
      <c r="N97" s="128"/>
      <c r="O97" s="128"/>
      <c r="P97" s="128"/>
      <c r="Q97" s="128"/>
      <c r="R97" s="128"/>
      <c r="S97" s="128"/>
      <c r="T97" s="128"/>
      <c r="U97" s="128"/>
    </row>
    <row r="98" spans="1:21" ht="12.9" thickBot="1">
      <c r="B98" s="255"/>
      <c r="C98" s="1850" t="s">
        <v>449</v>
      </c>
      <c r="D98" s="1850"/>
      <c r="E98" s="1850"/>
      <c r="F98" s="958">
        <f t="shared" ref="F98:K98" si="17">F56+F62+F66+F67+F75</f>
        <v>0</v>
      </c>
      <c r="G98" s="958">
        <f t="shared" si="17"/>
        <v>0</v>
      </c>
      <c r="H98" s="958">
        <f t="shared" si="17"/>
        <v>0</v>
      </c>
      <c r="I98" s="958">
        <f t="shared" si="17"/>
        <v>0</v>
      </c>
      <c r="J98" s="958">
        <f t="shared" si="17"/>
        <v>0</v>
      </c>
      <c r="K98" s="959">
        <f t="shared" si="17"/>
        <v>0</v>
      </c>
      <c r="L98" s="128"/>
      <c r="M98" s="221" t="str">
        <f>IF(F51&lt;&gt;F98,"TARKISTA TASEEN LOPPUSUMMAT",IF(G51&lt;&gt;G98,"TARKISTA TASEEN LOPPUSUMMAT",IF(I51&lt;&gt;I98,"TARKISTA TASEEN LOPPUSUMMAT",IF(H51&lt;&gt;H98,"TARKISTA TASEEN LOPPUSUMMAT",IF(G51&lt;&gt;G98,"TARKISTA TASEEN LOPPUSUMMAT",IF(J51&lt;&gt;J98,"TARKISTA TASEEN LOPPUSUMMAT",IF(F51&lt;&gt;F98,"TARKISTA TASEEN LOPPUSUMMAT",IF(K51&lt;&gt;K98,"TARKISTA TASEEN LOPPUSUMMAT"," "))))))))</f>
        <v xml:space="preserve"> </v>
      </c>
      <c r="N98" s="128"/>
      <c r="O98" s="128"/>
      <c r="P98" s="128"/>
      <c r="Q98" s="128"/>
      <c r="R98" s="128"/>
      <c r="S98" s="128"/>
      <c r="T98" s="128"/>
      <c r="U98" s="128"/>
    </row>
    <row r="99" spans="1:21">
      <c r="B99" s="256"/>
      <c r="C99" s="257"/>
      <c r="D99" s="512"/>
      <c r="E99" s="258"/>
      <c r="F99" s="258"/>
      <c r="G99" s="259"/>
      <c r="H99" s="259"/>
      <c r="I99" s="259"/>
      <c r="J99" s="259"/>
      <c r="K99" s="259"/>
      <c r="L99" s="128"/>
      <c r="N99" s="128"/>
      <c r="O99" s="128"/>
      <c r="P99" s="128"/>
      <c r="Q99" s="128"/>
      <c r="R99" s="128"/>
      <c r="S99" s="128"/>
      <c r="T99" s="128"/>
      <c r="U99" s="128"/>
    </row>
    <row r="100" spans="1:21">
      <c r="B100" s="260">
        <f>'1. T1 INVESTOINTISUUN.'!B66</f>
        <v>0</v>
      </c>
      <c r="C100" s="128"/>
      <c r="D100" s="128"/>
      <c r="E100" s="128"/>
      <c r="F100" s="128"/>
      <c r="G100" s="128"/>
      <c r="H100" s="128"/>
      <c r="I100" s="1830" t="str">
        <f>OHJE!I5</f>
        <v>Yritystulkin tarjoaa</v>
      </c>
      <c r="J100" s="1830"/>
      <c r="K100" s="1830"/>
      <c r="L100" s="128"/>
      <c r="M100" s="128"/>
      <c r="N100" s="128"/>
      <c r="O100" s="128"/>
      <c r="P100" s="128"/>
      <c r="Q100" s="128"/>
      <c r="R100" s="128"/>
      <c r="S100" s="128"/>
      <c r="T100" s="128"/>
      <c r="U100" s="128"/>
    </row>
    <row r="101" spans="1:21">
      <c r="B101" s="74" t="str">
        <f>'1. T1 INVESTOINTISUUN.'!B67</f>
        <v>YT22 Toimivan yrityksen tulossuunnitelma</v>
      </c>
      <c r="G101" s="1757" t="str">
        <f>OHJE!H7</f>
        <v>Invest Lapua</v>
      </c>
      <c r="H101" s="1757"/>
      <c r="I101" s="1757"/>
      <c r="J101" s="1757"/>
      <c r="K101" s="1757"/>
    </row>
    <row r="102" spans="1:21">
      <c r="B102" s="1750"/>
      <c r="C102" s="1750"/>
      <c r="D102" s="1750"/>
      <c r="E102" s="1750"/>
      <c r="G102" s="533"/>
      <c r="H102" s="533"/>
      <c r="I102" s="533"/>
      <c r="J102" s="533"/>
      <c r="K102" s="533"/>
    </row>
    <row r="104" spans="1:21">
      <c r="B104" s="396" t="s">
        <v>332</v>
      </c>
    </row>
    <row r="105" spans="1:21">
      <c r="B105" s="50" t="s">
        <v>333</v>
      </c>
    </row>
    <row r="106" spans="1:21">
      <c r="B106" s="50" t="s">
        <v>334</v>
      </c>
    </row>
  </sheetData>
  <sheetProtection algorithmName="SHA-512" hashValue="2PJaQ9noxNpVIffO8vuWpdCoUasKmM1NQ40dZIgCOkEerAwHibxJiNxVAlqdhMEHPCWtzaVm7x/CI7IVcGjBtw==" saltValue="2XRiEvR3Ukf3MhTYjdcMNA==" spinCount="100000" sheet="1" objects="1" scenarios="1"/>
  <mergeCells count="54">
    <mergeCell ref="C86:E86"/>
    <mergeCell ref="C82:E82"/>
    <mergeCell ref="C45:E45"/>
    <mergeCell ref="C78:E78"/>
    <mergeCell ref="C85:E85"/>
    <mergeCell ref="C61:E61"/>
    <mergeCell ref="B8:F8"/>
    <mergeCell ref="M3:N3"/>
    <mergeCell ref="M53:U53"/>
    <mergeCell ref="M15:P15"/>
    <mergeCell ref="C48:D48"/>
    <mergeCell ref="M31:P31"/>
    <mergeCell ref="M27:P27"/>
    <mergeCell ref="M23:P23"/>
    <mergeCell ref="C30:E30"/>
    <mergeCell ref="B5:F5"/>
    <mergeCell ref="M10:U11"/>
    <mergeCell ref="C16:D16"/>
    <mergeCell ref="C21:D21"/>
    <mergeCell ref="C28:D28"/>
    <mergeCell ref="C32:D32"/>
    <mergeCell ref="C24:D24"/>
    <mergeCell ref="C98:E98"/>
    <mergeCell ref="C75:E75"/>
    <mergeCell ref="B51:E51"/>
    <mergeCell ref="C79:E79"/>
    <mergeCell ref="C88:E88"/>
    <mergeCell ref="C90:E90"/>
    <mergeCell ref="B54:C54"/>
    <mergeCell ref="C66:E66"/>
    <mergeCell ref="C76:E76"/>
    <mergeCell ref="C68:E68"/>
    <mergeCell ref="C69:E69"/>
    <mergeCell ref="C74:E74"/>
    <mergeCell ref="C67:E67"/>
    <mergeCell ref="C59:E59"/>
    <mergeCell ref="C64:E64"/>
    <mergeCell ref="C96:E96"/>
    <mergeCell ref="I100:K100"/>
    <mergeCell ref="G101:K101"/>
    <mergeCell ref="B102:E102"/>
    <mergeCell ref="H6:K6"/>
    <mergeCell ref="C47:D47"/>
    <mergeCell ref="C46:D46"/>
    <mergeCell ref="D12:E12"/>
    <mergeCell ref="C43:E43"/>
    <mergeCell ref="C40:E40"/>
    <mergeCell ref="B10:C12"/>
    <mergeCell ref="C65:E65"/>
    <mergeCell ref="C84:E84"/>
    <mergeCell ref="C93:E93"/>
    <mergeCell ref="C92:E92"/>
    <mergeCell ref="C95:E95"/>
    <mergeCell ref="C89:E89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rowBreaks count="1" manualBreakCount="1">
    <brk id="52" min="1" max="19" man="1"/>
  </rowBreaks>
  <colBreaks count="1" manualBreakCount="1">
    <brk id="11" min="1" max="101" man="1"/>
  </colBreaks>
  <ignoredErrors>
    <ignoredError sqref="H17:K17 H25:I25" unlockedFormula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ul71">
    <tabColor rgb="FF0152A1"/>
  </sheetPr>
  <dimension ref="A1:S58"/>
  <sheetViews>
    <sheetView showGridLines="0" showZeros="0" defaultGridColor="0" colorId="55" zoomScaleNormal="100" workbookViewId="0">
      <selection activeCell="B11" sqref="B11"/>
    </sheetView>
  </sheetViews>
  <sheetFormatPr defaultRowHeight="12.45"/>
  <cols>
    <col min="1" max="1" width="8.3046875" customWidth="1"/>
    <col min="2" max="2" width="26.69140625" customWidth="1"/>
    <col min="3" max="3" width="10.53515625" customWidth="1"/>
    <col min="4" max="4" width="6.07421875" customWidth="1"/>
    <col min="5" max="5" width="7.53515625" customWidth="1"/>
    <col min="6" max="17" width="8.84375" customWidth="1"/>
    <col min="18" max="18" width="6.3046875" customWidth="1"/>
  </cols>
  <sheetData>
    <row r="1" spans="1:17" ht="13.4" customHeight="1">
      <c r="A1" s="388"/>
    </row>
    <row r="2" spans="1:17" ht="14.15">
      <c r="A2" s="389"/>
      <c r="B2" s="1047" t="s">
        <v>445</v>
      </c>
      <c r="C2" s="1"/>
      <c r="D2" s="1"/>
      <c r="E2" s="56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ht="6.9" customHeight="1">
      <c r="A3" s="390"/>
      <c r="B3" s="1"/>
      <c r="C3" s="1"/>
      <c r="D3" s="1"/>
      <c r="E3" s="688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50" customFormat="1" ht="16.5" customHeight="1">
      <c r="A4" s="1526" t="s">
        <v>740</v>
      </c>
      <c r="B4" s="43" t="s">
        <v>685</v>
      </c>
      <c r="C4" s="43"/>
      <c r="D4" s="43"/>
      <c r="E4" s="43"/>
      <c r="F4" s="43" t="s">
        <v>521</v>
      </c>
      <c r="G4" s="43"/>
      <c r="H4" s="43" t="s">
        <v>0</v>
      </c>
      <c r="J4" s="43" t="s">
        <v>520</v>
      </c>
      <c r="K4" s="43"/>
      <c r="L4" s="43" t="s">
        <v>0</v>
      </c>
      <c r="M4" s="43"/>
      <c r="N4" s="43"/>
      <c r="O4" s="43" t="s">
        <v>93</v>
      </c>
      <c r="P4" s="43"/>
      <c r="Q4" s="43"/>
    </row>
    <row r="5" spans="1:17">
      <c r="B5" s="1870">
        <f>'2. &amp; 7. T2 TULOSSUUN. '!B5</f>
        <v>0</v>
      </c>
      <c r="C5" s="1870"/>
      <c r="D5" s="1870"/>
      <c r="E5" s="42"/>
      <c r="F5" s="547">
        <f>'1. T1 INVESTOINTISUUN.'!E7</f>
        <v>0</v>
      </c>
      <c r="G5" s="546"/>
      <c r="H5" s="546"/>
      <c r="J5" s="547">
        <f>'1. T1 INVESTOINTISUUN.'!B9</f>
        <v>0</v>
      </c>
      <c r="K5" s="546"/>
      <c r="L5" s="546"/>
      <c r="M5" s="546"/>
      <c r="N5" s="553"/>
      <c r="O5" s="1922">
        <f>'1. T1 INVESTOINTISUUN.'!E4</f>
        <v>0</v>
      </c>
      <c r="P5" s="1922"/>
      <c r="Q5" s="687"/>
    </row>
    <row r="6" spans="1:17" ht="9" customHeight="1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ht="14.7" customHeight="1" thickBot="1">
      <c r="B7" s="1908" t="s">
        <v>390</v>
      </c>
      <c r="C7" s="1923" t="s">
        <v>197</v>
      </c>
      <c r="D7" s="1923" t="s">
        <v>706</v>
      </c>
      <c r="E7" s="1924" t="s">
        <v>123</v>
      </c>
      <c r="F7" s="78" t="s">
        <v>700</v>
      </c>
      <c r="G7" s="1423"/>
      <c r="H7" s="1423"/>
      <c r="I7" s="1423"/>
      <c r="J7" s="1423"/>
      <c r="K7" s="1423"/>
      <c r="L7" s="1423"/>
      <c r="M7" s="1423"/>
      <c r="N7" s="1424"/>
      <c r="O7" s="1423"/>
      <c r="P7" s="1423"/>
      <c r="Q7" s="1425"/>
    </row>
    <row r="8" spans="1:17" ht="10.95" customHeight="1">
      <c r="A8" s="51"/>
      <c r="B8" s="1909"/>
      <c r="C8" s="1911"/>
      <c r="D8" s="1911"/>
      <c r="E8" s="1914"/>
      <c r="F8" s="1884" t="s">
        <v>99</v>
      </c>
      <c r="G8" s="1885"/>
      <c r="H8" s="1921"/>
      <c r="I8" s="1884" t="s">
        <v>98</v>
      </c>
      <c r="J8" s="1885"/>
      <c r="K8" s="1921"/>
      <c r="L8" s="1884" t="s">
        <v>100</v>
      </c>
      <c r="M8" s="1885"/>
      <c r="N8" s="1921"/>
      <c r="O8" s="1884" t="s">
        <v>257</v>
      </c>
      <c r="P8" s="1885"/>
      <c r="Q8" s="1886"/>
    </row>
    <row r="9" spans="1:17" ht="10.95" customHeight="1">
      <c r="B9" s="1909"/>
      <c r="C9" s="1911"/>
      <c r="D9" s="1911"/>
      <c r="E9" s="1914"/>
      <c r="F9" s="1896">
        <f>'2. &amp; 7. T2 TULOSSUUN. '!I8</f>
        <v>2025</v>
      </c>
      <c r="G9" s="1888"/>
      <c r="H9" s="1897"/>
      <c r="I9" s="1896">
        <f>'2. &amp; 7. T2 TULOSSUUN. '!K8</f>
        <v>2026</v>
      </c>
      <c r="J9" s="1888"/>
      <c r="K9" s="1897"/>
      <c r="L9" s="1896">
        <f>'2. &amp; 7. T2 TULOSSUUN. '!M8</f>
        <v>2027</v>
      </c>
      <c r="M9" s="1888"/>
      <c r="N9" s="1897"/>
      <c r="O9" s="1887">
        <f>'2. &amp; 7. T2 TULOSSUUN. '!O8</f>
        <v>2028</v>
      </c>
      <c r="P9" s="1888"/>
      <c r="Q9" s="1889"/>
    </row>
    <row r="10" spans="1:17" ht="18" customHeight="1" thickBot="1">
      <c r="A10" s="51"/>
      <c r="B10" s="1426" t="s">
        <v>124</v>
      </c>
      <c r="C10" s="1912"/>
      <c r="D10" s="1912"/>
      <c r="E10" s="1915"/>
      <c r="F10" s="1890" t="s">
        <v>125</v>
      </c>
      <c r="G10" s="1891"/>
      <c r="H10" s="1041" t="s">
        <v>126</v>
      </c>
      <c r="I10" s="1890" t="s">
        <v>125</v>
      </c>
      <c r="J10" s="1891"/>
      <c r="K10" s="1041" t="s">
        <v>126</v>
      </c>
      <c r="L10" s="1890" t="s">
        <v>125</v>
      </c>
      <c r="M10" s="1891"/>
      <c r="N10" s="1041" t="s">
        <v>126</v>
      </c>
      <c r="O10" s="1890" t="s">
        <v>125</v>
      </c>
      <c r="P10" s="1891"/>
      <c r="Q10" s="1426" t="s">
        <v>126</v>
      </c>
    </row>
    <row r="11" spans="1:17" s="51" customFormat="1" ht="11.7" customHeight="1">
      <c r="A11" s="2"/>
      <c r="B11" s="1427" t="s">
        <v>608</v>
      </c>
      <c r="C11" s="567">
        <v>0</v>
      </c>
      <c r="D11" s="418">
        <v>0</v>
      </c>
      <c r="E11" s="568">
        <v>0</v>
      </c>
      <c r="F11" s="1919">
        <v>0</v>
      </c>
      <c r="G11" s="1920"/>
      <c r="H11" s="562">
        <f>IF(C11=0,0,($C11+F11-F11/4)*$E11)</f>
        <v>0</v>
      </c>
      <c r="I11" s="1892">
        <f t="shared" ref="I11:I17" si="0">IF(D11=0,0,IF(D11&lt;2,C11,(C11)/(D11-1)))</f>
        <v>0</v>
      </c>
      <c r="J11" s="1893"/>
      <c r="K11" s="563">
        <f t="shared" ref="K11:K17" si="1">IF(I11=0,0,($C11-I11/4)*$E11)</f>
        <v>0</v>
      </c>
      <c r="L11" s="1892">
        <f t="shared" ref="L11:L17" si="2">IF(D11=0,0,IF($C11-$I11&gt;I11,I11,$C11-$I11))</f>
        <v>0</v>
      </c>
      <c r="M11" s="1893"/>
      <c r="N11" s="563">
        <f t="shared" ref="N11:N17" si="3">IF(L11=0,0,($C11-I11-L11/4)*$E11)</f>
        <v>0</v>
      </c>
      <c r="O11" s="1892">
        <f t="shared" ref="O11:O17" si="4">IF(D11=0,0,IF($C11-$I11-L11&gt;L11,L11,$C11-$I11-L11))</f>
        <v>0</v>
      </c>
      <c r="P11" s="1893"/>
      <c r="Q11" s="1428">
        <f t="shared" ref="Q11:Q17" si="5">IF(O11=0,0,($C11-I11-L11-O11/4)*$E11)</f>
        <v>0</v>
      </c>
    </row>
    <row r="12" spans="1:17" s="51" customFormat="1" ht="11.7" customHeight="1">
      <c r="B12" s="1429">
        <v>0</v>
      </c>
      <c r="C12" s="569">
        <v>0</v>
      </c>
      <c r="D12" s="419">
        <v>0</v>
      </c>
      <c r="E12" s="570">
        <v>0</v>
      </c>
      <c r="F12" s="1898">
        <v>0</v>
      </c>
      <c r="G12" s="1899"/>
      <c r="H12" s="564">
        <f>IF(C12=0,0,($C12+F12-F12/4)*$E12)</f>
        <v>0</v>
      </c>
      <c r="I12" s="1894">
        <f t="shared" si="0"/>
        <v>0</v>
      </c>
      <c r="J12" s="1895"/>
      <c r="K12" s="564">
        <f t="shared" si="1"/>
        <v>0</v>
      </c>
      <c r="L12" s="1894">
        <f t="shared" si="2"/>
        <v>0</v>
      </c>
      <c r="M12" s="1895"/>
      <c r="N12" s="564">
        <f t="shared" si="3"/>
        <v>0</v>
      </c>
      <c r="O12" s="1894">
        <f t="shared" si="4"/>
        <v>0</v>
      </c>
      <c r="P12" s="1895"/>
      <c r="Q12" s="1145">
        <f t="shared" si="5"/>
        <v>0</v>
      </c>
    </row>
    <row r="13" spans="1:17" s="51" customFormat="1" ht="11.7" customHeight="1">
      <c r="A13"/>
      <c r="B13" s="1429">
        <v>0</v>
      </c>
      <c r="C13" s="569">
        <v>0</v>
      </c>
      <c r="D13" s="419">
        <v>0</v>
      </c>
      <c r="E13" s="570">
        <v>0</v>
      </c>
      <c r="F13" s="1898">
        <v>0</v>
      </c>
      <c r="G13" s="1899"/>
      <c r="H13" s="564">
        <f t="shared" ref="H13:H17" si="6">IF(C13=0,0,($C13+F13-F13/4)*$E13)</f>
        <v>0</v>
      </c>
      <c r="I13" s="1894">
        <f t="shared" si="0"/>
        <v>0</v>
      </c>
      <c r="J13" s="1895"/>
      <c r="K13" s="564">
        <f t="shared" si="1"/>
        <v>0</v>
      </c>
      <c r="L13" s="1894">
        <f t="shared" si="2"/>
        <v>0</v>
      </c>
      <c r="M13" s="1895"/>
      <c r="N13" s="564">
        <f t="shared" si="3"/>
        <v>0</v>
      </c>
      <c r="O13" s="1904">
        <f t="shared" si="4"/>
        <v>0</v>
      </c>
      <c r="P13" s="1905"/>
      <c r="Q13" s="1430">
        <f t="shared" si="5"/>
        <v>0</v>
      </c>
    </row>
    <row r="14" spans="1:17" s="51" customFormat="1" ht="11.7" customHeight="1">
      <c r="B14" s="1429">
        <v>0</v>
      </c>
      <c r="C14" s="569">
        <v>0</v>
      </c>
      <c r="D14" s="419">
        <v>0</v>
      </c>
      <c r="E14" s="570">
        <v>0</v>
      </c>
      <c r="F14" s="1898">
        <v>0</v>
      </c>
      <c r="G14" s="1899"/>
      <c r="H14" s="564">
        <f t="shared" si="6"/>
        <v>0</v>
      </c>
      <c r="I14" s="1894">
        <f t="shared" si="0"/>
        <v>0</v>
      </c>
      <c r="J14" s="1895"/>
      <c r="K14" s="564">
        <f t="shared" si="1"/>
        <v>0</v>
      </c>
      <c r="L14" s="1894">
        <f t="shared" si="2"/>
        <v>0</v>
      </c>
      <c r="M14" s="1895"/>
      <c r="N14" s="564">
        <f t="shared" si="3"/>
        <v>0</v>
      </c>
      <c r="O14" s="1904">
        <f t="shared" si="4"/>
        <v>0</v>
      </c>
      <c r="P14" s="1905"/>
      <c r="Q14" s="1430">
        <f t="shared" si="5"/>
        <v>0</v>
      </c>
    </row>
    <row r="15" spans="1:17" s="51" customFormat="1" ht="11.7" customHeight="1">
      <c r="A15"/>
      <c r="B15" s="1429">
        <v>0</v>
      </c>
      <c r="C15" s="569">
        <v>0</v>
      </c>
      <c r="D15" s="419">
        <v>0</v>
      </c>
      <c r="E15" s="570">
        <v>0</v>
      </c>
      <c r="F15" s="1898">
        <v>0</v>
      </c>
      <c r="G15" s="1899"/>
      <c r="H15" s="564">
        <f t="shared" si="6"/>
        <v>0</v>
      </c>
      <c r="I15" s="1894">
        <f t="shared" si="0"/>
        <v>0</v>
      </c>
      <c r="J15" s="1895"/>
      <c r="K15" s="564">
        <f t="shared" si="1"/>
        <v>0</v>
      </c>
      <c r="L15" s="1894">
        <f t="shared" si="2"/>
        <v>0</v>
      </c>
      <c r="M15" s="1895"/>
      <c r="N15" s="564">
        <f t="shared" si="3"/>
        <v>0</v>
      </c>
      <c r="O15" s="1894">
        <f t="shared" si="4"/>
        <v>0</v>
      </c>
      <c r="P15" s="1895"/>
      <c r="Q15" s="1145">
        <f t="shared" si="5"/>
        <v>0</v>
      </c>
    </row>
    <row r="16" spans="1:17" s="51" customFormat="1" ht="11.7" customHeight="1">
      <c r="B16" s="1429">
        <v>0</v>
      </c>
      <c r="C16" s="569">
        <v>0</v>
      </c>
      <c r="D16" s="419">
        <v>0</v>
      </c>
      <c r="E16" s="570">
        <v>0</v>
      </c>
      <c r="F16" s="1898">
        <v>0</v>
      </c>
      <c r="G16" s="1899"/>
      <c r="H16" s="564">
        <f t="shared" si="6"/>
        <v>0</v>
      </c>
      <c r="I16" s="1894">
        <f t="shared" si="0"/>
        <v>0</v>
      </c>
      <c r="J16" s="1895"/>
      <c r="K16" s="564">
        <f t="shared" si="1"/>
        <v>0</v>
      </c>
      <c r="L16" s="1894">
        <f t="shared" si="2"/>
        <v>0</v>
      </c>
      <c r="M16" s="1895"/>
      <c r="N16" s="564">
        <f t="shared" si="3"/>
        <v>0</v>
      </c>
      <c r="O16" s="1894">
        <f t="shared" si="4"/>
        <v>0</v>
      </c>
      <c r="P16" s="1895"/>
      <c r="Q16" s="1145">
        <f t="shared" si="5"/>
        <v>0</v>
      </c>
    </row>
    <row r="17" spans="1:19" s="51" customFormat="1" ht="11.7" customHeight="1" thickBot="1">
      <c r="A17" s="2"/>
      <c r="B17" s="1431" t="s">
        <v>609</v>
      </c>
      <c r="C17" s="571">
        <v>0</v>
      </c>
      <c r="D17" s="420">
        <v>0</v>
      </c>
      <c r="E17" s="572">
        <v>0</v>
      </c>
      <c r="F17" s="1917">
        <v>0</v>
      </c>
      <c r="G17" s="1918"/>
      <c r="H17" s="564">
        <f t="shared" si="6"/>
        <v>0</v>
      </c>
      <c r="I17" s="1880">
        <f t="shared" si="0"/>
        <v>0</v>
      </c>
      <c r="J17" s="1881"/>
      <c r="K17" s="565">
        <f t="shared" si="1"/>
        <v>0</v>
      </c>
      <c r="L17" s="1880">
        <f t="shared" si="2"/>
        <v>0</v>
      </c>
      <c r="M17" s="1881"/>
      <c r="N17" s="565">
        <f t="shared" si="3"/>
        <v>0</v>
      </c>
      <c r="O17" s="1880">
        <f t="shared" si="4"/>
        <v>0</v>
      </c>
      <c r="P17" s="1881"/>
      <c r="Q17" s="1432">
        <f t="shared" si="5"/>
        <v>0</v>
      </c>
      <c r="R17" s="530" t="str">
        <f>IF(C18='3. T3 TASE '!G68,"","TARKISTA, ETTÄ SOLU C18 = 'T3 TASE'!G68!")</f>
        <v/>
      </c>
    </row>
    <row r="18" spans="1:19" s="51" customFormat="1" ht="15" customHeight="1" thickTop="1" thickBot="1">
      <c r="A18"/>
      <c r="B18" s="1433" t="s">
        <v>131</v>
      </c>
      <c r="C18" s="1380">
        <f>SUM(C11:C17)</f>
        <v>0</v>
      </c>
      <c r="D18" s="573"/>
      <c r="E18" s="574"/>
      <c r="F18" s="1882">
        <f>SUM(F11:F17)</f>
        <v>0</v>
      </c>
      <c r="G18" s="1883"/>
      <c r="H18" s="566">
        <f>SUM(H11:H17)</f>
        <v>0</v>
      </c>
      <c r="I18" s="1882">
        <f>SUM(I11:I17)</f>
        <v>0</v>
      </c>
      <c r="J18" s="1883"/>
      <c r="K18" s="566">
        <f>SUM(K11:K17)</f>
        <v>0</v>
      </c>
      <c r="L18" s="1882">
        <f>SUM(L11:L17)</f>
        <v>0</v>
      </c>
      <c r="M18" s="1883"/>
      <c r="N18" s="566">
        <f>SUM(N11:N17)</f>
        <v>0</v>
      </c>
      <c r="O18" s="1882">
        <f>SUM(O11:O17)</f>
        <v>0</v>
      </c>
      <c r="P18" s="1883"/>
      <c r="Q18" s="1380">
        <f>SUM(Q11:Q17)</f>
        <v>0</v>
      </c>
      <c r="R18" s="530" t="str">
        <f>IF(F18='3. T3 TASE '!G77,"","TARKISTA, ETTÄ SOLU F18 = 'T3 TASE'!G77!")</f>
        <v/>
      </c>
    </row>
    <row r="19" spans="1:19" s="51" customFormat="1" ht="15" customHeight="1" thickBot="1">
      <c r="A19"/>
      <c r="B19" s="1434" t="s">
        <v>230</v>
      </c>
      <c r="C19" s="715">
        <f>'3. T3 TASE '!G73</f>
        <v>0</v>
      </c>
      <c r="D19" s="534">
        <v>0</v>
      </c>
      <c r="E19" s="692">
        <v>0</v>
      </c>
      <c r="F19" s="1916">
        <f>'3. T3 TASE '!G83</f>
        <v>0</v>
      </c>
      <c r="G19" s="1901"/>
      <c r="H19" s="634">
        <f>'AT2 Lainat,sotum., alv-osto'!O40</f>
        <v>0</v>
      </c>
      <c r="I19" s="1900">
        <f>'AT2 Lainat,sotum., alv-osto'!R40</f>
        <v>0</v>
      </c>
      <c r="J19" s="1901"/>
      <c r="K19" s="634">
        <f>'AT2 Lainat,sotum., alv-osto'!U40</f>
        <v>0</v>
      </c>
      <c r="L19" s="1900">
        <f>'AT2 Lainat,sotum., alv-osto'!X40</f>
        <v>0</v>
      </c>
      <c r="M19" s="1901"/>
      <c r="N19" s="634">
        <f>'AT2 Lainat,sotum., alv-osto'!AA40</f>
        <v>0</v>
      </c>
      <c r="O19" s="1900">
        <f>'AT2 Lainat,sotum., alv-osto'!AD40</f>
        <v>0</v>
      </c>
      <c r="P19" s="1901"/>
      <c r="Q19" s="715">
        <f>'AT2 Lainat,sotum., alv-osto'!AG40</f>
        <v>0</v>
      </c>
      <c r="R19" s="530" t="s">
        <v>0</v>
      </c>
    </row>
    <row r="20" spans="1:19" s="51" customFormat="1" ht="15" customHeight="1">
      <c r="A20"/>
      <c r="B20" s="1238" t="s">
        <v>523</v>
      </c>
      <c r="C20" s="1925" t="s">
        <v>196</v>
      </c>
      <c r="D20" s="1910" t="s">
        <v>707</v>
      </c>
      <c r="E20" s="1913" t="s">
        <v>123</v>
      </c>
      <c r="F20" s="1906" t="str">
        <f>'1. T1 INVESTOINTISUUN.'!D15</f>
        <v>Ennuste 1</v>
      </c>
      <c r="G20" s="1902"/>
      <c r="H20" s="1902"/>
      <c r="I20" s="1906" t="str">
        <f>I8</f>
        <v>Ennuste 2</v>
      </c>
      <c r="J20" s="1902"/>
      <c r="K20" s="1902"/>
      <c r="L20" s="1906" t="str">
        <f>L8</f>
        <v>Ennuste 3</v>
      </c>
      <c r="M20" s="1902"/>
      <c r="N20" s="1907"/>
      <c r="O20" s="1902" t="s">
        <v>257</v>
      </c>
      <c r="P20" s="1902"/>
      <c r="Q20" s="1903"/>
    </row>
    <row r="21" spans="1:19" s="51" customFormat="1" ht="11.7" customHeight="1">
      <c r="B21" s="1435" t="s">
        <v>524</v>
      </c>
      <c r="C21" s="1926"/>
      <c r="D21" s="1911"/>
      <c r="E21" s="1914"/>
      <c r="F21" s="1896">
        <f>F9</f>
        <v>2025</v>
      </c>
      <c r="G21" s="1888"/>
      <c r="H21" s="1888"/>
      <c r="I21" s="1896">
        <f>I9</f>
        <v>2026</v>
      </c>
      <c r="J21" s="1888"/>
      <c r="K21" s="1888"/>
      <c r="L21" s="1896">
        <f>L9</f>
        <v>2027</v>
      </c>
      <c r="M21" s="1888"/>
      <c r="N21" s="1897"/>
      <c r="O21" s="1888">
        <f>O9</f>
        <v>2028</v>
      </c>
      <c r="P21" s="1888"/>
      <c r="Q21" s="1889"/>
    </row>
    <row r="22" spans="1:19" s="51" customFormat="1" ht="18" customHeight="1" thickBot="1">
      <c r="A22"/>
      <c r="B22" s="1426" t="s">
        <v>124</v>
      </c>
      <c r="C22" s="1927"/>
      <c r="D22" s="1912"/>
      <c r="E22" s="1915"/>
      <c r="F22" s="522" t="s">
        <v>129</v>
      </c>
      <c r="G22" s="1042" t="s">
        <v>125</v>
      </c>
      <c r="H22" s="1041" t="s">
        <v>126</v>
      </c>
      <c r="I22" s="522" t="s">
        <v>129</v>
      </c>
      <c r="J22" s="1042" t="s">
        <v>125</v>
      </c>
      <c r="K22" s="1041" t="s">
        <v>126</v>
      </c>
      <c r="L22" s="522" t="s">
        <v>129</v>
      </c>
      <c r="M22" s="1042" t="s">
        <v>125</v>
      </c>
      <c r="N22" s="1041" t="s">
        <v>126</v>
      </c>
      <c r="O22" s="522" t="s">
        <v>129</v>
      </c>
      <c r="P22" s="1042" t="s">
        <v>125</v>
      </c>
      <c r="Q22" s="1426" t="s">
        <v>126</v>
      </c>
    </row>
    <row r="23" spans="1:19" s="51" customFormat="1" ht="12.65" customHeight="1">
      <c r="B23" s="1436" t="s">
        <v>461</v>
      </c>
      <c r="C23" s="1214"/>
      <c r="D23" s="1215"/>
      <c r="E23" s="1215"/>
      <c r="F23" s="1216"/>
      <c r="G23" s="1216"/>
      <c r="H23" s="1216"/>
      <c r="I23" s="1216"/>
      <c r="J23" s="1216"/>
      <c r="K23" s="1216"/>
      <c r="L23" s="1216"/>
      <c r="M23" s="1216"/>
      <c r="N23" s="1216"/>
      <c r="O23" s="1216"/>
      <c r="P23" s="1216"/>
      <c r="Q23" s="1437"/>
    </row>
    <row r="24" spans="1:19" s="51" customFormat="1" ht="11.7" customHeight="1">
      <c r="B24" s="1427" t="s">
        <v>608</v>
      </c>
      <c r="C24" s="567">
        <v>0</v>
      </c>
      <c r="D24" s="421">
        <v>0</v>
      </c>
      <c r="E24" s="636">
        <v>0</v>
      </c>
      <c r="F24" s="575">
        <f>C24</f>
        <v>0</v>
      </c>
      <c r="G24" s="576">
        <v>0</v>
      </c>
      <c r="H24" s="577">
        <f>'AT2 Lainat,sotum., alv-osto'!O16</f>
        <v>0</v>
      </c>
      <c r="I24" s="578">
        <v>0</v>
      </c>
      <c r="J24" s="576">
        <f>G24</f>
        <v>0</v>
      </c>
      <c r="K24" s="577">
        <f>'AT2 Lainat,sotum., alv-osto'!U16</f>
        <v>0</v>
      </c>
      <c r="L24" s="578">
        <v>0</v>
      </c>
      <c r="M24" s="576">
        <f t="shared" ref="M24:M30" si="7">J24</f>
        <v>0</v>
      </c>
      <c r="N24" s="579">
        <f>'AT2 Lainat,sotum., alv-osto'!AA16</f>
        <v>0</v>
      </c>
      <c r="O24" s="578">
        <v>0</v>
      </c>
      <c r="P24" s="576">
        <f>M24</f>
        <v>0</v>
      </c>
      <c r="Q24" s="744">
        <f>'AT2 Lainat,sotum., alv-osto'!AG16</f>
        <v>0</v>
      </c>
      <c r="S24" s="96"/>
    </row>
    <row r="25" spans="1:19" s="51" customFormat="1" ht="11.7" customHeight="1">
      <c r="A25" s="2"/>
      <c r="B25" s="1427">
        <v>0</v>
      </c>
      <c r="C25" s="567">
        <v>0</v>
      </c>
      <c r="D25" s="421">
        <v>0</v>
      </c>
      <c r="E25" s="636">
        <v>0</v>
      </c>
      <c r="F25" s="575">
        <f>C25</f>
        <v>0</v>
      </c>
      <c r="G25" s="576">
        <v>0</v>
      </c>
      <c r="H25" s="577">
        <f>'AT2 Lainat,sotum., alv-osto'!O17</f>
        <v>0</v>
      </c>
      <c r="I25" s="578"/>
      <c r="J25" s="576">
        <f>G25</f>
        <v>0</v>
      </c>
      <c r="K25" s="577">
        <f>'AT2 Lainat,sotum., alv-osto'!U17</f>
        <v>0</v>
      </c>
      <c r="L25" s="578"/>
      <c r="M25" s="576">
        <f t="shared" si="7"/>
        <v>0</v>
      </c>
      <c r="N25" s="579">
        <f>'AT2 Lainat,sotum., alv-osto'!AA17</f>
        <v>0</v>
      </c>
      <c r="O25" s="578"/>
      <c r="P25" s="576">
        <f>M25</f>
        <v>0</v>
      </c>
      <c r="Q25" s="744">
        <f>'AT2 Lainat,sotum., alv-osto'!AG17</f>
        <v>0</v>
      </c>
      <c r="S25" s="96"/>
    </row>
    <row r="26" spans="1:19" s="51" customFormat="1" ht="11.7" customHeight="1" thickBot="1">
      <c r="B26" s="1438">
        <v>0</v>
      </c>
      <c r="C26" s="637">
        <v>0</v>
      </c>
      <c r="D26" s="532">
        <v>0</v>
      </c>
      <c r="E26" s="638">
        <v>0</v>
      </c>
      <c r="F26" s="580">
        <f>C26</f>
        <v>0</v>
      </c>
      <c r="G26" s="1439">
        <v>0</v>
      </c>
      <c r="H26" s="581">
        <f>'AT2 Lainat,sotum., alv-osto'!O18</f>
        <v>0</v>
      </c>
      <c r="I26" s="582"/>
      <c r="J26" s="1439">
        <f>G26</f>
        <v>0</v>
      </c>
      <c r="K26" s="581">
        <f>'AT2 Lainat,sotum., alv-osto'!U18</f>
        <v>0</v>
      </c>
      <c r="L26" s="582"/>
      <c r="M26" s="1439">
        <f t="shared" si="7"/>
        <v>0</v>
      </c>
      <c r="N26" s="563">
        <f>'AT2 Lainat,sotum., alv-osto'!AA18</f>
        <v>0</v>
      </c>
      <c r="O26" s="582"/>
      <c r="P26" s="1439">
        <f>M26</f>
        <v>0</v>
      </c>
      <c r="Q26" s="1440">
        <f>'AT2 Lainat,sotum., alv-osto'!AG18</f>
        <v>0</v>
      </c>
      <c r="S26" s="96"/>
    </row>
    <row r="27" spans="1:19" s="51" customFormat="1" ht="11.7" customHeight="1">
      <c r="A27"/>
      <c r="B27" s="1436" t="s">
        <v>462</v>
      </c>
      <c r="C27" s="1724"/>
      <c r="D27" s="1725"/>
      <c r="E27" s="1726"/>
      <c r="F27" s="1724"/>
      <c r="G27" s="1724"/>
      <c r="H27" s="1217"/>
      <c r="I27" s="1217"/>
      <c r="J27" s="1724"/>
      <c r="K27" s="1217"/>
      <c r="L27" s="1217"/>
      <c r="M27" s="1724"/>
      <c r="N27" s="1217"/>
      <c r="O27" s="1217"/>
      <c r="P27" s="1724"/>
      <c r="Q27" s="1441"/>
      <c r="S27" s="96"/>
    </row>
    <row r="28" spans="1:19" s="51" customFormat="1" ht="11.7" customHeight="1">
      <c r="B28" s="1442" t="s">
        <v>608</v>
      </c>
      <c r="C28" s="567">
        <v>0</v>
      </c>
      <c r="D28" s="421">
        <v>0</v>
      </c>
      <c r="E28" s="636">
        <v>0</v>
      </c>
      <c r="F28" s="578"/>
      <c r="G28" s="583"/>
      <c r="H28" s="577"/>
      <c r="I28" s="575">
        <f>C28</f>
        <v>0</v>
      </c>
      <c r="J28" s="576">
        <v>0</v>
      </c>
      <c r="K28" s="577">
        <f>'AT2 Lainat,sotum., alv-osto'!U19</f>
        <v>0</v>
      </c>
      <c r="L28" s="578"/>
      <c r="M28" s="576">
        <f t="shared" si="7"/>
        <v>0</v>
      </c>
      <c r="N28" s="579">
        <f>'AT2 Lainat,sotum., alv-osto'!AA19</f>
        <v>0</v>
      </c>
      <c r="O28" s="578"/>
      <c r="P28" s="576">
        <f t="shared" ref="P28:P34" si="8">M28</f>
        <v>0</v>
      </c>
      <c r="Q28" s="744">
        <f>'AT2 Lainat,sotum., alv-osto'!AG19</f>
        <v>0</v>
      </c>
      <c r="S28" s="96"/>
    </row>
    <row r="29" spans="1:19" s="51" customFormat="1" ht="11.7" customHeight="1">
      <c r="A29"/>
      <c r="B29" s="1442">
        <v>0</v>
      </c>
      <c r="C29" s="567">
        <v>0</v>
      </c>
      <c r="D29" s="421">
        <v>0</v>
      </c>
      <c r="E29" s="636">
        <v>0</v>
      </c>
      <c r="F29" s="578"/>
      <c r="G29" s="583"/>
      <c r="H29" s="577"/>
      <c r="I29" s="575">
        <f>C29</f>
        <v>0</v>
      </c>
      <c r="J29" s="576">
        <v>0</v>
      </c>
      <c r="K29" s="577">
        <f>'AT2 Lainat,sotum., alv-osto'!U20</f>
        <v>0</v>
      </c>
      <c r="L29" s="578"/>
      <c r="M29" s="576">
        <f t="shared" si="7"/>
        <v>0</v>
      </c>
      <c r="N29" s="579">
        <f>'AT2 Lainat,sotum., alv-osto'!AA20</f>
        <v>0</v>
      </c>
      <c r="O29" s="578"/>
      <c r="P29" s="576">
        <f t="shared" si="8"/>
        <v>0</v>
      </c>
      <c r="Q29" s="744">
        <f>'AT2 Lainat,sotum., alv-osto'!AG20</f>
        <v>0</v>
      </c>
      <c r="S29" s="96"/>
    </row>
    <row r="30" spans="1:19" s="51" customFormat="1" ht="11.7" customHeight="1" thickBot="1">
      <c r="B30" s="1443">
        <v>0</v>
      </c>
      <c r="C30" s="637">
        <v>0</v>
      </c>
      <c r="D30" s="532">
        <v>0</v>
      </c>
      <c r="E30" s="638">
        <v>0</v>
      </c>
      <c r="F30" s="582"/>
      <c r="G30" s="1444"/>
      <c r="H30" s="581"/>
      <c r="I30" s="580">
        <f>C30</f>
        <v>0</v>
      </c>
      <c r="J30" s="1439">
        <v>0</v>
      </c>
      <c r="K30" s="581">
        <f>'AT2 Lainat,sotum., alv-osto'!U21</f>
        <v>0</v>
      </c>
      <c r="L30" s="582"/>
      <c r="M30" s="1439">
        <f t="shared" si="7"/>
        <v>0</v>
      </c>
      <c r="N30" s="563">
        <f>'AT2 Lainat,sotum., alv-osto'!AA21</f>
        <v>0</v>
      </c>
      <c r="O30" s="582"/>
      <c r="P30" s="1439">
        <f t="shared" si="8"/>
        <v>0</v>
      </c>
      <c r="Q30" s="1440">
        <f>'AT2 Lainat,sotum., alv-osto'!AG21</f>
        <v>0</v>
      </c>
      <c r="S30" s="96"/>
    </row>
    <row r="31" spans="1:19" s="51" customFormat="1" ht="11.7" customHeight="1">
      <c r="A31" s="2"/>
      <c r="B31" s="1727" t="s">
        <v>659</v>
      </c>
      <c r="C31" s="1724"/>
      <c r="D31" s="1725"/>
      <c r="E31" s="1726"/>
      <c r="F31" s="1217"/>
      <c r="G31" s="1217"/>
      <c r="H31" s="1217"/>
      <c r="I31" s="1724"/>
      <c r="J31" s="1724"/>
      <c r="K31" s="1217"/>
      <c r="L31" s="1217"/>
      <c r="M31" s="1724"/>
      <c r="N31" s="1217"/>
      <c r="O31" s="1217"/>
      <c r="P31" s="1724"/>
      <c r="Q31" s="1441"/>
      <c r="S31" s="96"/>
    </row>
    <row r="32" spans="1:19" s="51" customFormat="1" ht="11.7" customHeight="1">
      <c r="B32" s="1442" t="s">
        <v>608</v>
      </c>
      <c r="C32" s="567">
        <v>0</v>
      </c>
      <c r="D32" s="421">
        <v>0</v>
      </c>
      <c r="E32" s="636">
        <v>0</v>
      </c>
      <c r="F32" s="578"/>
      <c r="G32" s="583"/>
      <c r="H32" s="577"/>
      <c r="I32" s="578"/>
      <c r="J32" s="583"/>
      <c r="K32" s="577"/>
      <c r="L32" s="575">
        <f>C32</f>
        <v>0</v>
      </c>
      <c r="M32" s="576">
        <v>0</v>
      </c>
      <c r="N32" s="579">
        <f>'AT2 Lainat,sotum., alv-osto'!AA22</f>
        <v>0</v>
      </c>
      <c r="O32" s="578"/>
      <c r="P32" s="576">
        <f t="shared" si="8"/>
        <v>0</v>
      </c>
      <c r="Q32" s="744">
        <f>'AT2 Lainat,sotum., alv-osto'!AG22</f>
        <v>0</v>
      </c>
      <c r="S32" s="96"/>
    </row>
    <row r="33" spans="1:19" s="51" customFormat="1" ht="11.7" customHeight="1">
      <c r="A33"/>
      <c r="B33" s="1427">
        <v>0</v>
      </c>
      <c r="C33" s="567">
        <v>0</v>
      </c>
      <c r="D33" s="421">
        <v>0</v>
      </c>
      <c r="E33" s="636">
        <v>0</v>
      </c>
      <c r="F33" s="578"/>
      <c r="G33" s="583"/>
      <c r="H33" s="577"/>
      <c r="I33" s="578"/>
      <c r="J33" s="583"/>
      <c r="K33" s="577"/>
      <c r="L33" s="575">
        <f>C33</f>
        <v>0</v>
      </c>
      <c r="M33" s="576">
        <v>0</v>
      </c>
      <c r="N33" s="579">
        <f>'AT2 Lainat,sotum., alv-osto'!AA23</f>
        <v>0</v>
      </c>
      <c r="O33" s="578"/>
      <c r="P33" s="576">
        <f t="shared" si="8"/>
        <v>0</v>
      </c>
      <c r="Q33" s="744">
        <f>'AT2 Lainat,sotum., alv-osto'!AG23</f>
        <v>0</v>
      </c>
      <c r="S33" s="96"/>
    </row>
    <row r="34" spans="1:19" s="51" customFormat="1" ht="11.7" customHeight="1" thickBot="1">
      <c r="B34" s="1445">
        <v>0</v>
      </c>
      <c r="C34" s="639"/>
      <c r="D34" s="535">
        <v>0</v>
      </c>
      <c r="E34" s="640">
        <v>0</v>
      </c>
      <c r="F34" s="584">
        <v>0</v>
      </c>
      <c r="G34" s="585"/>
      <c r="H34" s="586"/>
      <c r="I34" s="584"/>
      <c r="J34" s="587"/>
      <c r="K34" s="588"/>
      <c r="L34" s="589">
        <f>C34</f>
        <v>0</v>
      </c>
      <c r="M34" s="590">
        <v>0</v>
      </c>
      <c r="N34" s="591">
        <f>'AT2 Lainat,sotum., alv-osto'!AA24</f>
        <v>0</v>
      </c>
      <c r="O34" s="584">
        <v>0</v>
      </c>
      <c r="P34" s="590">
        <f t="shared" si="8"/>
        <v>0</v>
      </c>
      <c r="Q34" s="749">
        <f>'AT2 Lainat,sotum., alv-osto'!AG24</f>
        <v>0</v>
      </c>
      <c r="S34" s="96"/>
    </row>
    <row r="35" spans="1:19" s="51" customFormat="1" ht="11.7" customHeight="1">
      <c r="A35"/>
      <c r="B35" s="1728" t="s">
        <v>660</v>
      </c>
      <c r="C35" s="1729"/>
      <c r="D35" s="1730"/>
      <c r="E35" s="1731"/>
      <c r="F35" s="1218"/>
      <c r="G35" s="1732"/>
      <c r="H35" s="1733"/>
      <c r="I35" s="1218"/>
      <c r="J35" s="1219"/>
      <c r="K35" s="1220"/>
      <c r="L35" s="1734"/>
      <c r="M35" s="1732"/>
      <c r="N35" s="1221"/>
      <c r="O35" s="1218"/>
      <c r="P35" s="1732"/>
      <c r="Q35" s="1446"/>
      <c r="S35" s="96"/>
    </row>
    <row r="36" spans="1:19" s="51" customFormat="1" ht="11.7" customHeight="1">
      <c r="B36" s="1442" t="s">
        <v>608</v>
      </c>
      <c r="C36" s="569">
        <v>0</v>
      </c>
      <c r="D36" s="422">
        <v>0</v>
      </c>
      <c r="E36" s="641">
        <v>0</v>
      </c>
      <c r="F36" s="578">
        <v>0</v>
      </c>
      <c r="G36" s="593"/>
      <c r="H36" s="594"/>
      <c r="I36" s="578">
        <v>0</v>
      </c>
      <c r="J36" s="593">
        <v>0</v>
      </c>
      <c r="K36" s="577"/>
      <c r="L36" s="578">
        <v>0</v>
      </c>
      <c r="M36" s="583"/>
      <c r="N36" s="579">
        <v>0</v>
      </c>
      <c r="O36" s="595">
        <f>C36</f>
        <v>0</v>
      </c>
      <c r="P36" s="576">
        <v>0</v>
      </c>
      <c r="Q36" s="744">
        <f>'AT2 Lainat,sotum., alv-osto'!AG25</f>
        <v>0</v>
      </c>
      <c r="S36" s="96"/>
    </row>
    <row r="37" spans="1:19" s="51" customFormat="1" ht="11.7" customHeight="1">
      <c r="A37" s="2"/>
      <c r="B37" s="1442">
        <v>0</v>
      </c>
      <c r="C37" s="567">
        <v>0</v>
      </c>
      <c r="D37" s="421">
        <v>0</v>
      </c>
      <c r="E37" s="636">
        <v>0</v>
      </c>
      <c r="F37" s="582"/>
      <c r="G37" s="1447"/>
      <c r="H37" s="596"/>
      <c r="I37" s="582"/>
      <c r="J37" s="1447"/>
      <c r="K37" s="581"/>
      <c r="L37" s="582"/>
      <c r="M37" s="1444"/>
      <c r="N37" s="563"/>
      <c r="O37" s="595">
        <f>C37</f>
        <v>0</v>
      </c>
      <c r="P37" s="576">
        <v>0</v>
      </c>
      <c r="Q37" s="744">
        <f>'AT2 Lainat,sotum., alv-osto'!AG26</f>
        <v>0</v>
      </c>
      <c r="S37" s="96"/>
    </row>
    <row r="38" spans="1:19" s="51" customFormat="1" ht="11.7" customHeight="1" thickBot="1">
      <c r="B38" s="1448">
        <v>0</v>
      </c>
      <c r="C38" s="571">
        <v>0</v>
      </c>
      <c r="D38" s="423">
        <v>0</v>
      </c>
      <c r="E38" s="642">
        <v>0</v>
      </c>
      <c r="F38" s="599">
        <v>0</v>
      </c>
      <c r="G38" s="600"/>
      <c r="H38" s="601"/>
      <c r="I38" s="599">
        <v>0</v>
      </c>
      <c r="J38" s="600"/>
      <c r="K38" s="602"/>
      <c r="L38" s="599">
        <v>0</v>
      </c>
      <c r="M38" s="600"/>
      <c r="N38" s="565"/>
      <c r="O38" s="603">
        <f>C38</f>
        <v>0</v>
      </c>
      <c r="P38" s="571">
        <v>0</v>
      </c>
      <c r="Q38" s="1432">
        <f>'AT2 Lainat,sotum., alv-osto'!AG27</f>
        <v>0</v>
      </c>
      <c r="S38" s="96"/>
    </row>
    <row r="39" spans="1:19" s="51" customFormat="1" ht="15" customHeight="1" thickTop="1" thickBot="1">
      <c r="A39"/>
      <c r="B39" s="1449" t="s">
        <v>522</v>
      </c>
      <c r="C39" s="605">
        <f>SUM(C24:C38)</f>
        <v>0</v>
      </c>
      <c r="D39" s="536"/>
      <c r="E39" s="1100">
        <v>0</v>
      </c>
      <c r="F39" s="604">
        <f t="shared" ref="F39:N39" si="9">SUM(F24:F38)</f>
        <v>0</v>
      </c>
      <c r="G39" s="605">
        <f t="shared" si="9"/>
        <v>0</v>
      </c>
      <c r="H39" s="607">
        <f t="shared" si="9"/>
        <v>0</v>
      </c>
      <c r="I39" s="604">
        <f t="shared" si="9"/>
        <v>0</v>
      </c>
      <c r="J39" s="607">
        <f t="shared" si="9"/>
        <v>0</v>
      </c>
      <c r="K39" s="606">
        <f>SUM(K24:K38)</f>
        <v>0</v>
      </c>
      <c r="L39" s="604">
        <f t="shared" si="9"/>
        <v>0</v>
      </c>
      <c r="M39" s="605">
        <f t="shared" si="9"/>
        <v>0</v>
      </c>
      <c r="N39" s="606">
        <f t="shared" si="9"/>
        <v>0</v>
      </c>
      <c r="O39" s="608">
        <f>SUM(O24:O38)</f>
        <v>0</v>
      </c>
      <c r="P39" s="605">
        <f>SUM(P24:P38)</f>
        <v>0</v>
      </c>
      <c r="Q39" s="605">
        <f>SUM(Q24:Q38)</f>
        <v>0</v>
      </c>
    </row>
    <row r="40" spans="1:19" s="51" customFormat="1" ht="18" customHeight="1" thickBot="1">
      <c r="B40" s="1450" t="s">
        <v>574</v>
      </c>
      <c r="C40" s="1222"/>
      <c r="D40" s="1223"/>
      <c r="E40" s="1224"/>
      <c r="F40" s="1225" t="s">
        <v>129</v>
      </c>
      <c r="G40" s="1226" t="s">
        <v>125</v>
      </c>
      <c r="H40" s="1227" t="s">
        <v>126</v>
      </c>
      <c r="I40" s="1225" t="s">
        <v>129</v>
      </c>
      <c r="J40" s="1226" t="s">
        <v>125</v>
      </c>
      <c r="K40" s="1227" t="s">
        <v>126</v>
      </c>
      <c r="L40" s="1225" t="s">
        <v>129</v>
      </c>
      <c r="M40" s="1226" t="s">
        <v>125</v>
      </c>
      <c r="N40" s="1227" t="s">
        <v>126</v>
      </c>
      <c r="O40" s="1225" t="s">
        <v>129</v>
      </c>
      <c r="P40" s="1226" t="s">
        <v>125</v>
      </c>
      <c r="Q40" s="1451" t="s">
        <v>126</v>
      </c>
    </row>
    <row r="41" spans="1:19" s="51" customFormat="1" ht="11.7" customHeight="1">
      <c r="A41"/>
      <c r="B41" s="1427" t="s">
        <v>656</v>
      </c>
      <c r="C41" s="567">
        <v>0</v>
      </c>
      <c r="D41" s="421">
        <v>0</v>
      </c>
      <c r="E41" s="636">
        <v>0</v>
      </c>
      <c r="F41" s="575">
        <v>0</v>
      </c>
      <c r="G41" s="609">
        <f>'AT2 Lainat,sotum., alv-osto'!L44</f>
        <v>0</v>
      </c>
      <c r="H41" s="577">
        <f>'AT2 Lainat,sotum., alv-osto'!O44</f>
        <v>0</v>
      </c>
      <c r="I41" s="1646"/>
      <c r="J41" s="609">
        <f>'AT2 Lainat,sotum., alv-osto'!R44</f>
        <v>0</v>
      </c>
      <c r="K41" s="610">
        <f>'AT2 Lainat,sotum., alv-osto'!U44</f>
        <v>0</v>
      </c>
      <c r="L41" s="611"/>
      <c r="M41" s="609">
        <f>'AT2 Lainat,sotum., alv-osto'!X44</f>
        <v>0</v>
      </c>
      <c r="N41" s="579">
        <f>'AT2 Lainat,sotum., alv-osto'!AA44</f>
        <v>0</v>
      </c>
      <c r="O41" s="612"/>
      <c r="P41" s="609">
        <f>'AT2 Lainat,sotum., alv-osto'!AD44</f>
        <v>0</v>
      </c>
      <c r="Q41" s="744">
        <f>'AT2 Lainat,sotum., alv-osto'!AG44</f>
        <v>0</v>
      </c>
      <c r="S41" s="96"/>
    </row>
    <row r="42" spans="1:19" s="51" customFormat="1" ht="11.7" customHeight="1">
      <c r="B42" s="1429" t="s">
        <v>655</v>
      </c>
      <c r="C42" s="569"/>
      <c r="D42" s="422"/>
      <c r="E42" s="641">
        <v>0</v>
      </c>
      <c r="F42" s="613"/>
      <c r="G42" s="614"/>
      <c r="H42" s="615"/>
      <c r="I42" s="575">
        <f>C42</f>
        <v>0</v>
      </c>
      <c r="J42" s="609">
        <f>'AT2 Lainat,sotum., alv-osto'!R47</f>
        <v>0</v>
      </c>
      <c r="K42" s="579">
        <f>'AT2 Lainat,sotum., alv-osto'!U47</f>
        <v>0</v>
      </c>
      <c r="L42" s="611">
        <v>0</v>
      </c>
      <c r="M42" s="609">
        <f>'AT2 Lainat,sotum., alv-osto'!X47</f>
        <v>0</v>
      </c>
      <c r="N42" s="579">
        <f>'AT2 Lainat,sotum., alv-osto'!AA47</f>
        <v>0</v>
      </c>
      <c r="O42" s="612">
        <v>0</v>
      </c>
      <c r="P42" s="609">
        <f>IF(I42=0,0,'AT2 Lainat,sotum., alv-osto'!AD47)</f>
        <v>0</v>
      </c>
      <c r="Q42" s="744">
        <f>'AT2 Lainat,sotum., alv-osto'!AG47</f>
        <v>0</v>
      </c>
      <c r="S42" s="96"/>
    </row>
    <row r="43" spans="1:19" s="51" customFormat="1" ht="11.7" customHeight="1">
      <c r="A43" s="2"/>
      <c r="B43" s="1429" t="s">
        <v>654</v>
      </c>
      <c r="C43" s="569">
        <v>0</v>
      </c>
      <c r="D43" s="422">
        <v>0</v>
      </c>
      <c r="E43" s="641">
        <v>0</v>
      </c>
      <c r="F43" s="592"/>
      <c r="G43" s="616"/>
      <c r="H43" s="617"/>
      <c r="I43" s="592"/>
      <c r="J43" s="618"/>
      <c r="K43" s="619"/>
      <c r="L43" s="1381">
        <f>C43</f>
        <v>0</v>
      </c>
      <c r="M43" s="620">
        <f>'AT2 Lainat,sotum., alv-osto'!X50</f>
        <v>0</v>
      </c>
      <c r="N43" s="564">
        <f>'AT2 Lainat,sotum., alv-osto'!AA50</f>
        <v>0</v>
      </c>
      <c r="O43" s="621">
        <v>0</v>
      </c>
      <c r="P43" s="609">
        <f>IF(L43=0,0,'AT2 Lainat,sotum., alv-osto'!AD50)</f>
        <v>0</v>
      </c>
      <c r="Q43" s="744">
        <f>'AT2 Lainat,sotum., alv-osto'!AG50</f>
        <v>0</v>
      </c>
      <c r="S43" s="96"/>
    </row>
    <row r="44" spans="1:19" s="51" customFormat="1" ht="11.7" customHeight="1" thickBot="1">
      <c r="B44" s="1431" t="s">
        <v>629</v>
      </c>
      <c r="C44" s="571">
        <v>0</v>
      </c>
      <c r="D44" s="423">
        <v>0</v>
      </c>
      <c r="E44" s="974">
        <v>0</v>
      </c>
      <c r="F44" s="622"/>
      <c r="G44" s="598"/>
      <c r="H44" s="623"/>
      <c r="I44" s="597"/>
      <c r="J44" s="624"/>
      <c r="K44" s="625"/>
      <c r="L44" s="626"/>
      <c r="M44" s="627"/>
      <c r="N44" s="565"/>
      <c r="O44" s="603">
        <f>C44</f>
        <v>0</v>
      </c>
      <c r="P44" s="627">
        <f>IF(O44=0,0,'AT2 Lainat,sotum., alv-osto'!AD53)</f>
        <v>0</v>
      </c>
      <c r="Q44" s="1432">
        <f>'AT2 Lainat,sotum., alv-osto'!AG53</f>
        <v>0</v>
      </c>
      <c r="S44" s="96"/>
    </row>
    <row r="45" spans="1:19" s="51" customFormat="1" ht="15" customHeight="1" thickTop="1" thickBot="1">
      <c r="A45"/>
      <c r="B45" s="1452" t="s">
        <v>661</v>
      </c>
      <c r="C45" s="630">
        <f>SUM(C41:C44)</f>
        <v>0</v>
      </c>
      <c r="D45" s="424"/>
      <c r="E45" s="1101"/>
      <c r="F45" s="628">
        <f t="shared" ref="F45:Q45" si="10">SUM(F41:F44)</f>
        <v>0</v>
      </c>
      <c r="G45" s="630">
        <f t="shared" si="10"/>
        <v>0</v>
      </c>
      <c r="H45" s="629">
        <f t="shared" si="10"/>
        <v>0</v>
      </c>
      <c r="I45" s="628">
        <f t="shared" si="10"/>
        <v>0</v>
      </c>
      <c r="J45" s="630">
        <f t="shared" si="10"/>
        <v>0</v>
      </c>
      <c r="K45" s="629">
        <f t="shared" si="10"/>
        <v>0</v>
      </c>
      <c r="L45" s="628">
        <f t="shared" si="10"/>
        <v>0</v>
      </c>
      <c r="M45" s="630">
        <f t="shared" si="10"/>
        <v>0</v>
      </c>
      <c r="N45" s="629">
        <f t="shared" si="10"/>
        <v>0</v>
      </c>
      <c r="O45" s="628">
        <f t="shared" si="10"/>
        <v>0</v>
      </c>
      <c r="P45" s="631">
        <f t="shared" si="10"/>
        <v>0</v>
      </c>
      <c r="Q45" s="631">
        <f t="shared" si="10"/>
        <v>0</v>
      </c>
    </row>
    <row r="46" spans="1:19" s="73" customFormat="1" ht="15" customHeight="1" thickBot="1">
      <c r="A46"/>
      <c r="B46" s="1453" t="s">
        <v>662</v>
      </c>
      <c r="C46" s="1522">
        <f>'3. T3 TASE '!$H$78</f>
        <v>0</v>
      </c>
      <c r="D46" s="425"/>
      <c r="E46" s="1102">
        <v>0.1</v>
      </c>
      <c r="F46" s="632"/>
      <c r="G46" s="633"/>
      <c r="H46" s="1523">
        <f>$E46*C46</f>
        <v>0</v>
      </c>
      <c r="I46" s="632"/>
      <c r="J46" s="633"/>
      <c r="K46" s="1523">
        <f>$E46*'3. T3 TASE '!H78</f>
        <v>0</v>
      </c>
      <c r="L46" s="632"/>
      <c r="M46" s="633"/>
      <c r="N46" s="1523">
        <f>$E46*'3. T3 TASE '!I78</f>
        <v>0</v>
      </c>
      <c r="O46" s="632"/>
      <c r="P46" s="633"/>
      <c r="Q46" s="1522">
        <f>$E46*'3. T3 TASE '!J78</f>
        <v>0</v>
      </c>
    </row>
    <row r="47" spans="1:19" s="1504" customFormat="1" ht="15" customHeight="1" thickBot="1">
      <c r="B47" s="1508" t="s">
        <v>737</v>
      </c>
      <c r="C47" s="1509">
        <f>'3. T3 TASE '!G69+'3. T3 TASE '!G79</f>
        <v>0</v>
      </c>
      <c r="D47" s="1505"/>
      <c r="E47" s="1102">
        <v>0.1</v>
      </c>
      <c r="F47" s="1506"/>
      <c r="G47" s="1507"/>
      <c r="H47" s="1523">
        <f>$E47*C47</f>
        <v>0</v>
      </c>
      <c r="I47" s="1506"/>
      <c r="J47" s="1507"/>
      <c r="K47" s="1523">
        <f>E47*('3. T3 TASE '!H69+'3. T3 TASE '!H79)</f>
        <v>0</v>
      </c>
      <c r="L47" s="1506"/>
      <c r="M47" s="1507"/>
      <c r="N47" s="1523">
        <f>E47*('3. T3 TASE '!I69+'3. T3 TASE '!I79)</f>
        <v>0</v>
      </c>
      <c r="O47" s="1506"/>
      <c r="P47" s="1507"/>
      <c r="Q47" s="1523">
        <f>E47*('3. T3 TASE '!J69+'3. T3 TASE '!J79)</f>
        <v>0</v>
      </c>
    </row>
    <row r="48" spans="1:19" s="73" customFormat="1" ht="21.65" customHeight="1" thickBot="1">
      <c r="A48" s="51"/>
      <c r="B48" s="1454" t="s">
        <v>663</v>
      </c>
      <c r="C48" s="1048">
        <f>'3. T3 TASE '!G74</f>
        <v>0</v>
      </c>
      <c r="D48" s="425"/>
      <c r="E48" s="1102">
        <v>0.1</v>
      </c>
      <c r="F48" s="632"/>
      <c r="G48" s="633"/>
      <c r="H48" s="1523">
        <f>$E48*C48</f>
        <v>0</v>
      </c>
      <c r="I48" s="632"/>
      <c r="J48" s="633"/>
      <c r="K48" s="1523">
        <f>$E48*'3. T3 TASE '!H74</f>
        <v>0</v>
      </c>
      <c r="L48" s="632"/>
      <c r="M48" s="633"/>
      <c r="N48" s="1523">
        <f>$E48*'3. T3 TASE '!I74</f>
        <v>0</v>
      </c>
      <c r="O48" s="632"/>
      <c r="P48" s="633"/>
      <c r="Q48" s="1523">
        <f>$E48*'3. T3 TASE '!J74</f>
        <v>0</v>
      </c>
    </row>
    <row r="49" spans="1:17" s="73" customFormat="1" ht="15" customHeight="1" thickBot="1">
      <c r="A49" s="2"/>
      <c r="B49" s="1455" t="s">
        <v>664</v>
      </c>
      <c r="C49" s="426"/>
      <c r="D49" s="683"/>
      <c r="E49" s="684"/>
      <c r="F49" s="1011"/>
      <c r="G49" s="1012"/>
      <c r="H49" s="1013">
        <v>0</v>
      </c>
      <c r="I49" s="1011"/>
      <c r="J49" s="1012"/>
      <c r="K49" s="1013">
        <v>0</v>
      </c>
      <c r="L49" s="1011"/>
      <c r="M49" s="1012"/>
      <c r="N49" s="1013">
        <v>0</v>
      </c>
      <c r="O49" s="1011"/>
      <c r="P49" s="1012"/>
      <c r="Q49" s="1456">
        <v>0</v>
      </c>
    </row>
    <row r="50" spans="1:17" s="51" customFormat="1" ht="15" customHeight="1" thickTop="1" thickBot="1">
      <c r="B50" s="1457" t="s">
        <v>665</v>
      </c>
      <c r="C50" s="1014">
        <f>C39+C18+C45+C46+C19+C48</f>
        <v>0</v>
      </c>
      <c r="D50" s="1015"/>
      <c r="E50" s="1103"/>
      <c r="F50" s="1014">
        <f>F39+F45</f>
        <v>0</v>
      </c>
      <c r="G50" s="1014">
        <f>G39+F18+G45+F19</f>
        <v>0</v>
      </c>
      <c r="H50" s="1014">
        <f>H39+H18+H45+H46+H49+H19+H48+H47</f>
        <v>0</v>
      </c>
      <c r="I50" s="1014">
        <f>I39+I45</f>
        <v>0</v>
      </c>
      <c r="J50" s="1014">
        <f>J39+I18+J45+I19</f>
        <v>0</v>
      </c>
      <c r="K50" s="1014">
        <f>K39+K18+K45+K46+K49+K19+K48+K47</f>
        <v>0</v>
      </c>
      <c r="L50" s="1014">
        <f>L39+L45</f>
        <v>0</v>
      </c>
      <c r="M50" s="1014">
        <f>M39+L18+M45+L19</f>
        <v>0</v>
      </c>
      <c r="N50" s="1014">
        <f>N39+N18+N45+N46+N49+N19+N48+N47</f>
        <v>0</v>
      </c>
      <c r="O50" s="1014">
        <f>O39+O45</f>
        <v>0</v>
      </c>
      <c r="P50" s="1014">
        <f>P39+O18+P45+O19</f>
        <v>0</v>
      </c>
      <c r="Q50" s="1014">
        <f>Q39+Q18+Q45+Q46+Q49+Q19+Q48+Q47</f>
        <v>0</v>
      </c>
    </row>
    <row r="51" spans="1:17" ht="7.5" customHeight="1" thickTop="1"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</row>
    <row r="52" spans="1:17">
      <c r="C52" s="50"/>
      <c r="D52" s="50"/>
      <c r="E52" s="427"/>
      <c r="F52" s="427"/>
      <c r="G52" s="427"/>
      <c r="H52" s="427"/>
      <c r="I52" s="427"/>
      <c r="J52" s="427"/>
      <c r="K52" s="50"/>
      <c r="L52" s="50"/>
      <c r="M52" s="50"/>
      <c r="N52" s="1746" t="str">
        <f>OHJE!I5</f>
        <v>Yritystulkin tarjoaa</v>
      </c>
      <c r="O52" s="1746"/>
      <c r="P52" s="1746"/>
      <c r="Q52" s="1746"/>
    </row>
    <row r="53" spans="1:17" ht="12.75" customHeight="1">
      <c r="B53" s="74" t="str">
        <f>OHJE!G24</f>
        <v>YT22 Toimivan yrityksen tulossuunnitelma</v>
      </c>
      <c r="C53" s="74"/>
      <c r="D53" s="74"/>
      <c r="E53" s="74"/>
      <c r="F53" s="87"/>
      <c r="G53" s="87"/>
      <c r="H53" s="50"/>
      <c r="I53" s="87"/>
      <c r="J53" s="1757" t="str">
        <f>OHJE!H7</f>
        <v>Invest Lapua</v>
      </c>
      <c r="K53" s="1757"/>
      <c r="L53" s="1757"/>
      <c r="M53" s="1757"/>
      <c r="N53" s="1757"/>
      <c r="O53" s="1757"/>
      <c r="P53" s="1757"/>
      <c r="Q53" s="1757"/>
    </row>
    <row r="54" spans="1:17">
      <c r="L54" s="533"/>
      <c r="M54" s="533"/>
      <c r="N54" s="533"/>
      <c r="O54" s="533"/>
      <c r="P54" s="533"/>
      <c r="Q54" s="533"/>
    </row>
    <row r="56" spans="1:17">
      <c r="B56" s="396" t="s">
        <v>332</v>
      </c>
    </row>
    <row r="57" spans="1:17">
      <c r="B57" s="50" t="s">
        <v>333</v>
      </c>
    </row>
    <row r="58" spans="1:17">
      <c r="B58" s="50" t="s">
        <v>334</v>
      </c>
    </row>
  </sheetData>
  <sheetProtection algorithmName="SHA-512" hashValue="NqeGEKBelhMk/3kiQC3D9lXYP5QF+X/rDQL2x+r+zt9fJNe7WZTh0jXEt0bM7urDU86fG56yVt469bucmw2s9Q==" saltValue="weI5avF58WviCuDwiLWVIw==" spinCount="100000" sheet="1" objects="1" scenarios="1" selectLockedCells="1"/>
  <mergeCells count="67">
    <mergeCell ref="O5:P5"/>
    <mergeCell ref="C7:C10"/>
    <mergeCell ref="D7:D10"/>
    <mergeCell ref="E7:E10"/>
    <mergeCell ref="C20:C22"/>
    <mergeCell ref="I20:K20"/>
    <mergeCell ref="I21:K21"/>
    <mergeCell ref="L8:N8"/>
    <mergeCell ref="I10:J10"/>
    <mergeCell ref="I8:K8"/>
    <mergeCell ref="L9:N9"/>
    <mergeCell ref="L10:M10"/>
    <mergeCell ref="I9:K9"/>
    <mergeCell ref="L13:M13"/>
    <mergeCell ref="L14:M14"/>
    <mergeCell ref="I13:J13"/>
    <mergeCell ref="B7:B9"/>
    <mergeCell ref="D20:D22"/>
    <mergeCell ref="E20:E22"/>
    <mergeCell ref="F21:H21"/>
    <mergeCell ref="F16:G16"/>
    <mergeCell ref="F14:G14"/>
    <mergeCell ref="F20:H20"/>
    <mergeCell ref="F18:G18"/>
    <mergeCell ref="F19:G19"/>
    <mergeCell ref="F13:G13"/>
    <mergeCell ref="F17:G17"/>
    <mergeCell ref="F11:G11"/>
    <mergeCell ref="F12:G12"/>
    <mergeCell ref="F8:H8"/>
    <mergeCell ref="F10:G10"/>
    <mergeCell ref="I12:J12"/>
    <mergeCell ref="I16:J16"/>
    <mergeCell ref="I15:J15"/>
    <mergeCell ref="I11:J11"/>
    <mergeCell ref="L11:M11"/>
    <mergeCell ref="L16:M16"/>
    <mergeCell ref="I14:J14"/>
    <mergeCell ref="I17:J17"/>
    <mergeCell ref="L20:N20"/>
    <mergeCell ref="I18:J18"/>
    <mergeCell ref="I19:J19"/>
    <mergeCell ref="L19:M19"/>
    <mergeCell ref="L18:M18"/>
    <mergeCell ref="L17:M17"/>
    <mergeCell ref="O13:P13"/>
    <mergeCell ref="O14:P14"/>
    <mergeCell ref="O15:P15"/>
    <mergeCell ref="O16:P16"/>
    <mergeCell ref="L21:N21"/>
    <mergeCell ref="L15:M15"/>
    <mergeCell ref="N52:Q52"/>
    <mergeCell ref="J53:Q53"/>
    <mergeCell ref="B5:D5"/>
    <mergeCell ref="O17:P17"/>
    <mergeCell ref="O18:P18"/>
    <mergeCell ref="O8:Q8"/>
    <mergeCell ref="O9:Q9"/>
    <mergeCell ref="O10:P10"/>
    <mergeCell ref="O11:P11"/>
    <mergeCell ref="O12:P12"/>
    <mergeCell ref="L12:M12"/>
    <mergeCell ref="F9:H9"/>
    <mergeCell ref="F15:G15"/>
    <mergeCell ref="O19:P19"/>
    <mergeCell ref="O20:Q20"/>
    <mergeCell ref="O21:Q21"/>
  </mergeCells>
  <printOptions horizontalCentered="1"/>
  <pageMargins left="0.25" right="0.25" top="0.75" bottom="0.75" header="0.3" footer="0.3"/>
  <pageSetup paperSize="9" scale="83" orientation="landscape" verticalDpi="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ul31">
    <tabColor rgb="FF0152A1"/>
  </sheetPr>
  <dimension ref="A2:AB234"/>
  <sheetViews>
    <sheetView showGridLines="0" showZeros="0" defaultGridColor="0" colorId="22" zoomScaleNormal="100" zoomScaleSheetLayoutView="85" workbookViewId="0">
      <pane ySplit="10" topLeftCell="A11" activePane="bottomLeft" state="frozen"/>
      <selection pane="bottomLeft" activeCell="D47" sqref="D47"/>
    </sheetView>
  </sheetViews>
  <sheetFormatPr defaultRowHeight="12.45"/>
  <cols>
    <col min="1" max="1" width="10" customWidth="1"/>
    <col min="2" max="2" width="2.84375" customWidth="1"/>
    <col min="3" max="3" width="37" customWidth="1"/>
    <col min="4" max="4" width="10.07421875" customWidth="1"/>
    <col min="5" max="5" width="6.07421875" customWidth="1"/>
    <col min="6" max="6" width="10.07421875" customWidth="1"/>
    <col min="7" max="7" width="6" customWidth="1"/>
    <col min="8" max="8" width="10.07421875" customWidth="1"/>
    <col min="9" max="9" width="6" customWidth="1"/>
    <col min="10" max="10" width="10.07421875" customWidth="1"/>
    <col min="11" max="11" width="6" customWidth="1"/>
    <col min="12" max="12" width="10.07421875" customWidth="1"/>
    <col min="13" max="13" width="6" customWidth="1"/>
    <col min="14" max="14" width="2.53515625" customWidth="1"/>
    <col min="15" max="17" width="7" customWidth="1"/>
    <col min="18" max="18" width="7.3046875" customWidth="1"/>
    <col min="25" max="27" width="9" customWidth="1"/>
  </cols>
  <sheetData>
    <row r="2" spans="1:28" ht="15.45">
      <c r="B2" s="22" t="s">
        <v>105</v>
      </c>
      <c r="E2" s="1946"/>
      <c r="F2" s="1946"/>
      <c r="H2" s="22">
        <f>'3. T3 TASE '!D12</f>
        <v>0</v>
      </c>
      <c r="O2" s="22" t="s">
        <v>105</v>
      </c>
      <c r="P2" s="1"/>
    </row>
    <row r="3" spans="1:28" ht="14.25" customHeight="1">
      <c r="A3" s="1527" t="s">
        <v>740</v>
      </c>
      <c r="E3" s="1929"/>
      <c r="F3" s="1929"/>
      <c r="O3" s="1928"/>
      <c r="P3" s="1928"/>
      <c r="Q3" s="1928"/>
    </row>
    <row r="4" spans="1:28" ht="20.25" customHeight="1">
      <c r="B4" s="46" t="s">
        <v>685</v>
      </c>
      <c r="C4" s="43"/>
      <c r="D4" s="43"/>
      <c r="E4" s="43" t="s">
        <v>520</v>
      </c>
      <c r="F4" s="56"/>
      <c r="G4" s="62"/>
      <c r="H4" s="38"/>
      <c r="I4" s="56" t="s">
        <v>0</v>
      </c>
      <c r="J4" s="56"/>
      <c r="K4" s="1947" t="s">
        <v>93</v>
      </c>
      <c r="L4" s="1947"/>
      <c r="M4" s="44"/>
      <c r="N4" s="16"/>
      <c r="O4" s="386"/>
      <c r="S4" s="387"/>
      <c r="T4" s="140"/>
      <c r="U4" s="140"/>
      <c r="V4" s="140"/>
      <c r="W4" s="140"/>
      <c r="X4" s="140"/>
    </row>
    <row r="5" spans="1:28" ht="12.75" customHeight="1">
      <c r="B5" s="547">
        <f>'2. &amp; 7. T2 TULOSSUUN. '!B5:D5</f>
        <v>0</v>
      </c>
      <c r="C5" s="547"/>
      <c r="D5" s="550"/>
      <c r="E5" s="1870">
        <f>'2. &amp; 7. T2 TULOSSUUN. '!G5</f>
        <v>0</v>
      </c>
      <c r="F5" s="1870"/>
      <c r="G5" s="1870"/>
      <c r="H5" s="1870"/>
      <c r="I5" s="1870"/>
      <c r="J5" s="554">
        <f>'2. &amp; 7. T2 TULOSSUUN. '!K5</f>
        <v>0</v>
      </c>
      <c r="K5" s="1922">
        <f>'1. T1 INVESTOINTISUUN.'!E4</f>
        <v>0</v>
      </c>
      <c r="L5" s="1870"/>
      <c r="M5" s="73"/>
      <c r="N5" s="73"/>
      <c r="O5" s="387"/>
      <c r="P5" s="22"/>
      <c r="S5" s="140"/>
      <c r="T5" s="140"/>
      <c r="U5" s="140"/>
      <c r="V5" s="140"/>
      <c r="W5" s="140"/>
      <c r="X5" s="140"/>
      <c r="Z5" s="8"/>
      <c r="AA5" s="8"/>
    </row>
    <row r="6" spans="1:28" ht="10.5" customHeight="1" thickBot="1">
      <c r="D6" s="279"/>
      <c r="E6" s="279"/>
      <c r="F6" s="15"/>
      <c r="K6" t="s">
        <v>0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8"/>
      <c r="AA6" s="8"/>
    </row>
    <row r="7" spans="1:28" ht="15.65" customHeight="1">
      <c r="B7" s="1940" t="s">
        <v>444</v>
      </c>
      <c r="C7" s="1941"/>
      <c r="D7" s="1935" t="str">
        <f>'8. T4 RAHOITUSSUUN. '!G10</f>
        <v>Tot. tilikausi</v>
      </c>
      <c r="E7" s="1936"/>
      <c r="F7" s="1935" t="str">
        <f>'1. T1 INVESTOINTISUUN.'!D15</f>
        <v>Ennuste 1</v>
      </c>
      <c r="G7" s="1936"/>
      <c r="H7" s="1935" t="s">
        <v>98</v>
      </c>
      <c r="I7" s="1936"/>
      <c r="J7" s="1935" t="s">
        <v>100</v>
      </c>
      <c r="K7" s="1936"/>
      <c r="L7" s="1935" t="s">
        <v>257</v>
      </c>
      <c r="M7" s="1936"/>
      <c r="N7" s="23"/>
      <c r="O7" s="284" t="s">
        <v>408</v>
      </c>
      <c r="P7" s="285"/>
      <c r="Q7" s="285"/>
      <c r="R7" s="286"/>
      <c r="S7" s="459"/>
      <c r="T7" s="459"/>
      <c r="U7" s="459"/>
      <c r="V7" s="459"/>
      <c r="W7" s="459"/>
      <c r="X7" s="459"/>
      <c r="Y7" s="460"/>
      <c r="Z7" s="461"/>
      <c r="AA7" s="461"/>
      <c r="AB7" s="462"/>
    </row>
    <row r="8" spans="1:28" ht="18.649999999999999" customHeight="1">
      <c r="B8" s="1942" t="s">
        <v>627</v>
      </c>
      <c r="C8" s="1943"/>
      <c r="D8" s="1937">
        <f>'2. &amp; 7. T2 TULOSSUUN. '!G8</f>
        <v>2024</v>
      </c>
      <c r="E8" s="1938"/>
      <c r="F8" s="1937">
        <f>'2. &amp; 7. T2 TULOSSUUN. '!I8</f>
        <v>2025</v>
      </c>
      <c r="G8" s="1938"/>
      <c r="H8" s="1937">
        <f>'2. &amp; 7. T2 TULOSSUUN. '!K8</f>
        <v>2026</v>
      </c>
      <c r="I8" s="1938"/>
      <c r="J8" s="1937">
        <f>'2. &amp; 7. T2 TULOSSUUN. '!M8</f>
        <v>2027</v>
      </c>
      <c r="K8" s="1938"/>
      <c r="L8" s="1937">
        <f>'2. &amp; 7. T2 TULOSSUUN. '!O8</f>
        <v>2028</v>
      </c>
      <c r="M8" s="1938"/>
      <c r="N8" s="24"/>
      <c r="O8" s="525"/>
      <c r="P8" s="526"/>
      <c r="Q8" s="526"/>
      <c r="R8" s="526"/>
      <c r="S8" s="167"/>
      <c r="T8" s="167"/>
      <c r="U8" s="167"/>
      <c r="V8" s="167"/>
      <c r="W8" s="167"/>
      <c r="X8" s="167"/>
      <c r="Y8" s="167"/>
      <c r="Z8" s="527"/>
      <c r="AA8" s="527"/>
      <c r="AB8" s="341"/>
    </row>
    <row r="9" spans="1:28" ht="18.649999999999999" customHeight="1">
      <c r="B9" s="1944"/>
      <c r="C9" s="1945"/>
      <c r="D9" s="1228" t="s">
        <v>17</v>
      </c>
      <c r="E9" s="1229" t="s">
        <v>14</v>
      </c>
      <c r="F9" s="1228" t="s">
        <v>17</v>
      </c>
      <c r="G9" s="1229" t="s">
        <v>14</v>
      </c>
      <c r="H9" s="1228" t="str">
        <f>F9</f>
        <v>Euroa</v>
      </c>
      <c r="I9" s="1229" t="s">
        <v>14</v>
      </c>
      <c r="J9" s="1228" t="str">
        <f>H9</f>
        <v>Euroa</v>
      </c>
      <c r="K9" s="1229" t="s">
        <v>14</v>
      </c>
      <c r="L9" s="1228" t="str">
        <f>J9</f>
        <v>Euroa</v>
      </c>
      <c r="M9" s="1229" t="s">
        <v>14</v>
      </c>
      <c r="N9" s="24"/>
      <c r="O9" s="525"/>
      <c r="P9" s="526"/>
      <c r="Q9" s="526"/>
      <c r="R9" s="526"/>
      <c r="S9" s="167"/>
      <c r="T9" s="167"/>
      <c r="U9" s="167"/>
      <c r="V9" s="167"/>
      <c r="W9" s="167"/>
      <c r="X9" s="167"/>
      <c r="Y9" s="167"/>
      <c r="Z9" s="527"/>
      <c r="AA9" s="527"/>
      <c r="AB9" s="341"/>
    </row>
    <row r="10" spans="1:28" ht="13.2" customHeight="1" thickBot="1">
      <c r="B10" s="1230"/>
      <c r="C10" s="1231" t="s">
        <v>392</v>
      </c>
      <c r="D10" s="1931" t="str">
        <f>'2. &amp; 7. T2 TULOSSUUN. '!G10</f>
        <v>12</v>
      </c>
      <c r="E10" s="1932"/>
      <c r="F10" s="1931">
        <f>'2. &amp; 7. T2 TULOSSUUN. '!I10</f>
        <v>12</v>
      </c>
      <c r="G10" s="1932"/>
      <c r="H10" s="1931" t="str">
        <f>'2. &amp; 7. T2 TULOSSUUN. '!K10</f>
        <v>12</v>
      </c>
      <c r="I10" s="1932"/>
      <c r="J10" s="1931" t="str">
        <f>'2. &amp; 7. T2 TULOSSUUN. '!M10</f>
        <v>12</v>
      </c>
      <c r="K10" s="1932"/>
      <c r="L10" s="1931" t="str">
        <f>'2. &amp; 7. T2 TULOSSUUN. '!O10</f>
        <v>12</v>
      </c>
      <c r="M10" s="1932"/>
      <c r="N10" s="24"/>
      <c r="O10" s="525"/>
      <c r="P10" s="526"/>
      <c r="Q10" s="526"/>
      <c r="R10" s="526"/>
      <c r="S10" s="167"/>
      <c r="T10" s="167"/>
      <c r="U10" s="167"/>
      <c r="V10" s="167"/>
      <c r="W10" s="167"/>
      <c r="X10" s="167"/>
      <c r="Y10" s="167"/>
      <c r="Z10" s="527"/>
      <c r="AA10" s="527"/>
      <c r="AB10" s="341"/>
    </row>
    <row r="11" spans="1:28" s="1" customFormat="1" ht="13.95" customHeight="1">
      <c r="A11"/>
      <c r="B11" s="1076" t="s">
        <v>2</v>
      </c>
      <c r="C11" s="1061" t="s">
        <v>20</v>
      </c>
      <c r="D11" s="232"/>
      <c r="E11" s="233"/>
      <c r="F11" s="871">
        <f>F12+F17+F24-F30</f>
        <v>0</v>
      </c>
      <c r="G11" s="872">
        <f>IF(F$44=0,0,F11/F$44*100)</f>
        <v>0</v>
      </c>
      <c r="H11" s="871">
        <f>H12+H17+H24-H30</f>
        <v>0</v>
      </c>
      <c r="I11" s="872">
        <f>IF(H$44=0,0,H11/H$44*100)</f>
        <v>0</v>
      </c>
      <c r="J11" s="871">
        <f>J12+J17+J24-J30</f>
        <v>0</v>
      </c>
      <c r="K11" s="872">
        <f>IF(J$44=0,0,J11/J$44*100)</f>
        <v>0</v>
      </c>
      <c r="L11" s="871">
        <f>L12+L17+L24-L30</f>
        <v>0</v>
      </c>
      <c r="M11" s="872">
        <f>IF(L$44=0,0,L11/L$44*100)</f>
        <v>0</v>
      </c>
      <c r="N11" s="3"/>
      <c r="O11" s="1933" t="s">
        <v>515</v>
      </c>
      <c r="P11" s="1934"/>
      <c r="Q11" s="1934"/>
      <c r="R11" s="1934"/>
      <c r="S11" s="320"/>
      <c r="T11" s="320"/>
      <c r="U11" s="320"/>
      <c r="V11" s="320"/>
      <c r="W11" s="320"/>
      <c r="X11" s="320"/>
      <c r="Y11" s="320"/>
      <c r="Z11" s="463"/>
      <c r="AA11" s="463"/>
      <c r="AB11" s="464"/>
    </row>
    <row r="12" spans="1:28" s="4" customFormat="1" ht="13.95" customHeight="1">
      <c r="B12" s="417"/>
      <c r="C12" s="1057" t="s">
        <v>62</v>
      </c>
      <c r="D12" s="234"/>
      <c r="E12" s="379"/>
      <c r="F12" s="873">
        <f>(F13*F15)</f>
        <v>0</v>
      </c>
      <c r="G12" s="874"/>
      <c r="H12" s="873">
        <f>(H13*H15)</f>
        <v>0</v>
      </c>
      <c r="I12" s="874"/>
      <c r="J12" s="873">
        <f>(J13*J15)</f>
        <v>0</v>
      </c>
      <c r="K12" s="874"/>
      <c r="L12" s="873">
        <f>(L13*L15)</f>
        <v>0</v>
      </c>
      <c r="M12" s="874"/>
      <c r="N12" s="29"/>
      <c r="O12" s="288">
        <f>F$8</f>
        <v>2025</v>
      </c>
      <c r="P12" s="288">
        <f>H$8</f>
        <v>2026</v>
      </c>
      <c r="Q12" s="288">
        <f>J8</f>
        <v>2027</v>
      </c>
      <c r="R12" s="288">
        <f>L$8</f>
        <v>2028</v>
      </c>
      <c r="S12" s="320">
        <v>0</v>
      </c>
      <c r="T12" s="320"/>
      <c r="U12" s="320"/>
      <c r="V12" s="320"/>
      <c r="W12" s="320"/>
      <c r="X12" s="320"/>
      <c r="Y12" s="320"/>
      <c r="Z12" s="463"/>
      <c r="AA12" s="463"/>
      <c r="AB12" s="464"/>
    </row>
    <row r="13" spans="1:28" s="50" customFormat="1" ht="13.95" customHeight="1">
      <c r="B13" s="242"/>
      <c r="C13" s="1053" t="s">
        <v>60</v>
      </c>
      <c r="D13" s="234"/>
      <c r="E13" s="280"/>
      <c r="F13" s="595">
        <v>0</v>
      </c>
      <c r="G13" s="875"/>
      <c r="H13" s="595">
        <f>F13+F13*P13</f>
        <v>0</v>
      </c>
      <c r="I13" s="875"/>
      <c r="J13" s="595">
        <f>H13+H13*Q13</f>
        <v>0</v>
      </c>
      <c r="K13" s="875"/>
      <c r="L13" s="595">
        <f>J13+J13*R13</f>
        <v>0</v>
      </c>
      <c r="M13" s="875"/>
      <c r="N13" s="55"/>
      <c r="O13" s="345"/>
      <c r="P13" s="382">
        <v>0.03</v>
      </c>
      <c r="Q13" s="382">
        <f>P13</f>
        <v>0.03</v>
      </c>
      <c r="R13" s="382">
        <f>Q13</f>
        <v>0.03</v>
      </c>
      <c r="S13" s="320"/>
      <c r="T13" s="320"/>
      <c r="U13" s="320"/>
      <c r="V13" s="320"/>
      <c r="W13" s="320"/>
      <c r="X13" s="320"/>
      <c r="Y13" s="320"/>
      <c r="Z13" s="463"/>
      <c r="AA13" s="463"/>
      <c r="AB13" s="464"/>
    </row>
    <row r="14" spans="1:28" s="50" customFormat="1" ht="13.95" customHeight="1">
      <c r="B14" s="242"/>
      <c r="C14" s="1053" t="s">
        <v>453</v>
      </c>
      <c r="D14" s="234"/>
      <c r="E14" s="280"/>
      <c r="F14" s="595">
        <v>0</v>
      </c>
      <c r="G14" s="875"/>
      <c r="H14" s="595">
        <f>F14+F14*P14</f>
        <v>0</v>
      </c>
      <c r="I14" s="875"/>
      <c r="J14" s="595">
        <f>H14+H14*Q14</f>
        <v>0</v>
      </c>
      <c r="K14" s="875"/>
      <c r="L14" s="595">
        <f>J14+J14*R14</f>
        <v>0</v>
      </c>
      <c r="M14" s="875"/>
      <c r="N14" s="55"/>
      <c r="O14" s="345"/>
      <c r="P14" s="382">
        <v>0.03</v>
      </c>
      <c r="Q14" s="382">
        <f>P14</f>
        <v>0.03</v>
      </c>
      <c r="R14" s="382">
        <f>Q14</f>
        <v>0.03</v>
      </c>
      <c r="S14" s="320"/>
      <c r="T14" s="320"/>
      <c r="U14" s="320"/>
      <c r="V14" s="320"/>
      <c r="W14" s="320"/>
      <c r="X14" s="320"/>
      <c r="Y14" s="320"/>
      <c r="Z14" s="463"/>
      <c r="AA14" s="463"/>
      <c r="AB14" s="464"/>
    </row>
    <row r="15" spans="1:28" s="50" customFormat="1" ht="13.95" customHeight="1">
      <c r="B15" s="242"/>
      <c r="C15" s="1053" t="s">
        <v>61</v>
      </c>
      <c r="D15" s="234"/>
      <c r="E15" s="280"/>
      <c r="F15" s="876">
        <v>12.5</v>
      </c>
      <c r="G15" s="875"/>
      <c r="H15" s="876">
        <v>12.5</v>
      </c>
      <c r="I15" s="875"/>
      <c r="J15" s="876">
        <f>H15</f>
        <v>12.5</v>
      </c>
      <c r="K15" s="875"/>
      <c r="L15" s="876">
        <f>J15</f>
        <v>12.5</v>
      </c>
      <c r="M15" s="875"/>
      <c r="N15" s="55"/>
      <c r="O15" s="1681" t="s">
        <v>459</v>
      </c>
      <c r="P15" s="315"/>
      <c r="Q15" s="315"/>
      <c r="R15" s="315"/>
      <c r="S15" s="151"/>
      <c r="T15" s="151"/>
      <c r="U15" s="151"/>
      <c r="V15" s="151"/>
      <c r="W15" s="151"/>
      <c r="X15" s="151"/>
      <c r="Y15" s="151"/>
      <c r="Z15" s="510"/>
      <c r="AA15" s="510"/>
      <c r="AB15" s="511"/>
    </row>
    <row r="16" spans="1:28" s="50" customFormat="1" ht="13.95" customHeight="1">
      <c r="B16" s="242"/>
      <c r="C16" s="1177" t="s">
        <v>632</v>
      </c>
      <c r="D16" s="234"/>
      <c r="E16" s="1077"/>
      <c r="F16" s="1078">
        <v>0.28999999999999998</v>
      </c>
      <c r="G16" s="875"/>
      <c r="H16" s="1078">
        <f>F16</f>
        <v>0.28999999999999998</v>
      </c>
      <c r="I16" s="875"/>
      <c r="J16" s="1078">
        <f>H16</f>
        <v>0.28999999999999998</v>
      </c>
      <c r="K16" s="875"/>
      <c r="L16" s="1078">
        <f>J16</f>
        <v>0.28999999999999998</v>
      </c>
      <c r="M16" s="875"/>
      <c r="N16" s="55"/>
      <c r="O16" s="1079"/>
      <c r="P16" s="320"/>
      <c r="Q16" s="320"/>
      <c r="R16" s="320"/>
      <c r="S16" s="320"/>
      <c r="T16" s="320"/>
      <c r="U16" s="320"/>
      <c r="V16" s="320"/>
      <c r="W16" s="320"/>
      <c r="X16" s="320"/>
      <c r="Y16" s="320"/>
      <c r="Z16" s="463"/>
      <c r="AA16" s="463"/>
      <c r="AB16" s="464"/>
    </row>
    <row r="17" spans="1:28" s="4" customFormat="1" ht="13.95" customHeight="1">
      <c r="A17"/>
      <c r="B17" s="417"/>
      <c r="C17" s="1684" t="s">
        <v>324</v>
      </c>
      <c r="D17" s="234"/>
      <c r="E17" s="379"/>
      <c r="F17" s="877">
        <f>F18*F19*F20*F21</f>
        <v>0</v>
      </c>
      <c r="G17" s="874"/>
      <c r="H17" s="877">
        <f>H18*H19*H20*H21</f>
        <v>0</v>
      </c>
      <c r="I17" s="874"/>
      <c r="J17" s="877">
        <f>J18*J19*J20*J21</f>
        <v>0</v>
      </c>
      <c r="K17" s="874"/>
      <c r="L17" s="877">
        <f>L18*L19*L20*L21</f>
        <v>0</v>
      </c>
      <c r="M17" s="874"/>
      <c r="N17" s="29"/>
      <c r="O17" s="288">
        <f>F$8</f>
        <v>2025</v>
      </c>
      <c r="P17" s="288">
        <f>H$8</f>
        <v>2026</v>
      </c>
      <c r="Q17" s="288">
        <f>J$8</f>
        <v>2027</v>
      </c>
      <c r="R17" s="288">
        <f>L$8</f>
        <v>2028</v>
      </c>
      <c r="S17" s="320"/>
      <c r="T17" s="320"/>
      <c r="U17" s="320"/>
      <c r="V17" s="320"/>
      <c r="W17" s="320"/>
      <c r="X17" s="320"/>
      <c r="Y17" s="320"/>
      <c r="Z17" s="463"/>
      <c r="AA17" s="463"/>
      <c r="AB17" s="464"/>
    </row>
    <row r="18" spans="1:28" s="50" customFormat="1" ht="13.95" customHeight="1">
      <c r="A18" s="51"/>
      <c r="B18" s="242"/>
      <c r="C18" s="1053" t="s">
        <v>738</v>
      </c>
      <c r="D18" s="236"/>
      <c r="E18" s="280"/>
      <c r="F18" s="878">
        <v>0</v>
      </c>
      <c r="G18" s="879"/>
      <c r="H18" s="878">
        <f>F18+F18*P18</f>
        <v>0</v>
      </c>
      <c r="I18" s="879"/>
      <c r="J18" s="878">
        <f>H18+H18*Q18</f>
        <v>0</v>
      </c>
      <c r="K18" s="879"/>
      <c r="L18" s="878">
        <f>J18+J18*R18</f>
        <v>0</v>
      </c>
      <c r="M18" s="875"/>
      <c r="N18" s="53"/>
      <c r="O18" s="345"/>
      <c r="P18" s="382">
        <v>0.03</v>
      </c>
      <c r="Q18" s="382">
        <f>P18</f>
        <v>0.03</v>
      </c>
      <c r="R18" s="382">
        <f>Q18</f>
        <v>0.03</v>
      </c>
      <c r="S18" s="320" t="s">
        <v>0</v>
      </c>
      <c r="T18" s="320"/>
      <c r="U18" s="320"/>
      <c r="V18" s="320"/>
      <c r="W18" s="320"/>
      <c r="X18" s="320"/>
      <c r="Y18" s="320"/>
      <c r="Z18" s="463"/>
      <c r="AA18" s="463"/>
      <c r="AB18" s="464"/>
    </row>
    <row r="19" spans="1:28" s="50" customFormat="1" ht="13.95" customHeight="1">
      <c r="A19" s="2"/>
      <c r="B19" s="242"/>
      <c r="C19" s="1053" t="s">
        <v>739</v>
      </c>
      <c r="D19" s="236"/>
      <c r="E19" s="280"/>
      <c r="F19" s="595">
        <v>0</v>
      </c>
      <c r="G19" s="875"/>
      <c r="H19" s="595">
        <f>F19</f>
        <v>0</v>
      </c>
      <c r="I19" s="875"/>
      <c r="J19" s="595">
        <f>H19</f>
        <v>0</v>
      </c>
      <c r="K19" s="875"/>
      <c r="L19" s="595">
        <f>J19</f>
        <v>0</v>
      </c>
      <c r="M19" s="875"/>
      <c r="N19" s="53"/>
      <c r="O19" s="378"/>
      <c r="P19" s="320"/>
      <c r="Q19" s="320"/>
      <c r="R19" s="320"/>
      <c r="S19" s="320"/>
      <c r="T19" s="320"/>
      <c r="U19" s="320"/>
      <c r="V19" s="320"/>
      <c r="W19" s="320"/>
      <c r="X19" s="320"/>
      <c r="Y19" s="320"/>
      <c r="Z19" s="463"/>
      <c r="AA19" s="463"/>
      <c r="AB19" s="464"/>
    </row>
    <row r="20" spans="1:28" s="50" customFormat="1" ht="13.95" customHeight="1">
      <c r="A20"/>
      <c r="B20" s="242"/>
      <c r="C20" s="1053" t="s">
        <v>300</v>
      </c>
      <c r="D20" s="234"/>
      <c r="E20" s="235"/>
      <c r="F20" s="876">
        <v>0</v>
      </c>
      <c r="G20" s="875"/>
      <c r="H20" s="876">
        <f>F20</f>
        <v>0</v>
      </c>
      <c r="I20" s="875"/>
      <c r="J20" s="876">
        <f>H20</f>
        <v>0</v>
      </c>
      <c r="K20" s="875"/>
      <c r="L20" s="876">
        <f>J20</f>
        <v>0</v>
      </c>
      <c r="M20" s="875"/>
      <c r="N20" s="53"/>
      <c r="O20" s="378"/>
      <c r="P20" s="320"/>
      <c r="Q20" s="320"/>
      <c r="R20" s="320"/>
      <c r="S20" s="320"/>
      <c r="T20" s="320"/>
      <c r="U20" s="320"/>
      <c r="V20" s="320"/>
      <c r="W20" s="320"/>
      <c r="X20" s="320"/>
      <c r="Y20" s="320"/>
      <c r="Z20" s="463"/>
      <c r="AA20" s="463"/>
      <c r="AB20" s="464"/>
    </row>
    <row r="21" spans="1:28" s="50" customFormat="1" ht="13.95" customHeight="1">
      <c r="A21"/>
      <c r="B21" s="242"/>
      <c r="C21" s="1053" t="s">
        <v>61</v>
      </c>
      <c r="D21" s="234"/>
      <c r="E21" s="235"/>
      <c r="F21" s="876">
        <v>12.5</v>
      </c>
      <c r="G21" s="875"/>
      <c r="H21" s="876">
        <v>12.5</v>
      </c>
      <c r="I21" s="875"/>
      <c r="J21" s="876">
        <f>H21</f>
        <v>12.5</v>
      </c>
      <c r="K21" s="875"/>
      <c r="L21" s="876">
        <f>J21</f>
        <v>12.5</v>
      </c>
      <c r="M21" s="875"/>
      <c r="N21" s="53"/>
      <c r="O21" s="1682" t="s">
        <v>459</v>
      </c>
      <c r="P21" s="151"/>
      <c r="Q21" s="151"/>
      <c r="R21" s="151"/>
      <c r="S21" s="151"/>
      <c r="T21" s="151"/>
      <c r="Y21" s="151"/>
      <c r="Z21" s="510"/>
      <c r="AA21" s="510"/>
      <c r="AB21" s="511"/>
    </row>
    <row r="22" spans="1:28" s="50" customFormat="1" ht="13.95" customHeight="1">
      <c r="A22"/>
      <c r="B22" s="242"/>
      <c r="C22" s="1053" t="s">
        <v>454</v>
      </c>
      <c r="D22" s="234"/>
      <c r="E22" s="235"/>
      <c r="F22" s="595">
        <v>0</v>
      </c>
      <c r="G22" s="875"/>
      <c r="H22" s="595">
        <f>F22+F22*P22</f>
        <v>0</v>
      </c>
      <c r="I22" s="875"/>
      <c r="J22" s="595">
        <f>H22+H22*Q22</f>
        <v>0</v>
      </c>
      <c r="K22" s="875"/>
      <c r="L22" s="595">
        <f>J22+J22*R22</f>
        <v>0</v>
      </c>
      <c r="M22" s="875"/>
      <c r="N22" s="53"/>
      <c r="O22" s="1480"/>
      <c r="P22" s="1481">
        <v>0.03</v>
      </c>
      <c r="Q22" s="1481">
        <f>P22</f>
        <v>0.03</v>
      </c>
      <c r="R22" s="1481">
        <f>Q22</f>
        <v>0.03</v>
      </c>
      <c r="S22" s="320"/>
      <c r="T22" s="320"/>
      <c r="U22" s="320"/>
      <c r="V22" s="320"/>
      <c r="W22" s="320"/>
      <c r="X22" s="320"/>
      <c r="Y22" s="320"/>
      <c r="Z22" s="463"/>
      <c r="AA22" s="463"/>
      <c r="AB22" s="464"/>
    </row>
    <row r="23" spans="1:28" s="50" customFormat="1" ht="13.95" customHeight="1">
      <c r="A23"/>
      <c r="B23" s="242"/>
      <c r="C23" s="1177" t="s">
        <v>633</v>
      </c>
      <c r="D23" s="234"/>
      <c r="E23" s="1077"/>
      <c r="F23" s="1078">
        <v>0.2</v>
      </c>
      <c r="G23" s="875"/>
      <c r="H23" s="1078">
        <f>F23</f>
        <v>0.2</v>
      </c>
      <c r="I23" s="875"/>
      <c r="J23" s="1078">
        <f>H23</f>
        <v>0.2</v>
      </c>
      <c r="K23" s="875"/>
      <c r="L23" s="1078">
        <f>J23</f>
        <v>0.2</v>
      </c>
      <c r="M23" s="875"/>
      <c r="N23" s="53"/>
      <c r="O23" s="378"/>
      <c r="P23" s="320"/>
      <c r="Q23" s="320"/>
      <c r="R23" s="320"/>
      <c r="S23" s="320"/>
      <c r="T23" s="320"/>
      <c r="U23" s="320"/>
      <c r="V23" s="320"/>
      <c r="W23" s="320"/>
      <c r="X23" s="320"/>
      <c r="Y23" s="320"/>
      <c r="Z23" s="463"/>
      <c r="AA23" s="463"/>
      <c r="AB23" s="464"/>
    </row>
    <row r="24" spans="1:28" s="4" customFormat="1" ht="13.95" customHeight="1">
      <c r="A24"/>
      <c r="B24" s="417"/>
      <c r="C24" s="1684" t="s">
        <v>326</v>
      </c>
      <c r="D24" s="234"/>
      <c r="E24" s="379"/>
      <c r="F24" s="877">
        <f>F25*F26*F27</f>
        <v>0</v>
      </c>
      <c r="G24" s="874"/>
      <c r="H24" s="877">
        <f>H25*H26*H27</f>
        <v>0</v>
      </c>
      <c r="I24" s="874"/>
      <c r="J24" s="877">
        <f>J25*J26*J27</f>
        <v>0</v>
      </c>
      <c r="K24" s="874"/>
      <c r="L24" s="877">
        <f>L25*L26*L27</f>
        <v>0</v>
      </c>
      <c r="M24" s="874"/>
      <c r="N24" s="29"/>
      <c r="O24" s="1484"/>
      <c r="S24" s="320"/>
      <c r="T24" s="320"/>
      <c r="U24" s="320"/>
      <c r="V24" s="320"/>
      <c r="W24" s="320"/>
      <c r="X24" s="320"/>
      <c r="Y24" s="320"/>
      <c r="Z24" s="463"/>
      <c r="AA24" s="463"/>
      <c r="AB24" s="464"/>
    </row>
    <row r="25" spans="1:28" s="50" customFormat="1" ht="13.95" customHeight="1">
      <c r="A25"/>
      <c r="B25" s="242"/>
      <c r="C25" s="1053" t="s">
        <v>702</v>
      </c>
      <c r="D25" s="236"/>
      <c r="E25" s="280"/>
      <c r="F25" s="595">
        <v>0</v>
      </c>
      <c r="G25" s="875"/>
      <c r="H25" s="595">
        <f>F25+F25*P25</f>
        <v>0</v>
      </c>
      <c r="I25" s="875"/>
      <c r="J25" s="595">
        <f>H25+H25*Q25</f>
        <v>0</v>
      </c>
      <c r="K25" s="875"/>
      <c r="L25" s="595">
        <f>J25+J25*R25</f>
        <v>0</v>
      </c>
      <c r="M25" s="875"/>
      <c r="N25" s="53"/>
      <c r="O25" s="345"/>
      <c r="P25" s="382">
        <v>0.03</v>
      </c>
      <c r="Q25" s="382">
        <f>P25</f>
        <v>0.03</v>
      </c>
      <c r="R25" s="382">
        <f>Q25</f>
        <v>0.03</v>
      </c>
      <c r="S25" s="320"/>
      <c r="T25" s="320"/>
      <c r="U25" s="320"/>
      <c r="V25" s="320"/>
      <c r="W25" s="320"/>
      <c r="X25" s="320"/>
      <c r="Y25" s="320"/>
      <c r="Z25" s="463"/>
      <c r="AA25" s="463"/>
      <c r="AB25" s="464"/>
    </row>
    <row r="26" spans="1:28" s="50" customFormat="1" ht="13.95" customHeight="1">
      <c r="A26"/>
      <c r="B26" s="242"/>
      <c r="C26" s="1053" t="s">
        <v>325</v>
      </c>
      <c r="D26" s="234"/>
      <c r="E26" s="235"/>
      <c r="F26" s="876">
        <v>0</v>
      </c>
      <c r="G26" s="875"/>
      <c r="H26" s="876">
        <f>F26</f>
        <v>0</v>
      </c>
      <c r="I26" s="875"/>
      <c r="J26" s="876">
        <f>H26</f>
        <v>0</v>
      </c>
      <c r="K26" s="875"/>
      <c r="L26" s="876">
        <f>J26</f>
        <v>0</v>
      </c>
      <c r="M26" s="875"/>
      <c r="N26" s="53"/>
      <c r="O26" s="378"/>
      <c r="P26" s="320"/>
      <c r="Q26" s="320"/>
      <c r="R26" s="320"/>
      <c r="S26" s="320"/>
      <c r="T26" s="320"/>
      <c r="U26" s="320"/>
      <c r="V26" s="320"/>
      <c r="W26" s="320"/>
      <c r="X26" s="320"/>
      <c r="Y26" s="320"/>
      <c r="Z26" s="463"/>
      <c r="AA26" s="463"/>
      <c r="AB26" s="464"/>
    </row>
    <row r="27" spans="1:28" s="50" customFormat="1" ht="13.95" customHeight="1">
      <c r="A27"/>
      <c r="B27" s="242"/>
      <c r="C27" s="1053" t="s">
        <v>61</v>
      </c>
      <c r="D27" s="234"/>
      <c r="E27" s="235"/>
      <c r="F27" s="876">
        <v>12.5</v>
      </c>
      <c r="G27" s="875"/>
      <c r="H27" s="876">
        <v>12.5</v>
      </c>
      <c r="I27" s="875"/>
      <c r="J27" s="876">
        <f>H27</f>
        <v>12.5</v>
      </c>
      <c r="K27" s="875"/>
      <c r="L27" s="876">
        <f>J27</f>
        <v>12.5</v>
      </c>
      <c r="M27" s="875"/>
      <c r="N27" s="53"/>
      <c r="O27" s="1683" t="s">
        <v>459</v>
      </c>
      <c r="P27" s="151"/>
      <c r="Q27" s="151"/>
      <c r="R27" s="151"/>
      <c r="S27" s="151"/>
      <c r="T27" s="151"/>
      <c r="Y27" s="151"/>
      <c r="Z27" s="510"/>
      <c r="AA27" s="510"/>
      <c r="AB27" s="511"/>
    </row>
    <row r="28" spans="1:28" s="50" customFormat="1" ht="13.95" customHeight="1">
      <c r="A28"/>
      <c r="B28" s="242"/>
      <c r="C28" s="1053" t="s">
        <v>454</v>
      </c>
      <c r="D28" s="234"/>
      <c r="E28" s="235"/>
      <c r="F28" s="595">
        <v>0</v>
      </c>
      <c r="G28" s="875"/>
      <c r="H28" s="595">
        <f>F28+F28*P28</f>
        <v>0</v>
      </c>
      <c r="I28" s="875"/>
      <c r="J28" s="595">
        <f>H28+H28*Q28</f>
        <v>0</v>
      </c>
      <c r="K28" s="875"/>
      <c r="L28" s="595">
        <f>J28+J28*R28</f>
        <v>0</v>
      </c>
      <c r="M28" s="875"/>
      <c r="N28" s="53"/>
      <c r="O28" s="345"/>
      <c r="P28" s="382">
        <v>0.03</v>
      </c>
      <c r="Q28" s="382">
        <f>P28</f>
        <v>0.03</v>
      </c>
      <c r="R28" s="382">
        <f>Q28</f>
        <v>0.03</v>
      </c>
      <c r="S28" s="320"/>
      <c r="T28" s="320"/>
      <c r="U28" s="320"/>
      <c r="V28" s="320"/>
      <c r="W28" s="320"/>
      <c r="X28" s="320"/>
      <c r="Y28" s="320"/>
      <c r="Z28" s="463"/>
      <c r="AA28" s="463"/>
      <c r="AB28" s="464"/>
    </row>
    <row r="29" spans="1:28" s="50" customFormat="1" ht="13.95" customHeight="1">
      <c r="A29"/>
      <c r="B29" s="242"/>
      <c r="C29" s="1177" t="s">
        <v>634</v>
      </c>
      <c r="D29" s="234"/>
      <c r="E29" s="250"/>
      <c r="F29" s="1078">
        <v>0.27</v>
      </c>
      <c r="G29" s="882"/>
      <c r="H29" s="1078">
        <f>F29</f>
        <v>0.27</v>
      </c>
      <c r="I29" s="875"/>
      <c r="J29" s="1078">
        <f>H29</f>
        <v>0.27</v>
      </c>
      <c r="K29" s="875"/>
      <c r="L29" s="1078">
        <f>J29</f>
        <v>0.27</v>
      </c>
      <c r="M29" s="875"/>
      <c r="N29" s="53"/>
      <c r="O29" s="378"/>
      <c r="P29" s="320"/>
      <c r="Q29" s="320"/>
      <c r="R29" s="320"/>
      <c r="S29" s="320"/>
      <c r="T29" s="320"/>
      <c r="U29" s="320"/>
      <c r="V29" s="320"/>
      <c r="W29" s="320"/>
      <c r="X29" s="320"/>
      <c r="Y29" s="320"/>
      <c r="Z29" s="463"/>
      <c r="AA29" s="463"/>
      <c r="AB29" s="464"/>
    </row>
    <row r="30" spans="1:28" s="50" customFormat="1" ht="13.95" customHeight="1" thickBot="1">
      <c r="A30"/>
      <c r="B30" s="242"/>
      <c r="C30" s="167" t="s">
        <v>354</v>
      </c>
      <c r="D30" s="234"/>
      <c r="E30" s="250"/>
      <c r="F30" s="880">
        <v>0</v>
      </c>
      <c r="G30" s="881"/>
      <c r="H30" s="880">
        <v>0</v>
      </c>
      <c r="I30" s="881"/>
      <c r="J30" s="880">
        <v>0</v>
      </c>
      <c r="K30" s="881"/>
      <c r="L30" s="880">
        <v>0</v>
      </c>
      <c r="M30" s="882"/>
      <c r="N30" s="53"/>
      <c r="O30" s="378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463"/>
      <c r="AA30" s="463"/>
      <c r="AB30" s="464"/>
    </row>
    <row r="31" spans="1:28" s="1" customFormat="1" ht="13.95" customHeight="1">
      <c r="A31"/>
      <c r="B31" s="1075" t="s">
        <v>3</v>
      </c>
      <c r="C31" s="108" t="s">
        <v>19</v>
      </c>
      <c r="D31" s="237"/>
      <c r="E31" s="233"/>
      <c r="F31" s="883">
        <f>F32+F39+F41+F43+F42</f>
        <v>0</v>
      </c>
      <c r="G31" s="884">
        <f>IF(F$44=0,0,F31/F$44*100)</f>
        <v>0</v>
      </c>
      <c r="H31" s="883">
        <f>H32+H39+H41+H43+H42</f>
        <v>0</v>
      </c>
      <c r="I31" s="884">
        <f>IF(H$44=0,0,H31/H$44*100)</f>
        <v>0</v>
      </c>
      <c r="J31" s="883">
        <f>J32+J39+J41+J43+J42</f>
        <v>0</v>
      </c>
      <c r="K31" s="884">
        <f>IF(J$44=0,0,J31/J$44*100)</f>
        <v>0</v>
      </c>
      <c r="L31" s="883">
        <f>L32+L39+L41+L43+L42</f>
        <v>0</v>
      </c>
      <c r="M31" s="884">
        <f>IF(L$44=0,0,L31/L$44*100)</f>
        <v>0</v>
      </c>
      <c r="N31" s="3"/>
      <c r="O31" s="378"/>
      <c r="P31" s="320"/>
      <c r="Q31" s="320"/>
      <c r="R31" s="320"/>
      <c r="S31" s="320"/>
      <c r="T31" s="320"/>
      <c r="U31" s="320"/>
      <c r="V31" s="320"/>
      <c r="W31" s="320"/>
      <c r="X31" s="320"/>
      <c r="Y31" s="320"/>
      <c r="Z31" s="463"/>
      <c r="AA31" s="463"/>
      <c r="AB31" s="464"/>
    </row>
    <row r="32" spans="1:28" s="4" customFormat="1" ht="13.95" customHeight="1">
      <c r="A32" s="51"/>
      <c r="B32" s="417"/>
      <c r="C32" s="1410" t="s">
        <v>21</v>
      </c>
      <c r="D32" s="239"/>
      <c r="E32" s="238"/>
      <c r="F32" s="877">
        <f>F34+F37+F38</f>
        <v>0</v>
      </c>
      <c r="G32" s="885"/>
      <c r="H32" s="877">
        <f>H34+H37+H38</f>
        <v>0</v>
      </c>
      <c r="I32" s="885"/>
      <c r="J32" s="877">
        <f>J34+J37+J38</f>
        <v>0</v>
      </c>
      <c r="K32" s="885"/>
      <c r="L32" s="877">
        <f>L34+L37+L38</f>
        <v>0</v>
      </c>
      <c r="M32" s="885"/>
      <c r="N32" s="30"/>
      <c r="O32" s="378"/>
      <c r="P32" s="320"/>
      <c r="Q32" s="320"/>
      <c r="R32" s="320"/>
      <c r="S32" s="320"/>
      <c r="T32" s="320"/>
      <c r="U32" s="320"/>
      <c r="V32" s="320"/>
      <c r="W32" s="320"/>
      <c r="X32" s="320"/>
      <c r="Y32" s="320"/>
      <c r="Z32" s="463"/>
      <c r="AA32" s="463"/>
      <c r="AB32" s="464"/>
    </row>
    <row r="33" spans="1:28" s="50" customFormat="1" ht="13.95" customHeight="1">
      <c r="A33" s="2"/>
      <c r="B33" s="242"/>
      <c r="C33" s="1053" t="s">
        <v>504</v>
      </c>
      <c r="D33" s="239"/>
      <c r="E33" s="240"/>
      <c r="F33" s="886">
        <v>0.1734</v>
      </c>
      <c r="G33" s="887"/>
      <c r="H33" s="888">
        <f>F33</f>
        <v>0.1734</v>
      </c>
      <c r="I33" s="889"/>
      <c r="J33" s="888">
        <f>H33</f>
        <v>0.1734</v>
      </c>
      <c r="K33" s="887"/>
      <c r="L33" s="888">
        <f>J33</f>
        <v>0.1734</v>
      </c>
      <c r="M33" s="887"/>
      <c r="N33" s="53"/>
      <c r="O33" s="378"/>
      <c r="P33" s="320"/>
      <c r="Q33" s="320"/>
      <c r="R33" s="320"/>
      <c r="S33" s="320"/>
      <c r="T33" s="320"/>
      <c r="U33" s="320"/>
      <c r="V33" s="320"/>
      <c r="W33" s="320"/>
      <c r="X33" s="320"/>
      <c r="Y33" s="320"/>
      <c r="Z33" s="463"/>
      <c r="AA33" s="463"/>
      <c r="AB33" s="464"/>
    </row>
    <row r="34" spans="1:28" s="50" customFormat="1" ht="13.95" customHeight="1">
      <c r="A34"/>
      <c r="B34" s="242"/>
      <c r="C34" s="1053" t="s">
        <v>505</v>
      </c>
      <c r="D34" s="239"/>
      <c r="E34" s="235"/>
      <c r="F34" s="890">
        <f>(F33)*(F17+F24+F22+F28)</f>
        <v>0</v>
      </c>
      <c r="G34" s="891"/>
      <c r="H34" s="890">
        <f>(H33)*(H17+H24+H22+H28)</f>
        <v>0</v>
      </c>
      <c r="I34" s="892"/>
      <c r="J34" s="890">
        <f>(J33)*(J17+J24+J22+J28)</f>
        <v>0</v>
      </c>
      <c r="K34" s="891"/>
      <c r="L34" s="890">
        <f>(L33)*(L17+L24+L22+L28)</f>
        <v>0</v>
      </c>
      <c r="M34" s="875"/>
      <c r="N34" s="53"/>
      <c r="O34" s="1495"/>
      <c r="P34" s="1156"/>
      <c r="Q34" s="1156"/>
      <c r="R34" s="1156"/>
      <c r="S34" s="320"/>
      <c r="T34" s="320"/>
      <c r="U34" s="320"/>
      <c r="V34" s="320"/>
      <c r="W34" s="320"/>
      <c r="X34" s="320"/>
      <c r="Y34" s="320"/>
      <c r="Z34" s="463"/>
      <c r="AA34" s="463"/>
      <c r="AB34" s="464"/>
    </row>
    <row r="35" spans="1:28" s="50" customFormat="1" ht="13.95" customHeight="1">
      <c r="A35"/>
      <c r="B35" s="242"/>
      <c r="C35" s="1053" t="s">
        <v>327</v>
      </c>
      <c r="D35" s="234"/>
      <c r="E35" s="235"/>
      <c r="F35" s="893">
        <f>(F13+F14)*F15</f>
        <v>0</v>
      </c>
      <c r="G35" s="875"/>
      <c r="H35" s="893">
        <f>F35+F35*P35</f>
        <v>0</v>
      </c>
      <c r="I35" s="894"/>
      <c r="J35" s="893">
        <f>H35+H35*Q35</f>
        <v>0</v>
      </c>
      <c r="K35" s="875"/>
      <c r="L35" s="893">
        <f>J35+J35*R35</f>
        <v>0</v>
      </c>
      <c r="M35" s="875"/>
      <c r="N35" s="53"/>
      <c r="O35" s="345"/>
      <c r="P35" s="382">
        <v>0.03</v>
      </c>
      <c r="Q35" s="382">
        <f>P35</f>
        <v>0.03</v>
      </c>
      <c r="R35" s="382">
        <f>Q35</f>
        <v>0.03</v>
      </c>
      <c r="S35" s="320"/>
      <c r="T35" s="320"/>
      <c r="U35" s="320"/>
      <c r="V35" s="320"/>
      <c r="W35" s="320"/>
      <c r="X35" s="320"/>
      <c r="Y35" s="320"/>
      <c r="Z35" s="463"/>
      <c r="AA35" s="463"/>
      <c r="AB35" s="464"/>
    </row>
    <row r="36" spans="1:28" s="50" customFormat="1" ht="13.95" customHeight="1">
      <c r="A36"/>
      <c r="B36" s="242"/>
      <c r="C36" s="1053" t="s">
        <v>73</v>
      </c>
      <c r="D36" s="239"/>
      <c r="E36" s="240"/>
      <c r="F36" s="886">
        <v>0.24099999999999999</v>
      </c>
      <c r="G36" s="887"/>
      <c r="H36" s="888">
        <f>F36</f>
        <v>0.24099999999999999</v>
      </c>
      <c r="I36" s="889"/>
      <c r="J36" s="888">
        <f>H36</f>
        <v>0.24099999999999999</v>
      </c>
      <c r="K36" s="887"/>
      <c r="L36" s="888">
        <f>J36</f>
        <v>0.24099999999999999</v>
      </c>
      <c r="M36" s="887"/>
      <c r="N36" s="53"/>
      <c r="O36" s="378"/>
      <c r="P36" s="320"/>
      <c r="Q36" s="320"/>
      <c r="R36" s="320"/>
      <c r="S36" s="320"/>
      <c r="T36" s="320"/>
      <c r="U36" s="320"/>
      <c r="V36" s="320"/>
      <c r="W36" s="320"/>
      <c r="X36" s="320"/>
      <c r="Y36" s="320"/>
      <c r="Z36" s="463"/>
      <c r="AA36" s="463"/>
      <c r="AB36" s="464"/>
    </row>
    <row r="37" spans="1:28" s="50" customFormat="1" ht="13.95" customHeight="1">
      <c r="A37"/>
      <c r="B37" s="242"/>
      <c r="C37" s="1053" t="s">
        <v>22</v>
      </c>
      <c r="D37" s="239"/>
      <c r="E37" s="235"/>
      <c r="F37" s="621">
        <f>F35*F36</f>
        <v>0</v>
      </c>
      <c r="G37" s="875"/>
      <c r="H37" s="621">
        <f>H35*H36</f>
        <v>0</v>
      </c>
      <c r="I37" s="894"/>
      <c r="J37" s="621">
        <f>J35*J36</f>
        <v>0</v>
      </c>
      <c r="K37" s="875"/>
      <c r="L37" s="621">
        <f>L35*L36</f>
        <v>0</v>
      </c>
      <c r="M37" s="875"/>
      <c r="N37" s="53"/>
      <c r="O37" s="378"/>
      <c r="P37" s="320"/>
      <c r="Q37" s="320"/>
      <c r="R37" s="320"/>
      <c r="S37" s="320"/>
      <c r="T37" s="320"/>
      <c r="U37" s="320"/>
      <c r="V37" s="320"/>
      <c r="W37" s="320"/>
      <c r="X37" s="320"/>
      <c r="Y37" s="320"/>
      <c r="Z37" s="463"/>
      <c r="AA37" s="463"/>
      <c r="AB37" s="464"/>
    </row>
    <row r="38" spans="1:28" s="50" customFormat="1" ht="13.95" customHeight="1">
      <c r="A38"/>
      <c r="B38" s="242"/>
      <c r="C38" s="1053" t="s">
        <v>23</v>
      </c>
      <c r="D38" s="239"/>
      <c r="E38" s="235"/>
      <c r="F38" s="595">
        <v>0</v>
      </c>
      <c r="G38" s="875"/>
      <c r="H38" s="595">
        <f>F38</f>
        <v>0</v>
      </c>
      <c r="I38" s="894"/>
      <c r="J38" s="595">
        <f>H38</f>
        <v>0</v>
      </c>
      <c r="K38" s="875"/>
      <c r="L38" s="595">
        <f>J38</f>
        <v>0</v>
      </c>
      <c r="M38" s="875"/>
      <c r="N38" s="53"/>
      <c r="O38" s="378" t="s">
        <v>0</v>
      </c>
      <c r="P38" s="320"/>
      <c r="Q38" s="320"/>
      <c r="R38" s="320"/>
      <c r="S38" s="320"/>
      <c r="T38" s="320"/>
      <c r="U38" s="320"/>
      <c r="V38" s="320"/>
      <c r="W38" s="320"/>
      <c r="X38" s="320"/>
      <c r="Y38" s="320"/>
      <c r="Z38" s="463"/>
      <c r="AA38" s="463"/>
      <c r="AB38" s="464"/>
    </row>
    <row r="39" spans="1:28" s="4" customFormat="1" ht="13.95" customHeight="1">
      <c r="A39"/>
      <c r="B39" s="417"/>
      <c r="C39" s="1410" t="s">
        <v>24</v>
      </c>
      <c r="D39" s="492"/>
      <c r="E39" s="238"/>
      <c r="F39" s="895">
        <f>(F40)*(F17+F24+F22+F28)</f>
        <v>0</v>
      </c>
      <c r="G39" s="896"/>
      <c r="H39" s="895">
        <f>(H40)*(H17+H24+H22+H28)</f>
        <v>0</v>
      </c>
      <c r="I39" s="897"/>
      <c r="J39" s="895">
        <f>(J40)*(J17+J24+J22+J28)</f>
        <v>0</v>
      </c>
      <c r="K39" s="896"/>
      <c r="L39" s="895">
        <f>(L40)*(L17+L24+L22+L28)</f>
        <v>0</v>
      </c>
      <c r="M39" s="885"/>
      <c r="N39" s="30"/>
      <c r="O39" s="378"/>
      <c r="P39" s="320"/>
      <c r="Q39" s="320"/>
      <c r="R39" s="320"/>
      <c r="S39" s="320"/>
      <c r="T39" s="320"/>
      <c r="U39" s="320"/>
      <c r="V39" s="320"/>
      <c r="W39" s="320"/>
      <c r="X39" s="320"/>
      <c r="Y39" s="320"/>
      <c r="Z39" s="463"/>
      <c r="AA39" s="463"/>
      <c r="AB39" s="464"/>
    </row>
    <row r="40" spans="1:28" s="50" customFormat="1" ht="13.95" customHeight="1">
      <c r="A40"/>
      <c r="B40" s="242"/>
      <c r="C40" s="1053" t="s">
        <v>506</v>
      </c>
      <c r="D40" s="241"/>
      <c r="E40" s="240"/>
      <c r="F40" s="886">
        <v>2.06E-2</v>
      </c>
      <c r="G40" s="887"/>
      <c r="H40" s="888">
        <f>F40</f>
        <v>2.06E-2</v>
      </c>
      <c r="I40" s="889"/>
      <c r="J40" s="888">
        <f>H40</f>
        <v>2.06E-2</v>
      </c>
      <c r="K40" s="887"/>
      <c r="L40" s="888">
        <f>J40</f>
        <v>2.06E-2</v>
      </c>
      <c r="M40" s="887"/>
      <c r="N40" s="53"/>
      <c r="O40" s="378"/>
      <c r="P40" s="320"/>
      <c r="Q40" s="320"/>
      <c r="R40" s="320"/>
      <c r="S40" s="320"/>
      <c r="T40" s="320"/>
      <c r="U40" s="320"/>
      <c r="V40" s="320"/>
      <c r="W40" s="320"/>
      <c r="X40" s="320"/>
      <c r="Y40" s="320"/>
      <c r="Z40" s="463"/>
      <c r="AA40" s="463"/>
      <c r="AB40" s="464"/>
    </row>
    <row r="41" spans="1:28" s="50" customFormat="1" ht="13.95" customHeight="1">
      <c r="A41"/>
      <c r="B41" s="242"/>
      <c r="C41" s="1685" t="s">
        <v>763</v>
      </c>
      <c r="D41" s="239"/>
      <c r="E41" s="235"/>
      <c r="F41" s="895">
        <f>1.7 %*F35+1.16 %*(F12+F14*F15)</f>
        <v>0</v>
      </c>
      <c r="G41" s="896"/>
      <c r="H41" s="895">
        <f>1.7%*H35+1.16%*(H12+H14*H15)</f>
        <v>0</v>
      </c>
      <c r="I41" s="898"/>
      <c r="J41" s="895">
        <f>1.7%*J35+1.16%*(J12+J14*J15)</f>
        <v>0</v>
      </c>
      <c r="K41" s="896"/>
      <c r="L41" s="895">
        <f>1.7%*L35+1.16%*(L12+L14*L15)</f>
        <v>0</v>
      </c>
      <c r="M41" s="875"/>
      <c r="N41" s="53"/>
      <c r="O41" s="1496"/>
      <c r="P41" s="1497"/>
      <c r="Q41" s="1497"/>
      <c r="R41" s="1497"/>
      <c r="S41" s="320"/>
      <c r="T41" s="320"/>
      <c r="U41" s="320"/>
      <c r="V41" s="320"/>
      <c r="W41" s="320"/>
      <c r="X41" s="320"/>
      <c r="Y41" s="320"/>
      <c r="Z41" s="463"/>
      <c r="AA41" s="463"/>
      <c r="AB41" s="464"/>
    </row>
    <row r="42" spans="1:28" s="50" customFormat="1" ht="13.95" customHeight="1">
      <c r="A42"/>
      <c r="B42" s="242"/>
      <c r="C42" s="1685" t="s">
        <v>703</v>
      </c>
      <c r="D42" s="239"/>
      <c r="E42" s="235"/>
      <c r="F42" s="900">
        <v>0</v>
      </c>
      <c r="G42" s="885"/>
      <c r="H42" s="900">
        <f>F42+F42*P42</f>
        <v>0</v>
      </c>
      <c r="I42" s="899"/>
      <c r="J42" s="900">
        <f>H42+H42*Q42</f>
        <v>0</v>
      </c>
      <c r="K42" s="885"/>
      <c r="L42" s="900">
        <f>J42+J42*R42</f>
        <v>0</v>
      </c>
      <c r="M42" s="875"/>
      <c r="N42" s="53"/>
      <c r="O42" s="345"/>
      <c r="P42" s="382">
        <v>0.03</v>
      </c>
      <c r="Q42" s="382">
        <f>P42</f>
        <v>0.03</v>
      </c>
      <c r="R42" s="382">
        <f>Q42</f>
        <v>0.03</v>
      </c>
      <c r="S42" s="320"/>
      <c r="T42" s="320"/>
      <c r="U42" s="320"/>
      <c r="V42" s="320"/>
      <c r="W42" s="320"/>
      <c r="X42" s="320"/>
      <c r="Y42" s="320"/>
      <c r="Z42" s="463"/>
      <c r="AA42" s="463"/>
      <c r="AB42" s="464"/>
    </row>
    <row r="43" spans="1:28" s="50" customFormat="1" ht="13.95" customHeight="1">
      <c r="A43"/>
      <c r="B43" s="242"/>
      <c r="C43" s="1410" t="s">
        <v>367</v>
      </c>
      <c r="D43" s="239"/>
      <c r="E43" s="235"/>
      <c r="F43" s="900">
        <v>0</v>
      </c>
      <c r="G43" s="885"/>
      <c r="H43" s="900">
        <f>F43+F43*P43</f>
        <v>0</v>
      </c>
      <c r="I43" s="885"/>
      <c r="J43" s="900">
        <f>H43+H43*Q43</f>
        <v>0</v>
      </c>
      <c r="K43" s="885"/>
      <c r="L43" s="900">
        <f>J43+J43*R43</f>
        <v>0</v>
      </c>
      <c r="M43" s="885"/>
      <c r="N43" s="53"/>
      <c r="O43" s="345"/>
      <c r="P43" s="382">
        <v>0.03</v>
      </c>
      <c r="Q43" s="382">
        <f>P43</f>
        <v>0.03</v>
      </c>
      <c r="R43" s="382">
        <f>Q43</f>
        <v>0.03</v>
      </c>
      <c r="S43" s="320"/>
      <c r="T43" s="320"/>
      <c r="U43" s="320"/>
      <c r="V43" s="320"/>
      <c r="W43" s="320"/>
      <c r="X43" s="320"/>
      <c r="Y43" s="320"/>
      <c r="Z43" s="463"/>
      <c r="AA43" s="463"/>
      <c r="AB43" s="464"/>
    </row>
    <row r="44" spans="1:28" s="50" customFormat="1" ht="13.95" customHeight="1" thickBot="1">
      <c r="A44"/>
      <c r="B44" s="242"/>
      <c r="C44" s="47" t="s">
        <v>74</v>
      </c>
      <c r="D44" s="243"/>
      <c r="E44" s="244"/>
      <c r="F44" s="901">
        <f>F31+F11</f>
        <v>0</v>
      </c>
      <c r="G44" s="902">
        <v>100</v>
      </c>
      <c r="H44" s="901">
        <f>H31+H11</f>
        <v>0</v>
      </c>
      <c r="I44" s="902">
        <v>100</v>
      </c>
      <c r="J44" s="901">
        <f>J31+J11</f>
        <v>0</v>
      </c>
      <c r="K44" s="902">
        <v>100</v>
      </c>
      <c r="L44" s="901">
        <f>L31+L11</f>
        <v>0</v>
      </c>
      <c r="M44" s="902">
        <v>100</v>
      </c>
      <c r="N44" s="53"/>
      <c r="O44" s="378"/>
      <c r="P44" s="320"/>
      <c r="Q44" s="320"/>
      <c r="R44" s="320"/>
      <c r="S44" s="320"/>
      <c r="T44" s="320"/>
      <c r="U44" s="320"/>
      <c r="V44" s="320"/>
      <c r="W44" s="320"/>
      <c r="X44" s="320"/>
      <c r="Y44" s="320"/>
      <c r="Z44" s="463"/>
      <c r="AA44" s="463"/>
      <c r="AB44" s="464"/>
    </row>
    <row r="45" spans="1:28" s="1" customFormat="1" ht="13.95" customHeight="1">
      <c r="A45"/>
      <c r="B45" s="1075" t="s">
        <v>4</v>
      </c>
      <c r="C45" s="1081" t="s">
        <v>25</v>
      </c>
      <c r="D45" s="1082">
        <f>D46+D52+D63+D69+D74+D79+D83+D86+D87+D88+D94+D99+D104+D107+D112+D116+D117+D118+D121+D119+D120+D122+D123</f>
        <v>0</v>
      </c>
      <c r="E45" s="884">
        <v>100</v>
      </c>
      <c r="F45" s="871">
        <f>F46+F52+F63+F69+F74+F79+F83+F86+F87+F88+F94+F99+F104+F107+F112+F116+F117+F118+F121+F119+F120+F122+F123</f>
        <v>0</v>
      </c>
      <c r="G45" s="872">
        <v>100</v>
      </c>
      <c r="H45" s="871">
        <f>H46+H52+H63+H69+H74+H79+H83+H86+H87+H88+H94+H99+H104+H107+H112+H116+H117+H118+H121+H119+H120+H122+H123</f>
        <v>0</v>
      </c>
      <c r="I45" s="872">
        <v>100</v>
      </c>
      <c r="J45" s="871">
        <f>J46+J52+J63+J69+J74+J79+J83+J86+J87+J88+J94+J99+J104+J107+J112+J116+J117+J118+J121+J119+J120+J122+J123</f>
        <v>0</v>
      </c>
      <c r="K45" s="872">
        <v>100</v>
      </c>
      <c r="L45" s="871">
        <f>L46+L52+L63+L69+L74+L79+L83+L86+L87+L88+L94+L99+L104+L107+L112+L116+L117+L118+L121+L119+L120+L122+L123</f>
        <v>0</v>
      </c>
      <c r="M45" s="872">
        <v>100</v>
      </c>
      <c r="N45" s="3"/>
      <c r="O45" s="378"/>
      <c r="P45" s="320"/>
      <c r="Q45" s="320"/>
      <c r="R45" s="320"/>
      <c r="S45" s="320"/>
      <c r="T45" s="320"/>
      <c r="U45" s="320"/>
      <c r="V45" s="320"/>
      <c r="W45" s="320"/>
      <c r="X45" s="320"/>
      <c r="Y45" s="320"/>
      <c r="Z45" s="463"/>
      <c r="AA45" s="463"/>
      <c r="AB45" s="464"/>
    </row>
    <row r="46" spans="1:28" s="4" customFormat="1" ht="13.95" customHeight="1">
      <c r="A46"/>
      <c r="B46" s="417" t="s">
        <v>0</v>
      </c>
      <c r="C46" s="1057" t="s">
        <v>26</v>
      </c>
      <c r="D46" s="1080">
        <f>SUM(D47:D51)</f>
        <v>0</v>
      </c>
      <c r="E46" s="914">
        <f>IF(D$45=0,0,100*D46/D$45)</f>
        <v>0</v>
      </c>
      <c r="F46" s="913">
        <f>SUM(F47:F51)</f>
        <v>0</v>
      </c>
      <c r="G46" s="914">
        <f>IF(F$45=0,0,100*F46/F$45)</f>
        <v>0</v>
      </c>
      <c r="H46" s="913">
        <f>SUM(H47:H51)</f>
        <v>0</v>
      </c>
      <c r="I46" s="914">
        <f>IF(H$45=0,0,100*H46/H$45)</f>
        <v>0</v>
      </c>
      <c r="J46" s="913">
        <f>SUM(J47:J51)</f>
        <v>0</v>
      </c>
      <c r="K46" s="914">
        <f>IF(J$45=0,0,100*J46/J$45)</f>
        <v>0</v>
      </c>
      <c r="L46" s="913">
        <f>SUM(L47:L51)</f>
        <v>0</v>
      </c>
      <c r="M46" s="914">
        <f>IF(L$45=0,0,100*L46/L$45)</f>
        <v>0</v>
      </c>
      <c r="N46" s="48"/>
      <c r="O46" s="1498"/>
      <c r="P46" s="316"/>
      <c r="Q46" s="316"/>
      <c r="R46" s="316"/>
      <c r="S46" s="320"/>
      <c r="T46" s="320"/>
      <c r="U46" s="320"/>
      <c r="V46" s="320"/>
      <c r="W46" s="320"/>
      <c r="X46" s="320"/>
      <c r="Y46" s="320"/>
      <c r="Z46" s="463"/>
      <c r="AA46" s="463"/>
      <c r="AB46" s="464"/>
    </row>
    <row r="47" spans="1:28" s="50" customFormat="1" ht="13.95" customHeight="1">
      <c r="A47"/>
      <c r="B47" s="242"/>
      <c r="C47" s="1053" t="s">
        <v>330</v>
      </c>
      <c r="D47" s="1052">
        <v>0</v>
      </c>
      <c r="E47" s="891"/>
      <c r="F47" s="595">
        <f>D47+D47*O47</f>
        <v>0</v>
      </c>
      <c r="G47" s="891"/>
      <c r="H47" s="595">
        <f>F47+F47*P47</f>
        <v>0</v>
      </c>
      <c r="I47" s="891"/>
      <c r="J47" s="595">
        <f>H47+H47*Q47</f>
        <v>0</v>
      </c>
      <c r="K47" s="891"/>
      <c r="L47" s="595">
        <f>J47+J47*R47</f>
        <v>0</v>
      </c>
      <c r="M47" s="891"/>
      <c r="N47" s="54"/>
      <c r="O47" s="382">
        <v>0.03</v>
      </c>
      <c r="P47" s="382">
        <f>O47</f>
        <v>0.03</v>
      </c>
      <c r="Q47" s="382">
        <f t="shared" ref="Q47:R51" si="0">P47</f>
        <v>0.03</v>
      </c>
      <c r="R47" s="382">
        <f t="shared" si="0"/>
        <v>0.03</v>
      </c>
      <c r="S47" s="320"/>
      <c r="T47" s="320"/>
      <c r="U47" s="320"/>
      <c r="V47" s="320"/>
      <c r="W47" s="320"/>
      <c r="X47" s="320"/>
      <c r="Y47" s="320"/>
      <c r="Z47" s="463"/>
      <c r="AA47" s="463"/>
      <c r="AB47" s="464"/>
    </row>
    <row r="48" spans="1:28" s="50" customFormat="1" ht="13.95" customHeight="1">
      <c r="A48"/>
      <c r="B48" s="242"/>
      <c r="C48" s="1053" t="s">
        <v>331</v>
      </c>
      <c r="D48" s="1052">
        <v>0</v>
      </c>
      <c r="E48" s="891"/>
      <c r="F48" s="595">
        <f>D48+D48*O48</f>
        <v>0</v>
      </c>
      <c r="G48" s="891"/>
      <c r="H48" s="595">
        <f>F48+F48*P48</f>
        <v>0</v>
      </c>
      <c r="I48" s="891"/>
      <c r="J48" s="595">
        <f>H48+H48*Q48</f>
        <v>0</v>
      </c>
      <c r="K48" s="891"/>
      <c r="L48" s="595">
        <f>J48+J48*R48</f>
        <v>0</v>
      </c>
      <c r="M48" s="891"/>
      <c r="N48" s="53"/>
      <c r="O48" s="382">
        <v>0.03</v>
      </c>
      <c r="P48" s="382">
        <f>O48</f>
        <v>0.03</v>
      </c>
      <c r="Q48" s="382">
        <f>P48</f>
        <v>0.03</v>
      </c>
      <c r="R48" s="382">
        <f>Q48</f>
        <v>0.03</v>
      </c>
      <c r="S48" s="320"/>
      <c r="T48" s="320"/>
      <c r="U48" s="320"/>
      <c r="V48" s="320"/>
      <c r="W48" s="320"/>
      <c r="X48" s="320"/>
      <c r="Y48" s="320"/>
      <c r="Z48" s="463"/>
      <c r="AA48" s="463"/>
      <c r="AB48" s="464"/>
    </row>
    <row r="49" spans="1:28" s="50" customFormat="1" ht="13.95" customHeight="1">
      <c r="A49"/>
      <c r="B49" s="242"/>
      <c r="C49" s="1053" t="s">
        <v>29</v>
      </c>
      <c r="D49" s="1052">
        <v>0</v>
      </c>
      <c r="E49" s="891"/>
      <c r="F49" s="595">
        <f>D49+D49*O49</f>
        <v>0</v>
      </c>
      <c r="G49" s="891"/>
      <c r="H49" s="595">
        <f>F49+F49*P49</f>
        <v>0</v>
      </c>
      <c r="I49" s="891"/>
      <c r="J49" s="595">
        <f>H49+H49*Q49</f>
        <v>0</v>
      </c>
      <c r="K49" s="891"/>
      <c r="L49" s="595">
        <f>J49+J49*R49</f>
        <v>0</v>
      </c>
      <c r="M49" s="891"/>
      <c r="N49" s="53"/>
      <c r="O49" s="382">
        <v>0.03</v>
      </c>
      <c r="P49" s="382">
        <f>O49</f>
        <v>0.03</v>
      </c>
      <c r="Q49" s="382">
        <f>P49</f>
        <v>0.03</v>
      </c>
      <c r="R49" s="382">
        <f>Q49</f>
        <v>0.03</v>
      </c>
      <c r="S49" s="320"/>
      <c r="T49" s="320" t="s">
        <v>624</v>
      </c>
      <c r="U49" s="320"/>
      <c r="V49" s="320"/>
      <c r="W49" s="320"/>
      <c r="X49" s="320"/>
      <c r="Y49" s="320"/>
      <c r="Z49" s="463"/>
      <c r="AA49" s="463"/>
      <c r="AB49" s="464"/>
    </row>
    <row r="50" spans="1:28" s="50" customFormat="1" ht="13.95" customHeight="1">
      <c r="A50"/>
      <c r="B50" s="242"/>
      <c r="C50" s="1053" t="s">
        <v>30</v>
      </c>
      <c r="D50" s="1052">
        <v>0</v>
      </c>
      <c r="E50" s="891"/>
      <c r="F50" s="595">
        <f>D50+D50*O50</f>
        <v>0</v>
      </c>
      <c r="G50" s="891"/>
      <c r="H50" s="595">
        <f>F50+F50*P50</f>
        <v>0</v>
      </c>
      <c r="I50" s="891"/>
      <c r="J50" s="595">
        <f>H50+H50*Q50</f>
        <v>0</v>
      </c>
      <c r="K50" s="891"/>
      <c r="L50" s="595">
        <f>J50+J50*R50</f>
        <v>0</v>
      </c>
      <c r="M50" s="891"/>
      <c r="N50" s="53"/>
      <c r="O50" s="382">
        <v>0.03</v>
      </c>
      <c r="P50" s="382">
        <f>O50</f>
        <v>0.03</v>
      </c>
      <c r="Q50" s="382">
        <f t="shared" si="0"/>
        <v>0.03</v>
      </c>
      <c r="R50" s="382">
        <f t="shared" si="0"/>
        <v>0.03</v>
      </c>
      <c r="S50" s="320"/>
      <c r="T50" s="320"/>
      <c r="U50" s="320"/>
      <c r="V50" s="320"/>
      <c r="W50" s="320"/>
      <c r="X50" s="320"/>
      <c r="Y50" s="320"/>
      <c r="Z50" s="463"/>
      <c r="AA50" s="463"/>
      <c r="AB50" s="464"/>
    </row>
    <row r="51" spans="1:28" s="50" customFormat="1" ht="13.95" customHeight="1" thickBot="1">
      <c r="A51"/>
      <c r="B51" s="242"/>
      <c r="C51" s="1055" t="s">
        <v>31</v>
      </c>
      <c r="D51" s="1052">
        <v>0</v>
      </c>
      <c r="E51" s="905"/>
      <c r="F51" s="595">
        <f>D51+D51*O51</f>
        <v>0</v>
      </c>
      <c r="G51" s="905"/>
      <c r="H51" s="595">
        <f>F51+F51*P51</f>
        <v>0</v>
      </c>
      <c r="I51" s="905"/>
      <c r="J51" s="906">
        <f>H51+H51*Q51</f>
        <v>0</v>
      </c>
      <c r="K51" s="905"/>
      <c r="L51" s="906">
        <f>J51+J51*R51</f>
        <v>0</v>
      </c>
      <c r="M51" s="905"/>
      <c r="N51" s="53"/>
      <c r="O51" s="382">
        <v>0.03</v>
      </c>
      <c r="P51" s="382">
        <f>O51</f>
        <v>0.03</v>
      </c>
      <c r="Q51" s="382">
        <f t="shared" si="0"/>
        <v>0.03</v>
      </c>
      <c r="R51" s="382">
        <f t="shared" si="0"/>
        <v>0.03</v>
      </c>
      <c r="S51" s="320"/>
      <c r="T51" s="320"/>
      <c r="U51" s="320"/>
      <c r="V51" s="320"/>
      <c r="W51" s="320"/>
      <c r="X51" s="320"/>
      <c r="Y51" s="320"/>
      <c r="Z51" s="463"/>
      <c r="AA51" s="463"/>
      <c r="AB51" s="464"/>
    </row>
    <row r="52" spans="1:28" s="4" customFormat="1" ht="13.95" customHeight="1">
      <c r="A52"/>
      <c r="B52" s="1062" t="s">
        <v>0</v>
      </c>
      <c r="C52" s="1054" t="s">
        <v>27</v>
      </c>
      <c r="D52" s="903">
        <f>SUM(D53:D62)</f>
        <v>0</v>
      </c>
      <c r="E52" s="904">
        <f>IF(D$45=0,0,100*D52/D$45)</f>
        <v>0</v>
      </c>
      <c r="F52" s="903">
        <f>SUM(F53:F62)</f>
        <v>0</v>
      </c>
      <c r="G52" s="904">
        <f>IF(F$45=0,0,100*F52/F$45)</f>
        <v>0</v>
      </c>
      <c r="H52" s="903">
        <f>SUM(H53:H62)</f>
        <v>0</v>
      </c>
      <c r="I52" s="904">
        <f>IF(H$45=0,0,100*H52/H$45)</f>
        <v>0</v>
      </c>
      <c r="J52" s="903">
        <f>SUM(J53:J62)</f>
        <v>0</v>
      </c>
      <c r="K52" s="904">
        <f>IF(J$45=0,0,100*J52/J$45)</f>
        <v>0</v>
      </c>
      <c r="L52" s="903">
        <f>SUM(L53:L62)</f>
        <v>0</v>
      </c>
      <c r="M52" s="904">
        <f>IF(L$45=0,0,100*L52/L$45)</f>
        <v>0</v>
      </c>
      <c r="N52" s="48"/>
      <c r="O52" s="1499"/>
      <c r="P52" s="316"/>
      <c r="Q52" s="316"/>
      <c r="R52" s="316"/>
      <c r="S52" s="320"/>
      <c r="T52" s="320"/>
      <c r="U52" s="320"/>
      <c r="V52" s="320"/>
      <c r="W52" s="320"/>
      <c r="X52" s="320"/>
      <c r="Y52" s="320"/>
      <c r="Z52" s="463"/>
      <c r="AA52" s="463"/>
      <c r="AB52" s="464"/>
    </row>
    <row r="53" spans="1:28" s="50" customFormat="1" ht="13.95" customHeight="1">
      <c r="A53"/>
      <c r="B53" s="1063"/>
      <c r="C53" s="1053" t="s">
        <v>698</v>
      </c>
      <c r="D53" s="595">
        <v>0</v>
      </c>
      <c r="E53" s="891"/>
      <c r="F53" s="595">
        <f>D53+D53*O53</f>
        <v>0</v>
      </c>
      <c r="G53" s="891"/>
      <c r="H53" s="595">
        <f>F53+F53*P53</f>
        <v>0</v>
      </c>
      <c r="I53" s="891"/>
      <c r="J53" s="595">
        <f>H53+H53*Q53</f>
        <v>0</v>
      </c>
      <c r="K53" s="891"/>
      <c r="L53" s="595">
        <f t="shared" ref="L53:L62" si="1">J53+J53*R53</f>
        <v>0</v>
      </c>
      <c r="M53" s="891"/>
      <c r="N53" s="54"/>
      <c r="O53" s="382">
        <v>0.03</v>
      </c>
      <c r="P53" s="382">
        <f t="shared" ref="P53:P62" si="2">O53</f>
        <v>0.03</v>
      </c>
      <c r="Q53" s="382">
        <f t="shared" ref="Q53:R62" si="3">P53</f>
        <v>0.03</v>
      </c>
      <c r="R53" s="382">
        <f t="shared" si="3"/>
        <v>0.03</v>
      </c>
      <c r="S53" s="320"/>
      <c r="T53" s="320"/>
      <c r="U53" s="320"/>
      <c r="V53" s="320"/>
      <c r="W53" s="320"/>
      <c r="X53" s="320"/>
      <c r="Y53" s="320"/>
      <c r="Z53" s="463"/>
      <c r="AA53" s="463"/>
      <c r="AB53" s="464"/>
    </row>
    <row r="54" spans="1:28" s="50" customFormat="1" ht="13.95" customHeight="1">
      <c r="A54" s="51"/>
      <c r="B54" s="242"/>
      <c r="C54" s="1053" t="s">
        <v>32</v>
      </c>
      <c r="D54" s="595">
        <v>0</v>
      </c>
      <c r="E54" s="891"/>
      <c r="F54" s="595">
        <f t="shared" ref="F54:F62" si="4">D54+D54*O54</f>
        <v>0</v>
      </c>
      <c r="G54" s="891"/>
      <c r="H54" s="595">
        <f t="shared" ref="H54:H62" si="5">F54+F54*P54</f>
        <v>0</v>
      </c>
      <c r="I54" s="891"/>
      <c r="J54" s="595">
        <f t="shared" ref="J54:J62" si="6">H54+H54*Q54</f>
        <v>0</v>
      </c>
      <c r="K54" s="891"/>
      <c r="L54" s="595">
        <f t="shared" si="1"/>
        <v>0</v>
      </c>
      <c r="M54" s="891"/>
      <c r="N54" s="55"/>
      <c r="O54" s="382">
        <v>0.03</v>
      </c>
      <c r="P54" s="382">
        <f t="shared" si="2"/>
        <v>0.03</v>
      </c>
      <c r="Q54" s="382">
        <f t="shared" si="3"/>
        <v>0.03</v>
      </c>
      <c r="R54" s="382">
        <f t="shared" si="3"/>
        <v>0.03</v>
      </c>
      <c r="S54" s="320"/>
      <c r="T54" s="320"/>
      <c r="U54" s="320"/>
      <c r="V54" s="320"/>
      <c r="W54" s="320"/>
      <c r="X54" s="320"/>
      <c r="Y54" s="320"/>
      <c r="Z54" s="463"/>
      <c r="AA54" s="463"/>
      <c r="AB54" s="464"/>
    </row>
    <row r="55" spans="1:28" s="50" customFormat="1" ht="13.95" customHeight="1">
      <c r="A55" s="2"/>
      <c r="B55" s="242"/>
      <c r="C55" s="1053" t="s">
        <v>33</v>
      </c>
      <c r="D55" s="595">
        <v>0</v>
      </c>
      <c r="E55" s="891"/>
      <c r="F55" s="595">
        <f t="shared" si="4"/>
        <v>0</v>
      </c>
      <c r="G55" s="891"/>
      <c r="H55" s="595">
        <f t="shared" si="5"/>
        <v>0</v>
      </c>
      <c r="I55" s="891"/>
      <c r="J55" s="595">
        <f t="shared" si="6"/>
        <v>0</v>
      </c>
      <c r="K55" s="891"/>
      <c r="L55" s="595">
        <f t="shared" si="1"/>
        <v>0</v>
      </c>
      <c r="M55" s="891"/>
      <c r="N55" s="55"/>
      <c r="O55" s="382">
        <v>0.03</v>
      </c>
      <c r="P55" s="382">
        <f t="shared" si="2"/>
        <v>0.03</v>
      </c>
      <c r="Q55" s="382">
        <f t="shared" si="3"/>
        <v>0.03</v>
      </c>
      <c r="R55" s="382">
        <f t="shared" si="3"/>
        <v>0.03</v>
      </c>
      <c r="S55" s="320"/>
      <c r="T55" s="320"/>
      <c r="U55" s="320"/>
      <c r="V55" s="320"/>
      <c r="W55" s="320"/>
      <c r="X55" s="320"/>
      <c r="Y55" s="320"/>
      <c r="Z55" s="463"/>
      <c r="AA55" s="463"/>
      <c r="AB55" s="464"/>
    </row>
    <row r="56" spans="1:28" s="50" customFormat="1" ht="13.95" customHeight="1">
      <c r="A56"/>
      <c r="B56" s="242"/>
      <c r="C56" s="1053" t="s">
        <v>34</v>
      </c>
      <c r="D56" s="595">
        <v>0</v>
      </c>
      <c r="E56" s="891"/>
      <c r="F56" s="595">
        <f t="shared" si="4"/>
        <v>0</v>
      </c>
      <c r="G56" s="891"/>
      <c r="H56" s="595">
        <f t="shared" si="5"/>
        <v>0</v>
      </c>
      <c r="I56" s="891"/>
      <c r="J56" s="595">
        <f t="shared" si="6"/>
        <v>0</v>
      </c>
      <c r="K56" s="891"/>
      <c r="L56" s="595">
        <f t="shared" si="1"/>
        <v>0</v>
      </c>
      <c r="M56" s="891"/>
      <c r="N56" s="55"/>
      <c r="O56" s="382">
        <v>0.03</v>
      </c>
      <c r="P56" s="382">
        <f t="shared" si="2"/>
        <v>0.03</v>
      </c>
      <c r="Q56" s="382">
        <f t="shared" si="3"/>
        <v>0.03</v>
      </c>
      <c r="R56" s="382">
        <f t="shared" si="3"/>
        <v>0.03</v>
      </c>
      <c r="S56" s="320"/>
      <c r="T56" s="320"/>
      <c r="U56" s="320" t="s">
        <v>623</v>
      </c>
      <c r="V56" s="320"/>
      <c r="W56" s="320"/>
      <c r="X56" s="320"/>
      <c r="Y56" s="320"/>
      <c r="Z56" s="463"/>
      <c r="AA56" s="463"/>
      <c r="AB56" s="464"/>
    </row>
    <row r="57" spans="1:28" s="50" customFormat="1" ht="13.95" customHeight="1">
      <c r="A57"/>
      <c r="B57" s="242"/>
      <c r="C57" s="1053" t="s">
        <v>337</v>
      </c>
      <c r="D57" s="595">
        <v>0</v>
      </c>
      <c r="E57" s="891"/>
      <c r="F57" s="595">
        <f t="shared" si="4"/>
        <v>0</v>
      </c>
      <c r="G57" s="891"/>
      <c r="H57" s="595">
        <f t="shared" si="5"/>
        <v>0</v>
      </c>
      <c r="I57" s="891"/>
      <c r="J57" s="595">
        <f t="shared" si="6"/>
        <v>0</v>
      </c>
      <c r="K57" s="891"/>
      <c r="L57" s="595">
        <f t="shared" si="1"/>
        <v>0</v>
      </c>
      <c r="M57" s="891"/>
      <c r="N57" s="55"/>
      <c r="O57" s="382">
        <v>0.03</v>
      </c>
      <c r="P57" s="382">
        <f t="shared" si="2"/>
        <v>0.03</v>
      </c>
      <c r="Q57" s="382">
        <f t="shared" si="3"/>
        <v>0.03</v>
      </c>
      <c r="R57" s="382">
        <f t="shared" si="3"/>
        <v>0.03</v>
      </c>
      <c r="S57" s="320"/>
      <c r="T57" s="320"/>
      <c r="U57" s="320"/>
      <c r="V57" s="320"/>
      <c r="W57" s="320"/>
      <c r="X57" s="320"/>
      <c r="Y57" s="320"/>
      <c r="Z57" s="463"/>
      <c r="AA57" s="463"/>
      <c r="AB57" s="464"/>
    </row>
    <row r="58" spans="1:28" s="50" customFormat="1" ht="13.95" customHeight="1">
      <c r="B58" s="242"/>
      <c r="C58" s="1053" t="s">
        <v>338</v>
      </c>
      <c r="D58" s="595">
        <v>0</v>
      </c>
      <c r="E58" s="891"/>
      <c r="F58" s="595">
        <f t="shared" si="4"/>
        <v>0</v>
      </c>
      <c r="G58" s="891"/>
      <c r="H58" s="595">
        <f t="shared" si="5"/>
        <v>0</v>
      </c>
      <c r="I58" s="891"/>
      <c r="J58" s="595">
        <f t="shared" si="6"/>
        <v>0</v>
      </c>
      <c r="K58" s="891"/>
      <c r="L58" s="595">
        <f t="shared" si="1"/>
        <v>0</v>
      </c>
      <c r="M58" s="891"/>
      <c r="N58" s="55"/>
      <c r="O58" s="382">
        <v>0.03</v>
      </c>
      <c r="P58" s="382">
        <f t="shared" si="2"/>
        <v>0.03</v>
      </c>
      <c r="Q58" s="382">
        <f t="shared" si="3"/>
        <v>0.03</v>
      </c>
      <c r="R58" s="382">
        <f t="shared" si="3"/>
        <v>0.03</v>
      </c>
      <c r="S58" s="320"/>
      <c r="T58" s="320"/>
      <c r="U58" s="320"/>
      <c r="V58" s="320"/>
      <c r="W58" s="320"/>
      <c r="X58" s="320"/>
      <c r="Y58" s="320"/>
      <c r="Z58" s="463"/>
      <c r="AA58" s="463"/>
      <c r="AB58" s="464"/>
    </row>
    <row r="59" spans="1:28" s="50" customFormat="1" ht="13.95" customHeight="1">
      <c r="A59" s="4"/>
      <c r="B59" s="242"/>
      <c r="C59" s="1053" t="s">
        <v>28</v>
      </c>
      <c r="D59" s="595">
        <v>0</v>
      </c>
      <c r="E59" s="891"/>
      <c r="F59" s="595">
        <f t="shared" si="4"/>
        <v>0</v>
      </c>
      <c r="G59" s="891"/>
      <c r="H59" s="595">
        <f t="shared" si="5"/>
        <v>0</v>
      </c>
      <c r="I59" s="891"/>
      <c r="J59" s="595">
        <f t="shared" si="6"/>
        <v>0</v>
      </c>
      <c r="K59" s="891"/>
      <c r="L59" s="595">
        <f t="shared" si="1"/>
        <v>0</v>
      </c>
      <c r="M59" s="891"/>
      <c r="N59" s="55"/>
      <c r="O59" s="382">
        <v>0.03</v>
      </c>
      <c r="P59" s="382">
        <f t="shared" si="2"/>
        <v>0.03</v>
      </c>
      <c r="Q59" s="382">
        <f t="shared" si="3"/>
        <v>0.03</v>
      </c>
      <c r="R59" s="382">
        <f t="shared" si="3"/>
        <v>0.03</v>
      </c>
      <c r="S59" s="320"/>
      <c r="T59" s="320"/>
      <c r="U59" s="320"/>
      <c r="V59" s="320"/>
      <c r="W59" s="320"/>
      <c r="X59" s="320"/>
      <c r="Y59" s="320"/>
      <c r="Z59" s="463"/>
      <c r="AA59" s="463"/>
      <c r="AB59" s="464"/>
    </row>
    <row r="60" spans="1:28" s="50" customFormat="1" ht="13.95" customHeight="1">
      <c r="A60" s="4"/>
      <c r="B60" s="242"/>
      <c r="C60" s="1053" t="s">
        <v>339</v>
      </c>
      <c r="D60" s="595">
        <v>0</v>
      </c>
      <c r="E60" s="891"/>
      <c r="F60" s="595">
        <f t="shared" si="4"/>
        <v>0</v>
      </c>
      <c r="G60" s="891"/>
      <c r="H60" s="595">
        <f>F60+F60*P60</f>
        <v>0</v>
      </c>
      <c r="I60" s="891"/>
      <c r="J60" s="595">
        <f>H60+H60*Q60</f>
        <v>0</v>
      </c>
      <c r="K60" s="891"/>
      <c r="L60" s="595">
        <f>J60+J60*R60</f>
        <v>0</v>
      </c>
      <c r="M60" s="891"/>
      <c r="N60" s="55"/>
      <c r="O60" s="382">
        <v>0.03</v>
      </c>
      <c r="P60" s="382">
        <f t="shared" si="2"/>
        <v>0.03</v>
      </c>
      <c r="Q60" s="382">
        <f t="shared" si="3"/>
        <v>0.03</v>
      </c>
      <c r="R60" s="382">
        <f t="shared" si="3"/>
        <v>0.03</v>
      </c>
      <c r="S60" s="320"/>
      <c r="T60" s="320"/>
      <c r="U60" s="320"/>
      <c r="V60" s="320"/>
      <c r="W60" s="320"/>
      <c r="X60" s="320"/>
      <c r="Y60" s="320"/>
      <c r="Z60" s="463"/>
      <c r="AA60" s="463"/>
      <c r="AB60" s="464"/>
    </row>
    <row r="61" spans="1:28" s="50" customFormat="1" ht="13.95" customHeight="1">
      <c r="A61" s="2"/>
      <c r="B61" s="242"/>
      <c r="C61" s="1053" t="s">
        <v>35</v>
      </c>
      <c r="D61" s="595">
        <v>0</v>
      </c>
      <c r="E61" s="891"/>
      <c r="F61" s="595">
        <f t="shared" si="4"/>
        <v>0</v>
      </c>
      <c r="G61" s="891"/>
      <c r="H61" s="595">
        <f t="shared" si="5"/>
        <v>0</v>
      </c>
      <c r="I61" s="891">
        <v>0</v>
      </c>
      <c r="J61" s="595">
        <f t="shared" si="6"/>
        <v>0</v>
      </c>
      <c r="K61" s="891"/>
      <c r="L61" s="595">
        <f t="shared" si="1"/>
        <v>0</v>
      </c>
      <c r="M61" s="891"/>
      <c r="N61" s="55"/>
      <c r="O61" s="382">
        <v>0.03</v>
      </c>
      <c r="P61" s="382">
        <f t="shared" si="2"/>
        <v>0.03</v>
      </c>
      <c r="Q61" s="382">
        <f t="shared" si="3"/>
        <v>0.03</v>
      </c>
      <c r="R61" s="382">
        <f t="shared" si="3"/>
        <v>0.03</v>
      </c>
      <c r="S61" s="320"/>
      <c r="T61" s="320"/>
      <c r="U61" s="320"/>
      <c r="V61" s="320"/>
      <c r="W61" s="320"/>
      <c r="X61" s="320"/>
      <c r="Y61" s="320"/>
      <c r="Z61" s="463"/>
      <c r="AA61" s="463"/>
      <c r="AB61" s="464"/>
    </row>
    <row r="62" spans="1:28" s="50" customFormat="1" ht="13.95" customHeight="1" thickBot="1">
      <c r="A62" s="51"/>
      <c r="B62" s="242"/>
      <c r="C62" s="1056" t="s">
        <v>36</v>
      </c>
      <c r="D62" s="595">
        <v>0</v>
      </c>
      <c r="E62" s="907"/>
      <c r="F62" s="595">
        <f t="shared" si="4"/>
        <v>0</v>
      </c>
      <c r="G62" s="907"/>
      <c r="H62" s="595">
        <f t="shared" si="5"/>
        <v>0</v>
      </c>
      <c r="I62" s="907"/>
      <c r="J62" s="595">
        <f t="shared" si="6"/>
        <v>0</v>
      </c>
      <c r="K62" s="907"/>
      <c r="L62" s="595">
        <f t="shared" si="1"/>
        <v>0</v>
      </c>
      <c r="M62" s="907"/>
      <c r="N62" s="55"/>
      <c r="O62" s="382">
        <v>0.03</v>
      </c>
      <c r="P62" s="382">
        <f t="shared" si="2"/>
        <v>0.03</v>
      </c>
      <c r="Q62" s="382">
        <f t="shared" si="3"/>
        <v>0.03</v>
      </c>
      <c r="R62" s="382">
        <f t="shared" si="3"/>
        <v>0.03</v>
      </c>
      <c r="S62" s="320"/>
      <c r="T62" s="320"/>
      <c r="U62" s="320"/>
      <c r="V62" s="320"/>
      <c r="W62" s="320"/>
      <c r="X62" s="320"/>
      <c r="Y62" s="320"/>
      <c r="Z62" s="463"/>
      <c r="AA62" s="463"/>
      <c r="AB62" s="464"/>
    </row>
    <row r="63" spans="1:28" s="4" customFormat="1" ht="13.95" customHeight="1">
      <c r="A63"/>
      <c r="B63" s="417"/>
      <c r="C63" s="1054" t="s">
        <v>495</v>
      </c>
      <c r="D63" s="903">
        <f>SUM(D64:D68)</f>
        <v>0</v>
      </c>
      <c r="E63" s="904">
        <f>IF(D$45=0,0,100*D63/D$45)</f>
        <v>0</v>
      </c>
      <c r="F63" s="903">
        <f>SUM(F64:F68)</f>
        <v>0</v>
      </c>
      <c r="G63" s="904">
        <f>IF(F$45=0,0,100*F63/F$45)</f>
        <v>0</v>
      </c>
      <c r="H63" s="903">
        <f>SUM(H64:H68)</f>
        <v>0</v>
      </c>
      <c r="I63" s="904">
        <f>IF(H$45=0,0,100*H63/H$45)</f>
        <v>0</v>
      </c>
      <c r="J63" s="903">
        <f>SUM(J64:J68)</f>
        <v>0</v>
      </c>
      <c r="K63" s="904">
        <f>IF(J$45=0,0,100*J63/J$45)</f>
        <v>0</v>
      </c>
      <c r="L63" s="903">
        <f>SUM(L64:L68)</f>
        <v>0</v>
      </c>
      <c r="M63" s="904">
        <f>IF(L$45=0,0,100*L63/L$45)</f>
        <v>0</v>
      </c>
      <c r="N63" s="30"/>
      <c r="O63" s="1499"/>
      <c r="P63" s="316"/>
      <c r="Q63" s="316"/>
      <c r="R63" s="316"/>
      <c r="S63" s="320"/>
      <c r="T63" s="320"/>
      <c r="U63" s="320"/>
      <c r="V63" s="320"/>
      <c r="W63" s="320"/>
      <c r="X63" s="320"/>
      <c r="Y63" s="320"/>
      <c r="Z63" s="463"/>
      <c r="AA63" s="463"/>
      <c r="AB63" s="464"/>
    </row>
    <row r="64" spans="1:28" s="50" customFormat="1" ht="13.95" customHeight="1">
      <c r="A64" s="51"/>
      <c r="B64" s="242"/>
      <c r="C64" s="1053" t="s">
        <v>176</v>
      </c>
      <c r="D64" s="595">
        <v>0</v>
      </c>
      <c r="E64" s="891"/>
      <c r="F64" s="595">
        <f>D64+D64*O64</f>
        <v>0</v>
      </c>
      <c r="G64" s="891"/>
      <c r="H64" s="595">
        <f>F64+F64*Q64</f>
        <v>0</v>
      </c>
      <c r="I64" s="891"/>
      <c r="J64" s="595">
        <f>H64+H64*Q64</f>
        <v>0</v>
      </c>
      <c r="K64" s="891"/>
      <c r="L64" s="595">
        <f>J64+J64*R64</f>
        <v>0</v>
      </c>
      <c r="M64" s="891"/>
      <c r="N64" s="53"/>
      <c r="O64" s="382">
        <v>0.03</v>
      </c>
      <c r="P64" s="382">
        <f>O64</f>
        <v>0.03</v>
      </c>
      <c r="Q64" s="382">
        <f t="shared" ref="Q64:R68" si="7">P64</f>
        <v>0.03</v>
      </c>
      <c r="R64" s="382">
        <f t="shared" si="7"/>
        <v>0.03</v>
      </c>
      <c r="S64" s="320"/>
      <c r="T64" s="320"/>
      <c r="U64" s="320"/>
      <c r="V64" s="320"/>
      <c r="W64" s="320"/>
      <c r="X64" s="320"/>
      <c r="Y64" s="320"/>
      <c r="Z64" s="463"/>
      <c r="AA64" s="463"/>
      <c r="AB64" s="464"/>
    </row>
    <row r="65" spans="2:28" s="50" customFormat="1" ht="13.95" customHeight="1">
      <c r="B65" s="242"/>
      <c r="C65" s="1053" t="s">
        <v>177</v>
      </c>
      <c r="D65" s="595">
        <v>0</v>
      </c>
      <c r="E65" s="891"/>
      <c r="F65" s="595">
        <f>D65+D65*O65</f>
        <v>0</v>
      </c>
      <c r="G65" s="891"/>
      <c r="H65" s="595">
        <f>F65+F65*P65</f>
        <v>0</v>
      </c>
      <c r="I65" s="891"/>
      <c r="J65" s="595">
        <f>H65+H65*Q65</f>
        <v>0</v>
      </c>
      <c r="K65" s="891"/>
      <c r="L65" s="595">
        <f>J65+J65*R65</f>
        <v>0</v>
      </c>
      <c r="M65" s="891"/>
      <c r="N65" s="53"/>
      <c r="O65" s="382">
        <v>0.03</v>
      </c>
      <c r="P65" s="382">
        <f>O65</f>
        <v>0.03</v>
      </c>
      <c r="Q65" s="382">
        <f t="shared" si="7"/>
        <v>0.03</v>
      </c>
      <c r="R65" s="382">
        <f t="shared" si="7"/>
        <v>0.03</v>
      </c>
      <c r="S65" s="320"/>
      <c r="T65" s="320"/>
      <c r="U65" s="320"/>
      <c r="V65" s="320"/>
      <c r="W65" s="320"/>
      <c r="X65" s="320"/>
      <c r="Y65" s="320"/>
      <c r="Z65" s="463"/>
      <c r="AA65" s="463"/>
      <c r="AB65" s="464"/>
    </row>
    <row r="66" spans="2:28" s="50" customFormat="1" ht="13.95" customHeight="1">
      <c r="B66" s="242"/>
      <c r="C66" s="1053" t="s">
        <v>38</v>
      </c>
      <c r="D66" s="595">
        <v>0</v>
      </c>
      <c r="E66" s="891"/>
      <c r="F66" s="595">
        <f>D66+D66*O66</f>
        <v>0</v>
      </c>
      <c r="G66" s="891"/>
      <c r="H66" s="595">
        <f>F66+F66*P66</f>
        <v>0</v>
      </c>
      <c r="I66" s="891"/>
      <c r="J66" s="595">
        <f>H66+H66*Q66</f>
        <v>0</v>
      </c>
      <c r="K66" s="891"/>
      <c r="L66" s="595">
        <f>J66+J66*R66</f>
        <v>0</v>
      </c>
      <c r="M66" s="891"/>
      <c r="N66" s="53"/>
      <c r="O66" s="382">
        <v>0.03</v>
      </c>
      <c r="P66" s="382">
        <f>O66</f>
        <v>0.03</v>
      </c>
      <c r="Q66" s="382">
        <f t="shared" si="7"/>
        <v>0.03</v>
      </c>
      <c r="R66" s="382">
        <f t="shared" si="7"/>
        <v>0.03</v>
      </c>
      <c r="S66" s="320"/>
      <c r="T66" s="320"/>
      <c r="U66" s="320"/>
      <c r="V66" s="320"/>
      <c r="W66" s="320"/>
      <c r="X66" s="320"/>
      <c r="Y66" s="320"/>
      <c r="Z66" s="463"/>
      <c r="AA66" s="463"/>
      <c r="AB66" s="464"/>
    </row>
    <row r="67" spans="2:28" s="50" customFormat="1" ht="13.95" customHeight="1">
      <c r="B67" s="242"/>
      <c r="C67" s="1053" t="s">
        <v>180</v>
      </c>
      <c r="D67" s="595">
        <v>0</v>
      </c>
      <c r="E67" s="891"/>
      <c r="F67" s="595">
        <f>D67+D67*O67</f>
        <v>0</v>
      </c>
      <c r="G67" s="891"/>
      <c r="H67" s="595">
        <f>F67+F67*P67</f>
        <v>0</v>
      </c>
      <c r="I67" s="891"/>
      <c r="J67" s="595">
        <f>H67+H67*Q67</f>
        <v>0</v>
      </c>
      <c r="K67" s="891"/>
      <c r="L67" s="595">
        <f>J67+J67*R67</f>
        <v>0</v>
      </c>
      <c r="M67" s="891"/>
      <c r="N67" s="53"/>
      <c r="O67" s="382">
        <v>0.03</v>
      </c>
      <c r="P67" s="382">
        <f>O67</f>
        <v>0.03</v>
      </c>
      <c r="Q67" s="382">
        <f t="shared" si="7"/>
        <v>0.03</v>
      </c>
      <c r="R67" s="382">
        <f t="shared" si="7"/>
        <v>0.03</v>
      </c>
      <c r="S67" s="320"/>
      <c r="T67" s="320"/>
      <c r="U67" s="320"/>
      <c r="V67" s="320"/>
      <c r="W67" s="320"/>
      <c r="X67" s="320"/>
      <c r="Y67" s="320"/>
      <c r="Z67" s="463"/>
      <c r="AA67" s="463"/>
      <c r="AB67" s="464"/>
    </row>
    <row r="68" spans="2:28" s="50" customFormat="1" ht="13.95" customHeight="1" thickBot="1">
      <c r="B68" s="1064"/>
      <c r="C68" s="1056" t="s">
        <v>496</v>
      </c>
      <c r="D68" s="595">
        <v>0</v>
      </c>
      <c r="E68" s="907"/>
      <c r="F68" s="595">
        <f>D68+D68*O68</f>
        <v>0</v>
      </c>
      <c r="G68" s="907"/>
      <c r="H68" s="595">
        <f>F68+F68*P68</f>
        <v>0</v>
      </c>
      <c r="I68" s="907"/>
      <c r="J68" s="595">
        <f>H68+H68*Q68</f>
        <v>0</v>
      </c>
      <c r="K68" s="907"/>
      <c r="L68" s="595">
        <f>J68+J68*R68</f>
        <v>0</v>
      </c>
      <c r="M68" s="907"/>
      <c r="N68" s="53"/>
      <c r="O68" s="382">
        <v>0.03</v>
      </c>
      <c r="P68" s="382">
        <f>O68</f>
        <v>0.03</v>
      </c>
      <c r="Q68" s="382">
        <f t="shared" si="7"/>
        <v>0.03</v>
      </c>
      <c r="R68" s="382">
        <f t="shared" si="7"/>
        <v>0.03</v>
      </c>
      <c r="S68" s="465"/>
      <c r="T68" s="465"/>
      <c r="U68" s="465"/>
      <c r="V68" s="465"/>
      <c r="W68" s="465"/>
      <c r="X68" s="465"/>
      <c r="Y68" s="465"/>
      <c r="Z68" s="466"/>
      <c r="AA68" s="466"/>
      <c r="AB68" s="467"/>
    </row>
    <row r="69" spans="2:28" s="4" customFormat="1" ht="13.95" customHeight="1">
      <c r="B69" s="417"/>
      <c r="C69" s="1054" t="s">
        <v>63</v>
      </c>
      <c r="D69" s="903">
        <f>SUM(D70:D73)</f>
        <v>0</v>
      </c>
      <c r="E69" s="904">
        <f>IF(D$45=0,0,100*D69/D$45)</f>
        <v>0</v>
      </c>
      <c r="F69" s="903">
        <f>SUM(F70:F73)</f>
        <v>0</v>
      </c>
      <c r="G69" s="904">
        <f>IF(F$45=0,0,100*F69/F$45)</f>
        <v>0</v>
      </c>
      <c r="H69" s="903">
        <f>SUM(H70:H73)</f>
        <v>0</v>
      </c>
      <c r="I69" s="904">
        <f>IF(H$45=0,0,100*H69/H$45)</f>
        <v>0</v>
      </c>
      <c r="J69" s="903">
        <f>SUM(J70:J73)</f>
        <v>0</v>
      </c>
      <c r="K69" s="904">
        <f>IF(J$45=0,0,100*J69/J$45)</f>
        <v>0</v>
      </c>
      <c r="L69" s="903">
        <f>SUM(L70:L73)</f>
        <v>0</v>
      </c>
      <c r="M69" s="904">
        <f>IF(L$45=0,0,100*L69/L$45)</f>
        <v>0</v>
      </c>
      <c r="N69" s="30"/>
      <c r="O69" s="1499"/>
      <c r="P69" s="316"/>
      <c r="Q69" s="316"/>
      <c r="R69" s="316"/>
      <c r="S69" s="320"/>
      <c r="T69" s="320"/>
      <c r="U69" s="320"/>
      <c r="V69" s="320"/>
      <c r="W69" s="320"/>
      <c r="X69" s="320"/>
      <c r="Y69" s="320"/>
      <c r="Z69" s="463"/>
      <c r="AA69" s="463"/>
      <c r="AB69" s="464"/>
    </row>
    <row r="70" spans="2:28" s="50" customFormat="1" ht="13.95" customHeight="1">
      <c r="B70" s="242"/>
      <c r="C70" s="1053" t="s">
        <v>322</v>
      </c>
      <c r="D70" s="595">
        <v>0</v>
      </c>
      <c r="E70" s="891"/>
      <c r="F70" s="595">
        <f>D70+D70*O70</f>
        <v>0</v>
      </c>
      <c r="G70" s="891"/>
      <c r="H70" s="595">
        <f>F70+F70*P70</f>
        <v>0</v>
      </c>
      <c r="I70" s="891"/>
      <c r="J70" s="595">
        <f>H70+H70*Q70</f>
        <v>0</v>
      </c>
      <c r="K70" s="891"/>
      <c r="L70" s="595">
        <f>J70+J70*R70</f>
        <v>0</v>
      </c>
      <c r="M70" s="891"/>
      <c r="N70" s="53"/>
      <c r="O70" s="382">
        <v>0.03</v>
      </c>
      <c r="P70" s="382">
        <f t="shared" ref="P70" si="8">O70</f>
        <v>0.03</v>
      </c>
      <c r="Q70" s="382">
        <f t="shared" ref="Q70:R73" si="9">P70</f>
        <v>0.03</v>
      </c>
      <c r="R70" s="382">
        <f t="shared" si="9"/>
        <v>0.03</v>
      </c>
      <c r="S70" s="320"/>
      <c r="T70" s="320"/>
      <c r="U70" s="320"/>
      <c r="V70" s="320"/>
      <c r="W70" s="320"/>
      <c r="X70" s="320"/>
      <c r="Y70" s="320"/>
      <c r="Z70" s="463"/>
      <c r="AA70" s="463"/>
      <c r="AB70" s="464"/>
    </row>
    <row r="71" spans="2:28" s="50" customFormat="1" ht="13.95" customHeight="1">
      <c r="B71" s="242"/>
      <c r="C71" s="1053" t="s">
        <v>37</v>
      </c>
      <c r="D71" s="595">
        <v>0</v>
      </c>
      <c r="E71" s="891"/>
      <c r="F71" s="595">
        <f>D71+D71*O71</f>
        <v>0</v>
      </c>
      <c r="G71" s="891"/>
      <c r="H71" s="595">
        <f>F71+F71*P71</f>
        <v>0</v>
      </c>
      <c r="I71" s="891"/>
      <c r="J71" s="595">
        <f>H71+H71*Q71</f>
        <v>0</v>
      </c>
      <c r="K71" s="891"/>
      <c r="L71" s="595">
        <f>J71+J71*R71</f>
        <v>0</v>
      </c>
      <c r="M71" s="891"/>
      <c r="N71" s="53"/>
      <c r="O71" s="382">
        <v>0.03</v>
      </c>
      <c r="P71" s="382">
        <f>O71</f>
        <v>0.03</v>
      </c>
      <c r="Q71" s="382">
        <f t="shared" si="9"/>
        <v>0.03</v>
      </c>
      <c r="R71" s="382">
        <f t="shared" si="9"/>
        <v>0.03</v>
      </c>
      <c r="S71" s="320"/>
      <c r="T71" s="320"/>
      <c r="U71" s="320"/>
      <c r="V71" s="320"/>
      <c r="W71" s="320"/>
      <c r="X71" s="320"/>
      <c r="Y71" s="320"/>
      <c r="Z71" s="463"/>
      <c r="AA71" s="463"/>
      <c r="AB71" s="464"/>
    </row>
    <row r="72" spans="2:28" s="50" customFormat="1" ht="13.95" customHeight="1">
      <c r="B72" s="242"/>
      <c r="C72" s="1053" t="s">
        <v>630</v>
      </c>
      <c r="D72" s="595">
        <v>0</v>
      </c>
      <c r="E72" s="891"/>
      <c r="F72" s="595">
        <f>D72+D72*O72</f>
        <v>0</v>
      </c>
      <c r="G72" s="891"/>
      <c r="H72" s="595">
        <f>F72+F72*P72</f>
        <v>0</v>
      </c>
      <c r="I72" s="891"/>
      <c r="J72" s="595">
        <f>H72+H72*Q72</f>
        <v>0</v>
      </c>
      <c r="K72" s="891"/>
      <c r="L72" s="595">
        <f>J72+J72*R72</f>
        <v>0</v>
      </c>
      <c r="M72" s="891"/>
      <c r="N72" s="53"/>
      <c r="O72" s="382">
        <v>0.03</v>
      </c>
      <c r="P72" s="382">
        <f>O72</f>
        <v>0.03</v>
      </c>
      <c r="Q72" s="382">
        <f t="shared" si="9"/>
        <v>0.03</v>
      </c>
      <c r="R72" s="382">
        <f t="shared" si="9"/>
        <v>0.03</v>
      </c>
      <c r="S72" s="320"/>
      <c r="T72" s="320"/>
      <c r="U72" s="320"/>
      <c r="V72" s="320"/>
      <c r="W72" s="320"/>
      <c r="X72" s="320"/>
      <c r="Y72" s="320"/>
      <c r="Z72" s="463"/>
      <c r="AA72" s="463"/>
      <c r="AB72" s="464"/>
    </row>
    <row r="73" spans="2:28" s="50" customFormat="1" ht="13.95" customHeight="1" thickBot="1">
      <c r="B73" s="242"/>
      <c r="C73" s="1056" t="s">
        <v>507</v>
      </c>
      <c r="D73" s="595">
        <v>0</v>
      </c>
      <c r="E73" s="907"/>
      <c r="F73" s="595">
        <f>D73+D73*O73</f>
        <v>0</v>
      </c>
      <c r="G73" s="907"/>
      <c r="H73" s="595">
        <f>F73+F73*P73</f>
        <v>0</v>
      </c>
      <c r="I73" s="907"/>
      <c r="J73" s="589">
        <f>H73+H73*Q73</f>
        <v>0</v>
      </c>
      <c r="K73" s="907"/>
      <c r="L73" s="589">
        <f>J73+J73*R73</f>
        <v>0</v>
      </c>
      <c r="M73" s="907"/>
      <c r="N73" s="53"/>
      <c r="O73" s="382">
        <v>0.03</v>
      </c>
      <c r="P73" s="382">
        <f>O73</f>
        <v>0.03</v>
      </c>
      <c r="Q73" s="382">
        <f t="shared" si="9"/>
        <v>0.03</v>
      </c>
      <c r="R73" s="382">
        <f t="shared" si="9"/>
        <v>0.03</v>
      </c>
      <c r="S73" s="320"/>
      <c r="T73" s="320"/>
      <c r="U73" s="320"/>
      <c r="V73" s="320"/>
      <c r="W73" s="320"/>
      <c r="X73" s="320"/>
      <c r="Y73" s="320"/>
      <c r="Z73" s="463"/>
      <c r="AA73" s="463"/>
      <c r="AB73" s="464"/>
    </row>
    <row r="74" spans="2:28" s="4" customFormat="1" ht="13.95" customHeight="1">
      <c r="B74" s="417"/>
      <c r="C74" s="1057" t="s">
        <v>497</v>
      </c>
      <c r="D74" s="903">
        <f>SUM(D75:D78)</f>
        <v>0</v>
      </c>
      <c r="E74" s="904">
        <f>IF(D$45=0,0,100*D74/D$45)</f>
        <v>0</v>
      </c>
      <c r="F74" s="903">
        <f>SUM(F75:F78)</f>
        <v>0</v>
      </c>
      <c r="G74" s="904">
        <f>IF(F$45=0,0,100*F74/F$45)</f>
        <v>0</v>
      </c>
      <c r="H74" s="903">
        <f>SUM(H75:H78)</f>
        <v>0</v>
      </c>
      <c r="I74" s="904">
        <f>IF(H$45=0,0,100*H74/H$45)</f>
        <v>0</v>
      </c>
      <c r="J74" s="903">
        <f>SUM(J75:J78)</f>
        <v>0</v>
      </c>
      <c r="K74" s="904">
        <f>IF(J$45=0,0,100*J74/J$45)</f>
        <v>0</v>
      </c>
      <c r="L74" s="903">
        <f>SUM(L75:L78)</f>
        <v>0</v>
      </c>
      <c r="M74" s="908">
        <f>IF(L$45=0,0,100*L74/L$45)</f>
        <v>0</v>
      </c>
      <c r="N74" s="30"/>
      <c r="O74" s="1499"/>
      <c r="P74" s="316"/>
      <c r="Q74" s="316"/>
      <c r="R74" s="316"/>
      <c r="S74" s="320"/>
      <c r="T74" s="320"/>
      <c r="U74" s="320"/>
      <c r="V74" s="320"/>
      <c r="W74" s="320"/>
      <c r="X74" s="320"/>
      <c r="Y74" s="320"/>
      <c r="Z74" s="463"/>
      <c r="AA74" s="463"/>
      <c r="AB74" s="464"/>
    </row>
    <row r="75" spans="2:28" s="50" customFormat="1" ht="13.95" customHeight="1">
      <c r="B75" s="242"/>
      <c r="C75" s="1053" t="s">
        <v>163</v>
      </c>
      <c r="D75" s="595">
        <v>0</v>
      </c>
      <c r="E75" s="891"/>
      <c r="F75" s="595">
        <f>D75+D75*O75</f>
        <v>0</v>
      </c>
      <c r="G75" s="891"/>
      <c r="H75" s="595">
        <f>F75+F75*P75</f>
        <v>0</v>
      </c>
      <c r="I75" s="891"/>
      <c r="J75" s="595">
        <f>H75+H75*Q75</f>
        <v>0</v>
      </c>
      <c r="K75" s="891"/>
      <c r="L75" s="595">
        <f>J75+J75*R75</f>
        <v>0</v>
      </c>
      <c r="M75" s="891"/>
      <c r="N75" s="53"/>
      <c r="O75" s="382">
        <v>0.03</v>
      </c>
      <c r="P75" s="382">
        <f t="shared" ref="P75" si="10">O75</f>
        <v>0.03</v>
      </c>
      <c r="Q75" s="382">
        <f t="shared" ref="Q75:R78" si="11">P75</f>
        <v>0.03</v>
      </c>
      <c r="R75" s="382">
        <f t="shared" si="11"/>
        <v>0.03</v>
      </c>
      <c r="S75" s="320"/>
      <c r="T75" s="320"/>
      <c r="U75" s="320"/>
      <c r="V75" s="320"/>
      <c r="W75" s="320"/>
      <c r="X75" s="320"/>
      <c r="Y75" s="320"/>
      <c r="Z75" s="463"/>
      <c r="AA75" s="463"/>
      <c r="AB75" s="464"/>
    </row>
    <row r="76" spans="2:28" s="50" customFormat="1" ht="13.95" customHeight="1">
      <c r="B76" s="242"/>
      <c r="C76" s="1053" t="s">
        <v>38</v>
      </c>
      <c r="D76" s="595">
        <v>0</v>
      </c>
      <c r="E76" s="891"/>
      <c r="F76" s="595">
        <f>D76+D76*O76</f>
        <v>0</v>
      </c>
      <c r="G76" s="891"/>
      <c r="H76" s="595">
        <f>F76+F76*P76</f>
        <v>0</v>
      </c>
      <c r="I76" s="891"/>
      <c r="J76" s="595">
        <f>H76+H76*Q76</f>
        <v>0</v>
      </c>
      <c r="K76" s="891"/>
      <c r="L76" s="595">
        <f>J76+J76*R76</f>
        <v>0</v>
      </c>
      <c r="M76" s="891"/>
      <c r="N76" s="53"/>
      <c r="O76" s="382">
        <v>0.03</v>
      </c>
      <c r="P76" s="382">
        <f>O76</f>
        <v>0.03</v>
      </c>
      <c r="Q76" s="382">
        <f t="shared" si="11"/>
        <v>0.03</v>
      </c>
      <c r="R76" s="382">
        <f t="shared" si="11"/>
        <v>0.03</v>
      </c>
      <c r="S76" s="320"/>
      <c r="T76" s="320"/>
      <c r="U76" s="320"/>
      <c r="V76" s="320"/>
      <c r="W76" s="320"/>
      <c r="X76" s="320"/>
      <c r="Y76" s="320"/>
      <c r="Z76" s="463"/>
      <c r="AA76" s="463"/>
      <c r="AB76" s="464"/>
    </row>
    <row r="77" spans="2:28" s="50" customFormat="1" ht="13.95" customHeight="1">
      <c r="B77" s="242"/>
      <c r="C77" s="1053" t="s">
        <v>631</v>
      </c>
      <c r="D77" s="595">
        <v>0</v>
      </c>
      <c r="E77" s="891"/>
      <c r="F77" s="595">
        <f>D77+D77*O77</f>
        <v>0</v>
      </c>
      <c r="G77" s="891"/>
      <c r="H77" s="595">
        <f>F77+F77*P77</f>
        <v>0</v>
      </c>
      <c r="I77" s="891"/>
      <c r="J77" s="595">
        <f>H77+H77*Q77</f>
        <v>0</v>
      </c>
      <c r="K77" s="891"/>
      <c r="L77" s="595">
        <f>J77+J77*R77</f>
        <v>0</v>
      </c>
      <c r="M77" s="891"/>
      <c r="N77" s="53"/>
      <c r="O77" s="382">
        <v>0.03</v>
      </c>
      <c r="P77" s="382">
        <f>O77</f>
        <v>0.03</v>
      </c>
      <c r="Q77" s="382">
        <f t="shared" si="11"/>
        <v>0.03</v>
      </c>
      <c r="R77" s="382">
        <f t="shared" si="11"/>
        <v>0.03</v>
      </c>
      <c r="S77" s="320"/>
      <c r="T77" s="320"/>
      <c r="U77" s="320"/>
      <c r="V77" s="320"/>
      <c r="W77" s="320"/>
      <c r="X77" s="320"/>
      <c r="Y77" s="320"/>
      <c r="Z77" s="463"/>
      <c r="AA77" s="463"/>
      <c r="AB77" s="464"/>
    </row>
    <row r="78" spans="2:28" s="50" customFormat="1" ht="13.95" customHeight="1" thickBot="1">
      <c r="B78" s="242"/>
      <c r="C78" s="1056" t="s">
        <v>39</v>
      </c>
      <c r="D78" s="595">
        <v>0</v>
      </c>
      <c r="E78" s="907"/>
      <c r="F78" s="595">
        <f>D78+D78*O78</f>
        <v>0</v>
      </c>
      <c r="G78" s="907"/>
      <c r="H78" s="595">
        <f>F78+F78*P78</f>
        <v>0</v>
      </c>
      <c r="I78" s="907"/>
      <c r="J78" s="595">
        <f>H78+H78*Q78</f>
        <v>0</v>
      </c>
      <c r="K78" s="907"/>
      <c r="L78" s="595">
        <f>J78+J78*R78</f>
        <v>0</v>
      </c>
      <c r="M78" s="907"/>
      <c r="N78" s="53"/>
      <c r="O78" s="382">
        <v>0.03</v>
      </c>
      <c r="P78" s="382">
        <f>O78</f>
        <v>0.03</v>
      </c>
      <c r="Q78" s="382">
        <f t="shared" si="11"/>
        <v>0.03</v>
      </c>
      <c r="R78" s="382">
        <f t="shared" si="11"/>
        <v>0.03</v>
      </c>
      <c r="S78" s="320"/>
      <c r="T78" s="320"/>
      <c r="U78" s="320"/>
      <c r="V78" s="320"/>
      <c r="W78" s="320"/>
      <c r="X78" s="320"/>
      <c r="Y78" s="320"/>
      <c r="Z78" s="463"/>
      <c r="AA78" s="463"/>
      <c r="AB78" s="464"/>
    </row>
    <row r="79" spans="2:28" s="4" customFormat="1" ht="13.95" customHeight="1">
      <c r="B79" s="417"/>
      <c r="C79" s="1054" t="s">
        <v>64</v>
      </c>
      <c r="D79" s="903">
        <f>SUM(D80:D82)</f>
        <v>0</v>
      </c>
      <c r="E79" s="904">
        <f>IF(D$45=0,0,100*D79/D$45)</f>
        <v>0</v>
      </c>
      <c r="F79" s="903">
        <f>SUM(F80:F82)</f>
        <v>0</v>
      </c>
      <c r="G79" s="904">
        <f>IF(F$45=0,0,100*F79/F$45)</f>
        <v>0</v>
      </c>
      <c r="H79" s="903">
        <f>SUM(H80:H82)</f>
        <v>0</v>
      </c>
      <c r="I79" s="904">
        <f>IF(H$45=0,0,100*H79/H$45)</f>
        <v>0</v>
      </c>
      <c r="J79" s="903">
        <f>SUM(J80:J82)</f>
        <v>0</v>
      </c>
      <c r="K79" s="904">
        <f>IF(J$45=0,0,100*J79/J$45)</f>
        <v>0</v>
      </c>
      <c r="L79" s="903">
        <f>SUM(L80:L82)</f>
        <v>0</v>
      </c>
      <c r="M79" s="904">
        <f>IF(L$45=0,0,100*L79/L$45)</f>
        <v>0</v>
      </c>
      <c r="N79" s="30"/>
      <c r="O79" s="1499"/>
      <c r="P79" s="316"/>
      <c r="Q79" s="316"/>
      <c r="R79" s="316"/>
      <c r="S79" s="320"/>
      <c r="T79" s="320"/>
      <c r="U79" s="320"/>
      <c r="V79" s="320"/>
      <c r="W79" s="320"/>
      <c r="X79" s="320"/>
      <c r="Y79" s="320"/>
      <c r="Z79" s="463"/>
      <c r="AA79" s="463"/>
      <c r="AB79" s="464"/>
    </row>
    <row r="80" spans="2:28" s="50" customFormat="1" ht="13.95" customHeight="1">
      <c r="B80" s="242"/>
      <c r="C80" s="1053" t="s">
        <v>40</v>
      </c>
      <c r="D80" s="595">
        <v>0</v>
      </c>
      <c r="E80" s="891"/>
      <c r="F80" s="595">
        <f>D80+D80*O80</f>
        <v>0</v>
      </c>
      <c r="G80" s="891"/>
      <c r="H80" s="595">
        <f>F80+F80*P80</f>
        <v>0</v>
      </c>
      <c r="I80" s="891"/>
      <c r="J80" s="595">
        <f>H80+H80*Q80</f>
        <v>0</v>
      </c>
      <c r="K80" s="891"/>
      <c r="L80" s="595">
        <f>J80+J80*R80</f>
        <v>0</v>
      </c>
      <c r="M80" s="891"/>
      <c r="N80" s="53"/>
      <c r="O80" s="382">
        <v>0.03</v>
      </c>
      <c r="P80" s="382">
        <f>O80</f>
        <v>0.03</v>
      </c>
      <c r="Q80" s="382">
        <f t="shared" ref="Q80:R82" si="12">P80</f>
        <v>0.03</v>
      </c>
      <c r="R80" s="382">
        <f t="shared" si="12"/>
        <v>0.03</v>
      </c>
      <c r="S80" s="320"/>
      <c r="T80" s="320"/>
      <c r="U80" s="320"/>
      <c r="V80" s="320"/>
      <c r="W80" s="320"/>
      <c r="X80" s="320"/>
      <c r="Y80" s="320"/>
      <c r="Z80" s="463"/>
      <c r="AA80" s="463"/>
      <c r="AB80" s="464"/>
    </row>
    <row r="81" spans="1:28" s="50" customFormat="1" ht="13.95" customHeight="1">
      <c r="B81" s="242"/>
      <c r="C81" s="1053" t="s">
        <v>41</v>
      </c>
      <c r="D81" s="595">
        <v>0</v>
      </c>
      <c r="E81" s="891"/>
      <c r="F81" s="595">
        <f t="shared" ref="F81:F87" si="13">D81+D81*O81</f>
        <v>0</v>
      </c>
      <c r="G81" s="891"/>
      <c r="H81" s="595">
        <f>F81+F81*P81</f>
        <v>0</v>
      </c>
      <c r="I81" s="891"/>
      <c r="J81" s="595">
        <f>H81+H81*Q81</f>
        <v>0</v>
      </c>
      <c r="K81" s="891"/>
      <c r="L81" s="595">
        <f>J81+J81*R81</f>
        <v>0</v>
      </c>
      <c r="M81" s="891"/>
      <c r="N81" s="53"/>
      <c r="O81" s="382">
        <v>0.03</v>
      </c>
      <c r="P81" s="382">
        <f>O81</f>
        <v>0.03</v>
      </c>
      <c r="Q81" s="382">
        <f t="shared" si="12"/>
        <v>0.03</v>
      </c>
      <c r="R81" s="382">
        <f t="shared" si="12"/>
        <v>0.03</v>
      </c>
      <c r="S81" s="320"/>
      <c r="T81" s="320"/>
      <c r="U81" s="320"/>
      <c r="V81" s="320"/>
      <c r="W81" s="320"/>
      <c r="X81" s="320"/>
      <c r="Y81" s="320"/>
      <c r="Z81" s="463"/>
      <c r="AA81" s="463"/>
      <c r="AB81" s="464"/>
    </row>
    <row r="82" spans="1:28" s="50" customFormat="1" ht="13.95" customHeight="1" thickBot="1">
      <c r="A82"/>
      <c r="B82" s="242"/>
      <c r="C82" s="1056" t="s">
        <v>42</v>
      </c>
      <c r="D82" s="589">
        <v>0</v>
      </c>
      <c r="E82" s="907"/>
      <c r="F82" s="589">
        <f t="shared" si="13"/>
        <v>0</v>
      </c>
      <c r="G82" s="907"/>
      <c r="H82" s="595">
        <f>F82+F82*P82</f>
        <v>0</v>
      </c>
      <c r="I82" s="907"/>
      <c r="J82" s="595">
        <f>H82+H82*Q82</f>
        <v>0</v>
      </c>
      <c r="K82" s="907"/>
      <c r="L82" s="595">
        <f>J82+J82*R82</f>
        <v>0</v>
      </c>
      <c r="M82" s="907"/>
      <c r="N82" s="53"/>
      <c r="O82" s="382">
        <v>0.03</v>
      </c>
      <c r="P82" s="382">
        <f>O82</f>
        <v>0.03</v>
      </c>
      <c r="Q82" s="382">
        <f t="shared" si="12"/>
        <v>0.03</v>
      </c>
      <c r="R82" s="382">
        <f t="shared" si="12"/>
        <v>0.03</v>
      </c>
      <c r="S82" s="320"/>
      <c r="T82" s="320"/>
      <c r="U82" s="320"/>
      <c r="V82" s="320"/>
      <c r="W82" s="320"/>
      <c r="X82" s="320"/>
      <c r="Y82" s="320"/>
      <c r="Z82" s="463"/>
      <c r="AA82" s="463"/>
      <c r="AB82" s="464"/>
    </row>
    <row r="83" spans="1:28" s="4" customFormat="1" ht="13.95" customHeight="1">
      <c r="A83"/>
      <c r="B83" s="417"/>
      <c r="C83" s="1057" t="s">
        <v>65</v>
      </c>
      <c r="D83" s="903">
        <f>SUM(D84:D85)</f>
        <v>0</v>
      </c>
      <c r="E83" s="904">
        <f>IF(D$45=0,0,100*D83/D$45)</f>
        <v>0</v>
      </c>
      <c r="F83" s="903">
        <f>SUM(F84:F85)</f>
        <v>0</v>
      </c>
      <c r="G83" s="904">
        <f>IF(F$45=0,0,100*F83/F$45)</f>
        <v>0</v>
      </c>
      <c r="H83" s="903">
        <f>SUM(H84:H85)</f>
        <v>0</v>
      </c>
      <c r="I83" s="904">
        <f>IF(H$45=0,0,100*H83/H$45)</f>
        <v>0</v>
      </c>
      <c r="J83" s="903">
        <f>SUM(J84:J85)</f>
        <v>0</v>
      </c>
      <c r="K83" s="904">
        <f>IF(J$45=0,0,100*J83/J$45)</f>
        <v>0</v>
      </c>
      <c r="L83" s="903">
        <f>SUM(L84:L85)</f>
        <v>0</v>
      </c>
      <c r="M83" s="904">
        <f>IF(L$45=0,0,100*L83/L$45)</f>
        <v>0</v>
      </c>
      <c r="N83" s="30"/>
      <c r="O83" s="1499"/>
      <c r="P83" s="316"/>
      <c r="Q83" s="316"/>
      <c r="R83" s="316"/>
      <c r="S83" s="320"/>
      <c r="T83" s="320"/>
      <c r="U83" s="320"/>
      <c r="V83" s="320"/>
      <c r="W83" s="320"/>
      <c r="X83" s="320"/>
      <c r="Y83" s="320"/>
      <c r="Z83" s="463"/>
      <c r="AA83" s="463"/>
      <c r="AB83" s="464"/>
    </row>
    <row r="84" spans="1:28" s="50" customFormat="1" ht="13.95" customHeight="1">
      <c r="A84"/>
      <c r="B84" s="242"/>
      <c r="C84" s="1053" t="s">
        <v>360</v>
      </c>
      <c r="D84" s="595">
        <v>0</v>
      </c>
      <c r="E84" s="891"/>
      <c r="F84" s="595">
        <f>D84+D84*O84</f>
        <v>0</v>
      </c>
      <c r="G84" s="891"/>
      <c r="H84" s="595">
        <f>F84+F84*P84</f>
        <v>0</v>
      </c>
      <c r="I84" s="891"/>
      <c r="J84" s="595">
        <f>H84+H84*Q84</f>
        <v>0</v>
      </c>
      <c r="K84" s="891"/>
      <c r="L84" s="595">
        <f>J84+J84*R84</f>
        <v>0</v>
      </c>
      <c r="M84" s="891"/>
      <c r="N84" s="53"/>
      <c r="O84" s="382">
        <v>0.03</v>
      </c>
      <c r="P84" s="382">
        <f>O84</f>
        <v>0.03</v>
      </c>
      <c r="Q84" s="382">
        <f t="shared" ref="Q84:R87" si="14">P84</f>
        <v>0.03</v>
      </c>
      <c r="R84" s="382">
        <f t="shared" si="14"/>
        <v>0.03</v>
      </c>
      <c r="S84" s="320"/>
      <c r="T84" s="320"/>
      <c r="U84" s="320"/>
      <c r="V84" s="320"/>
      <c r="W84" s="320"/>
      <c r="X84" s="320"/>
      <c r="Y84" s="320"/>
      <c r="Z84" s="463"/>
      <c r="AA84" s="463"/>
      <c r="AB84" s="464"/>
    </row>
    <row r="85" spans="1:28" s="50" customFormat="1" ht="13.95" customHeight="1" thickBot="1">
      <c r="A85" s="51"/>
      <c r="B85" s="242"/>
      <c r="C85" s="1055" t="s">
        <v>43</v>
      </c>
      <c r="D85" s="906">
        <v>0</v>
      </c>
      <c r="E85" s="905"/>
      <c r="F85" s="906">
        <f t="shared" si="13"/>
        <v>0</v>
      </c>
      <c r="G85" s="905"/>
      <c r="H85" s="595">
        <f>F85+F85*P85</f>
        <v>0</v>
      </c>
      <c r="I85" s="905"/>
      <c r="J85" s="906">
        <f>H85+H85*Q85</f>
        <v>0</v>
      </c>
      <c r="K85" s="905"/>
      <c r="L85" s="906">
        <f>J85+J85*R85</f>
        <v>0</v>
      </c>
      <c r="M85" s="907"/>
      <c r="N85" s="53"/>
      <c r="O85" s="382">
        <v>0.03</v>
      </c>
      <c r="P85" s="382">
        <f t="shared" ref="P85" si="15">O85</f>
        <v>0.03</v>
      </c>
      <c r="Q85" s="382">
        <f t="shared" si="14"/>
        <v>0.03</v>
      </c>
      <c r="R85" s="382">
        <f t="shared" si="14"/>
        <v>0.03</v>
      </c>
      <c r="S85" s="320"/>
      <c r="T85" s="320"/>
      <c r="U85" s="320"/>
      <c r="V85" s="320"/>
      <c r="W85" s="320"/>
      <c r="X85" s="320"/>
      <c r="Y85" s="320"/>
      <c r="Z85" s="463"/>
      <c r="AA85" s="463"/>
      <c r="AB85" s="464"/>
    </row>
    <row r="86" spans="1:28" s="4" customFormat="1" ht="13.95" customHeight="1" thickBot="1">
      <c r="A86"/>
      <c r="B86" s="417"/>
      <c r="C86" s="1058" t="s">
        <v>66</v>
      </c>
      <c r="D86" s="911">
        <v>0</v>
      </c>
      <c r="E86" s="910">
        <f>IF(D$45=0,0,100*D86/D$45)</f>
        <v>0</v>
      </c>
      <c r="F86" s="909">
        <f>D86+D86*O86</f>
        <v>0</v>
      </c>
      <c r="G86" s="910">
        <f>IF(F$45=0,0,100*F86/F$45)</f>
        <v>0</v>
      </c>
      <c r="H86" s="911">
        <f>F86+F86*P86</f>
        <v>0</v>
      </c>
      <c r="I86" s="910">
        <f>IF(H$45=0,0,100*H86/H$45)</f>
        <v>0</v>
      </c>
      <c r="J86" s="911">
        <f>H86+H86*Q86</f>
        <v>0</v>
      </c>
      <c r="K86" s="910">
        <f>IF(J$45=0,0,100*J86/J$45)</f>
        <v>0</v>
      </c>
      <c r="L86" s="909">
        <f>J86+J86*R86</f>
        <v>0</v>
      </c>
      <c r="M86" s="912">
        <f>IF(L$45=0,0,100*L86/L$45)</f>
        <v>0</v>
      </c>
      <c r="N86" s="30"/>
      <c r="O86" s="382">
        <v>0.03</v>
      </c>
      <c r="P86" s="382">
        <f>O86</f>
        <v>0.03</v>
      </c>
      <c r="Q86" s="382">
        <f t="shared" si="14"/>
        <v>0.03</v>
      </c>
      <c r="R86" s="382">
        <f t="shared" si="14"/>
        <v>0.03</v>
      </c>
      <c r="S86" s="320"/>
      <c r="T86" s="320"/>
      <c r="U86" s="320"/>
      <c r="V86" s="320"/>
      <c r="W86" s="320"/>
      <c r="X86" s="320"/>
      <c r="Y86" s="320"/>
      <c r="Z86" s="463"/>
      <c r="AA86" s="463"/>
      <c r="AB86" s="464"/>
    </row>
    <row r="87" spans="1:28" s="4" customFormat="1" ht="13.95" customHeight="1" thickBot="1">
      <c r="A87" s="51"/>
      <c r="B87" s="417"/>
      <c r="C87" s="1057" t="s">
        <v>195</v>
      </c>
      <c r="D87" s="909">
        <v>0</v>
      </c>
      <c r="E87" s="912">
        <f>IF(D$45=0,0,100*D87/D$45)</f>
        <v>0</v>
      </c>
      <c r="F87" s="909">
        <f t="shared" si="13"/>
        <v>0</v>
      </c>
      <c r="G87" s="912">
        <f>IF(F$45=0,0,100*F87/F$45)</f>
        <v>0</v>
      </c>
      <c r="H87" s="909">
        <f>F87+F87*P87</f>
        <v>0</v>
      </c>
      <c r="I87" s="912">
        <f>IF(H$45=0,0,100*H87/H$45)</f>
        <v>0</v>
      </c>
      <c r="J87" s="909">
        <f>H87+H87*Q87</f>
        <v>0</v>
      </c>
      <c r="K87" s="912">
        <f>IF(J$45=0,0,100*J87/J$45)</f>
        <v>0</v>
      </c>
      <c r="L87" s="909">
        <f>J87+J87*R87</f>
        <v>0</v>
      </c>
      <c r="M87" s="904">
        <f>IF(L$45=0,0,100*L87/L$45)</f>
        <v>0</v>
      </c>
      <c r="N87" s="30"/>
      <c r="O87" s="382">
        <v>0.03</v>
      </c>
      <c r="P87" s="382">
        <f>O87</f>
        <v>0.03</v>
      </c>
      <c r="Q87" s="382">
        <f t="shared" si="14"/>
        <v>0.03</v>
      </c>
      <c r="R87" s="382">
        <f t="shared" si="14"/>
        <v>0.03</v>
      </c>
      <c r="S87" s="320"/>
      <c r="T87" s="320"/>
      <c r="U87" s="320"/>
      <c r="V87" s="320"/>
      <c r="W87" s="320"/>
      <c r="X87" s="320"/>
      <c r="Y87" s="320"/>
      <c r="Z87" s="463"/>
      <c r="AA87" s="463"/>
      <c r="AB87" s="464"/>
    </row>
    <row r="88" spans="1:28" s="4" customFormat="1" ht="13.95" customHeight="1">
      <c r="A88" s="2"/>
      <c r="B88" s="417"/>
      <c r="C88" s="1054" t="s">
        <v>67</v>
      </c>
      <c r="D88" s="913">
        <f>SUM(D89:D93)</f>
        <v>0</v>
      </c>
      <c r="E88" s="914">
        <f>IF(D$45=0,0,100*D88/D$45)</f>
        <v>0</v>
      </c>
      <c r="F88" s="913">
        <f>SUM(F89:F93)</f>
        <v>0</v>
      </c>
      <c r="G88" s="914">
        <f>IF(F$45=0,0,100*F88/F$45)</f>
        <v>0</v>
      </c>
      <c r="H88" s="913">
        <f>SUM(H89:H93)</f>
        <v>0</v>
      </c>
      <c r="I88" s="914">
        <f>IF(H$45=0,0,100*H88/H$45)</f>
        <v>0</v>
      </c>
      <c r="J88" s="913">
        <f>SUM(J89:J93)</f>
        <v>0</v>
      </c>
      <c r="K88" s="914">
        <f>IF(J$45=0,0,100*J88/J$45)</f>
        <v>0</v>
      </c>
      <c r="L88" s="913">
        <f>SUM(L89:L93)</f>
        <v>0</v>
      </c>
      <c r="M88" s="904">
        <f>IF(L$45=0,0,100*L88/L$45)</f>
        <v>0</v>
      </c>
      <c r="N88" s="29"/>
      <c r="O88" s="1499"/>
      <c r="P88" s="316"/>
      <c r="Q88" s="316"/>
      <c r="R88" s="316"/>
      <c r="S88" s="320"/>
      <c r="T88" s="320"/>
      <c r="U88" s="320"/>
      <c r="V88" s="320"/>
      <c r="W88" s="320"/>
      <c r="X88" s="320"/>
      <c r="Y88" s="320"/>
      <c r="Z88" s="463"/>
      <c r="AA88" s="463"/>
      <c r="AB88" s="464"/>
    </row>
    <row r="89" spans="1:28" s="50" customFormat="1" ht="13.95" customHeight="1">
      <c r="A89"/>
      <c r="B89" s="242"/>
      <c r="C89" s="1053" t="s">
        <v>44</v>
      </c>
      <c r="D89" s="595">
        <v>0</v>
      </c>
      <c r="E89" s="891"/>
      <c r="F89" s="595">
        <f>D89+D89*O89</f>
        <v>0</v>
      </c>
      <c r="G89" s="891"/>
      <c r="H89" s="595">
        <f>F89+F89*P89</f>
        <v>0</v>
      </c>
      <c r="I89" s="891"/>
      <c r="J89" s="595">
        <f>H89+H89*Q89</f>
        <v>0</v>
      </c>
      <c r="K89" s="891"/>
      <c r="L89" s="595">
        <f>J89+J89*R89</f>
        <v>0</v>
      </c>
      <c r="M89" s="891"/>
      <c r="N89" s="55"/>
      <c r="O89" s="382">
        <v>0.03</v>
      </c>
      <c r="P89" s="382">
        <f>O89</f>
        <v>0.03</v>
      </c>
      <c r="Q89" s="382">
        <f t="shared" ref="Q89:R93" si="16">P89</f>
        <v>0.03</v>
      </c>
      <c r="R89" s="382">
        <f t="shared" si="16"/>
        <v>0.03</v>
      </c>
      <c r="S89" s="320"/>
      <c r="T89" s="320"/>
      <c r="U89" s="320"/>
      <c r="V89" s="320"/>
      <c r="W89" s="320"/>
      <c r="X89" s="320"/>
      <c r="Y89" s="320"/>
      <c r="Z89" s="463"/>
      <c r="AA89" s="463"/>
      <c r="AB89" s="464"/>
    </row>
    <row r="90" spans="1:28" s="50" customFormat="1" ht="13.95" customHeight="1">
      <c r="A90"/>
      <c r="B90" s="242"/>
      <c r="C90" s="1053" t="s">
        <v>45</v>
      </c>
      <c r="D90" s="595">
        <v>0</v>
      </c>
      <c r="E90" s="891"/>
      <c r="F90" s="595">
        <f>D90+D90*O90</f>
        <v>0</v>
      </c>
      <c r="G90" s="891"/>
      <c r="H90" s="595">
        <f>F90+F90*P90</f>
        <v>0</v>
      </c>
      <c r="I90" s="891"/>
      <c r="J90" s="595">
        <f>H90+H90*Q90</f>
        <v>0</v>
      </c>
      <c r="K90" s="891"/>
      <c r="L90" s="595">
        <f>J90+J90*R90</f>
        <v>0</v>
      </c>
      <c r="M90" s="891"/>
      <c r="N90" s="55"/>
      <c r="O90" s="382">
        <v>0.03</v>
      </c>
      <c r="P90" s="382">
        <f>O90</f>
        <v>0.03</v>
      </c>
      <c r="Q90" s="382">
        <f t="shared" si="16"/>
        <v>0.03</v>
      </c>
      <c r="R90" s="382">
        <f t="shared" si="16"/>
        <v>0.03</v>
      </c>
      <c r="S90" s="320"/>
      <c r="T90" s="320"/>
      <c r="U90" s="320"/>
      <c r="V90" s="320"/>
      <c r="W90" s="320"/>
      <c r="X90" s="320"/>
      <c r="Y90" s="320"/>
      <c r="Z90" s="463"/>
      <c r="AA90" s="463"/>
      <c r="AB90" s="464"/>
    </row>
    <row r="91" spans="1:28" s="50" customFormat="1" ht="13.95" customHeight="1">
      <c r="A91"/>
      <c r="B91" s="242"/>
      <c r="C91" s="1053" t="s">
        <v>508</v>
      </c>
      <c r="D91" s="595">
        <v>0</v>
      </c>
      <c r="E91" s="891"/>
      <c r="F91" s="595">
        <f>D91+D91*O91</f>
        <v>0</v>
      </c>
      <c r="G91" s="891"/>
      <c r="H91" s="595">
        <f>F91+F91*P91</f>
        <v>0</v>
      </c>
      <c r="I91" s="891"/>
      <c r="J91" s="595">
        <f>H91+H91*Q91</f>
        <v>0</v>
      </c>
      <c r="K91" s="891"/>
      <c r="L91" s="595">
        <f>J91+J91*R91</f>
        <v>0</v>
      </c>
      <c r="M91" s="891"/>
      <c r="N91" s="55"/>
      <c r="O91" s="382">
        <v>0.03</v>
      </c>
      <c r="P91" s="382">
        <f>O91</f>
        <v>0.03</v>
      </c>
      <c r="Q91" s="382">
        <f t="shared" si="16"/>
        <v>0.03</v>
      </c>
      <c r="R91" s="382">
        <f t="shared" si="16"/>
        <v>0.03</v>
      </c>
      <c r="S91" s="320"/>
      <c r="T91" s="320"/>
      <c r="U91" s="320"/>
      <c r="V91" s="320"/>
      <c r="W91" s="320"/>
      <c r="X91" s="320"/>
      <c r="Y91" s="320"/>
      <c r="Z91" s="463"/>
      <c r="AA91" s="463"/>
      <c r="AB91" s="464"/>
    </row>
    <row r="92" spans="1:28" s="50" customFormat="1" ht="13.95" customHeight="1">
      <c r="A92"/>
      <c r="B92" s="242"/>
      <c r="C92" s="1053" t="s">
        <v>361</v>
      </c>
      <c r="D92" s="595">
        <v>0</v>
      </c>
      <c r="E92" s="891"/>
      <c r="F92" s="595">
        <f>D92+D92*O92</f>
        <v>0</v>
      </c>
      <c r="G92" s="891"/>
      <c r="H92" s="595">
        <f>F92+F92*P92</f>
        <v>0</v>
      </c>
      <c r="I92" s="891"/>
      <c r="J92" s="595">
        <f>H92+H92*Q92</f>
        <v>0</v>
      </c>
      <c r="K92" s="891"/>
      <c r="L92" s="595">
        <f>J92+J92*R92</f>
        <v>0</v>
      </c>
      <c r="M92" s="891"/>
      <c r="N92" s="55"/>
      <c r="O92" s="382">
        <v>0.03</v>
      </c>
      <c r="P92" s="382">
        <f>O92</f>
        <v>0.03</v>
      </c>
      <c r="Q92" s="382">
        <f t="shared" si="16"/>
        <v>0.03</v>
      </c>
      <c r="R92" s="382">
        <f t="shared" si="16"/>
        <v>0.03</v>
      </c>
      <c r="S92" s="320"/>
      <c r="T92" s="320"/>
      <c r="U92" s="320"/>
      <c r="V92" s="320"/>
      <c r="W92" s="320"/>
      <c r="X92" s="320"/>
      <c r="Y92" s="320"/>
      <c r="Z92" s="463"/>
      <c r="AA92" s="463"/>
      <c r="AB92" s="464"/>
    </row>
    <row r="93" spans="1:28" s="50" customFormat="1" ht="13.95" customHeight="1" thickBot="1">
      <c r="A93"/>
      <c r="B93" s="242"/>
      <c r="C93" s="1056" t="s">
        <v>46</v>
      </c>
      <c r="D93" s="595">
        <v>0</v>
      </c>
      <c r="E93" s="905"/>
      <c r="F93" s="595">
        <f>D93+D93*O93</f>
        <v>0</v>
      </c>
      <c r="G93" s="905"/>
      <c r="H93" s="595">
        <f>F93+F93*P93</f>
        <v>0</v>
      </c>
      <c r="I93" s="905"/>
      <c r="J93" s="906">
        <f>H93+H93*Q93</f>
        <v>0</v>
      </c>
      <c r="K93" s="905"/>
      <c r="L93" s="906">
        <f>J93+J93*R93</f>
        <v>0</v>
      </c>
      <c r="M93" s="905"/>
      <c r="N93" s="55"/>
      <c r="O93" s="382">
        <v>0.03</v>
      </c>
      <c r="P93" s="382">
        <f t="shared" ref="P93" si="17">O93</f>
        <v>0.03</v>
      </c>
      <c r="Q93" s="382">
        <f t="shared" si="16"/>
        <v>0.03</v>
      </c>
      <c r="R93" s="382">
        <f t="shared" si="16"/>
        <v>0.03</v>
      </c>
      <c r="S93" s="320"/>
      <c r="T93" s="320"/>
      <c r="U93" s="320"/>
      <c r="V93" s="320"/>
      <c r="W93" s="320"/>
      <c r="X93" s="320"/>
      <c r="Y93" s="320"/>
      <c r="Z93" s="463"/>
      <c r="AA93" s="463"/>
      <c r="AB93" s="464"/>
    </row>
    <row r="94" spans="1:28" s="4" customFormat="1" ht="13.95" customHeight="1">
      <c r="A94"/>
      <c r="B94" s="417"/>
      <c r="C94" s="1057" t="s">
        <v>68</v>
      </c>
      <c r="D94" s="903">
        <f>SUM(D95:D98)</f>
        <v>0</v>
      </c>
      <c r="E94" s="904">
        <f>IF(D$45=0,0,100*D94/D$45)</f>
        <v>0</v>
      </c>
      <c r="F94" s="903">
        <f>SUM(F95:F98)</f>
        <v>0</v>
      </c>
      <c r="G94" s="904">
        <f>IF(F$45=0,0,100*F94/F$45)</f>
        <v>0</v>
      </c>
      <c r="H94" s="903">
        <f>SUM(H95:H98)</f>
        <v>0</v>
      </c>
      <c r="I94" s="904">
        <f>IF(H$45=0,0,100*H94/H$45)</f>
        <v>0</v>
      </c>
      <c r="J94" s="903">
        <f>SUM(J95:J98)</f>
        <v>0</v>
      </c>
      <c r="K94" s="904">
        <f>IF(J$45=0,0,100*J94/J$45)</f>
        <v>0</v>
      </c>
      <c r="L94" s="903">
        <f>SUM(L95:L98)</f>
        <v>0</v>
      </c>
      <c r="M94" s="904">
        <f>IF(L$45=0,0,100*L94/L$45)</f>
        <v>0</v>
      </c>
      <c r="N94" s="30"/>
      <c r="O94" s="1499"/>
      <c r="P94" s="316"/>
      <c r="Q94" s="316"/>
      <c r="R94" s="316"/>
      <c r="S94" s="320"/>
      <c r="T94" s="320"/>
      <c r="U94" s="320"/>
      <c r="V94" s="320"/>
      <c r="W94" s="320"/>
      <c r="X94" s="320"/>
      <c r="Y94" s="320"/>
      <c r="Z94" s="463"/>
      <c r="AA94" s="463"/>
      <c r="AB94" s="464"/>
    </row>
    <row r="95" spans="1:28" s="50" customFormat="1" ht="13.95" customHeight="1">
      <c r="A95"/>
      <c r="B95" s="242"/>
      <c r="C95" s="1053" t="s">
        <v>47</v>
      </c>
      <c r="D95" s="595">
        <v>0</v>
      </c>
      <c r="E95" s="891"/>
      <c r="F95" s="595">
        <f>D95+D95*O95</f>
        <v>0</v>
      </c>
      <c r="G95" s="891"/>
      <c r="H95" s="595">
        <f>F95+F95*P95</f>
        <v>0</v>
      </c>
      <c r="I95" s="891"/>
      <c r="J95" s="595">
        <f>H95+H95*Q95</f>
        <v>0</v>
      </c>
      <c r="K95" s="891"/>
      <c r="L95" s="595">
        <f>J95+J95*R95</f>
        <v>0</v>
      </c>
      <c r="M95" s="891"/>
      <c r="N95" s="53"/>
      <c r="O95" s="382">
        <v>0.03</v>
      </c>
      <c r="P95" s="382">
        <f>O95</f>
        <v>0.03</v>
      </c>
      <c r="Q95" s="382">
        <f t="shared" ref="Q95:R98" si="18">P95</f>
        <v>0.03</v>
      </c>
      <c r="R95" s="382">
        <f t="shared" si="18"/>
        <v>0.03</v>
      </c>
      <c r="S95" s="320"/>
      <c r="T95" s="320"/>
      <c r="U95" s="320"/>
      <c r="V95" s="320"/>
      <c r="W95" s="320"/>
      <c r="X95" s="320"/>
      <c r="Y95" s="320"/>
      <c r="Z95" s="463"/>
      <c r="AA95" s="463"/>
      <c r="AB95" s="464"/>
    </row>
    <row r="96" spans="1:28" s="50" customFormat="1" ht="13.95" customHeight="1">
      <c r="A96"/>
      <c r="B96" s="242"/>
      <c r="C96" s="1053" t="s">
        <v>48</v>
      </c>
      <c r="D96" s="595">
        <v>0</v>
      </c>
      <c r="E96" s="891"/>
      <c r="F96" s="595">
        <f>D96+D96*O96</f>
        <v>0</v>
      </c>
      <c r="G96" s="891"/>
      <c r="H96" s="595">
        <f>F96+F96*P96</f>
        <v>0</v>
      </c>
      <c r="I96" s="891"/>
      <c r="J96" s="595">
        <f>H96+H96*Q96</f>
        <v>0</v>
      </c>
      <c r="K96" s="891"/>
      <c r="L96" s="595">
        <f>J96+J96*R96</f>
        <v>0</v>
      </c>
      <c r="M96" s="891"/>
      <c r="N96" s="53"/>
      <c r="O96" s="382">
        <v>0.03</v>
      </c>
      <c r="P96" s="382">
        <f>O96</f>
        <v>0.03</v>
      </c>
      <c r="Q96" s="382">
        <f t="shared" si="18"/>
        <v>0.03</v>
      </c>
      <c r="R96" s="382">
        <f t="shared" si="18"/>
        <v>0.03</v>
      </c>
      <c r="S96" s="320"/>
      <c r="T96" s="320"/>
      <c r="U96" s="320"/>
      <c r="V96" s="320"/>
      <c r="W96" s="320"/>
      <c r="X96" s="320"/>
      <c r="Y96" s="320"/>
      <c r="Z96" s="463"/>
      <c r="AA96" s="463"/>
      <c r="AB96" s="464"/>
    </row>
    <row r="97" spans="1:28" s="50" customFormat="1" ht="13.95" customHeight="1">
      <c r="A97"/>
      <c r="B97" s="242"/>
      <c r="C97" s="1053" t="s">
        <v>49</v>
      </c>
      <c r="D97" s="595">
        <v>0</v>
      </c>
      <c r="E97" s="891"/>
      <c r="F97" s="595">
        <f>D97+D97*O97</f>
        <v>0</v>
      </c>
      <c r="G97" s="891"/>
      <c r="H97" s="595">
        <f>F97+F97*P97</f>
        <v>0</v>
      </c>
      <c r="I97" s="891"/>
      <c r="J97" s="595">
        <f>H97+H97*Q97</f>
        <v>0</v>
      </c>
      <c r="K97" s="891"/>
      <c r="L97" s="595">
        <f>J97+J97*R97</f>
        <v>0</v>
      </c>
      <c r="M97" s="891"/>
      <c r="N97" s="55"/>
      <c r="O97" s="382">
        <v>0.03</v>
      </c>
      <c r="P97" s="382">
        <f>O97</f>
        <v>0.03</v>
      </c>
      <c r="Q97" s="382">
        <f t="shared" si="18"/>
        <v>0.03</v>
      </c>
      <c r="R97" s="382">
        <f t="shared" si="18"/>
        <v>0.03</v>
      </c>
      <c r="S97" s="320"/>
      <c r="T97" s="320"/>
      <c r="U97" s="320"/>
      <c r="V97" s="320"/>
      <c r="W97" s="320"/>
      <c r="X97" s="320"/>
      <c r="Y97" s="320"/>
      <c r="Z97" s="463"/>
      <c r="AA97" s="463"/>
      <c r="AB97" s="464"/>
    </row>
    <row r="98" spans="1:28" s="50" customFormat="1" ht="13.95" customHeight="1" thickBot="1">
      <c r="A98"/>
      <c r="B98" s="242"/>
      <c r="C98" s="47" t="s">
        <v>50</v>
      </c>
      <c r="D98" s="580">
        <v>0</v>
      </c>
      <c r="E98" s="915"/>
      <c r="F98" s="595">
        <f>D98+D98*O98</f>
        <v>0</v>
      </c>
      <c r="G98" s="915"/>
      <c r="H98" s="595">
        <f>F98+F98*P98</f>
        <v>0</v>
      </c>
      <c r="I98" s="915"/>
      <c r="J98" s="595">
        <f>H98+H98*Q98</f>
        <v>0</v>
      </c>
      <c r="K98" s="915"/>
      <c r="L98" s="595">
        <f>J98+J98*R98</f>
        <v>0</v>
      </c>
      <c r="M98" s="915"/>
      <c r="N98" s="55"/>
      <c r="O98" s="382">
        <v>0.03</v>
      </c>
      <c r="P98" s="382">
        <f>O98</f>
        <v>0.03</v>
      </c>
      <c r="Q98" s="382">
        <f t="shared" si="18"/>
        <v>0.03</v>
      </c>
      <c r="R98" s="382">
        <f t="shared" si="18"/>
        <v>0.03</v>
      </c>
      <c r="S98" s="320"/>
      <c r="T98" s="320"/>
      <c r="U98" s="320"/>
      <c r="V98" s="320"/>
      <c r="W98" s="320"/>
      <c r="X98" s="320"/>
      <c r="Y98" s="320"/>
      <c r="Z98" s="463"/>
      <c r="AA98" s="463"/>
      <c r="AB98" s="464"/>
    </row>
    <row r="99" spans="1:28" s="4" customFormat="1" ht="13.95" customHeight="1">
      <c r="A99"/>
      <c r="B99" s="417"/>
      <c r="C99" s="1054" t="s">
        <v>69</v>
      </c>
      <c r="D99" s="903">
        <f>SUM(D100:D103)</f>
        <v>0</v>
      </c>
      <c r="E99" s="904">
        <f>IF(D$45=0,0,100*D99/D$45)</f>
        <v>0</v>
      </c>
      <c r="F99" s="903">
        <f>SUM(F100:F103)</f>
        <v>0</v>
      </c>
      <c r="G99" s="904">
        <f>IF(F$45=0,0,100*F99/F$45)</f>
        <v>0</v>
      </c>
      <c r="H99" s="903">
        <f>SUM(H100:H103)</f>
        <v>0</v>
      </c>
      <c r="I99" s="904">
        <f>IF(H$45=0,0,100*H99/H$45)</f>
        <v>0</v>
      </c>
      <c r="J99" s="903">
        <f>SUM(J100:J103)</f>
        <v>0</v>
      </c>
      <c r="K99" s="904">
        <f>IF(J$45=0,0,100*J99/J$45)</f>
        <v>0</v>
      </c>
      <c r="L99" s="903">
        <f>SUM(L100:L103)</f>
        <v>0</v>
      </c>
      <c r="M99" s="904">
        <f>IF(L$45=0,0,100*L99/L$45)</f>
        <v>0</v>
      </c>
      <c r="N99" s="29"/>
      <c r="O99" s="1499"/>
      <c r="P99" s="316"/>
      <c r="Q99" s="316"/>
      <c r="R99" s="316"/>
      <c r="S99" s="320"/>
      <c r="T99" s="320"/>
      <c r="U99" s="320"/>
      <c r="V99" s="320"/>
      <c r="W99" s="320"/>
      <c r="X99" s="320"/>
      <c r="Y99" s="320"/>
      <c r="Z99" s="463"/>
      <c r="AA99" s="463"/>
      <c r="AB99" s="464"/>
    </row>
    <row r="100" spans="1:28" s="50" customFormat="1" ht="13.95" customHeight="1">
      <c r="A100"/>
      <c r="B100" s="242"/>
      <c r="C100" s="1053" t="s">
        <v>51</v>
      </c>
      <c r="D100" s="595">
        <v>0</v>
      </c>
      <c r="E100" s="891"/>
      <c r="F100" s="595">
        <f>D100+D100*O100</f>
        <v>0</v>
      </c>
      <c r="G100" s="891"/>
      <c r="H100" s="595">
        <f>F100+F100*P100</f>
        <v>0</v>
      </c>
      <c r="I100" s="891"/>
      <c r="J100" s="595">
        <f>H100+H100*Q100</f>
        <v>0</v>
      </c>
      <c r="K100" s="891"/>
      <c r="L100" s="595">
        <f>J100+J100*R100</f>
        <v>0</v>
      </c>
      <c r="M100" s="891"/>
      <c r="N100" s="55"/>
      <c r="O100" s="382">
        <v>0.03</v>
      </c>
      <c r="P100" s="382">
        <f>O100</f>
        <v>0.03</v>
      </c>
      <c r="Q100" s="382">
        <f t="shared" ref="Q100:R103" si="19">P100</f>
        <v>0.03</v>
      </c>
      <c r="R100" s="382">
        <f t="shared" si="19"/>
        <v>0.03</v>
      </c>
      <c r="S100" s="320"/>
      <c r="T100" s="320"/>
      <c r="U100" s="320"/>
      <c r="V100" s="320"/>
      <c r="W100" s="320"/>
      <c r="X100" s="320"/>
      <c r="Y100" s="320"/>
      <c r="Z100" s="463"/>
      <c r="AA100" s="463"/>
      <c r="AB100" s="464"/>
    </row>
    <row r="101" spans="1:28" s="50" customFormat="1" ht="13.95" customHeight="1">
      <c r="A101"/>
      <c r="B101" s="242"/>
      <c r="C101" s="1053" t="s">
        <v>52</v>
      </c>
      <c r="D101" s="595">
        <v>0</v>
      </c>
      <c r="E101" s="891"/>
      <c r="F101" s="595">
        <f>D101+D101*O101</f>
        <v>0</v>
      </c>
      <c r="G101" s="891"/>
      <c r="H101" s="595">
        <f>F101+F101*P101</f>
        <v>0</v>
      </c>
      <c r="I101" s="891"/>
      <c r="J101" s="595">
        <f>H101+H101*Q101</f>
        <v>0</v>
      </c>
      <c r="K101" s="891"/>
      <c r="L101" s="595">
        <f>J101+J101*R101</f>
        <v>0</v>
      </c>
      <c r="M101" s="891"/>
      <c r="N101" s="55"/>
      <c r="O101" s="382">
        <v>0.03</v>
      </c>
      <c r="P101" s="382">
        <f t="shared" ref="P101" si="20">O101</f>
        <v>0.03</v>
      </c>
      <c r="Q101" s="382">
        <f t="shared" si="19"/>
        <v>0.03</v>
      </c>
      <c r="R101" s="382">
        <f t="shared" si="19"/>
        <v>0.03</v>
      </c>
      <c r="S101" s="320"/>
      <c r="T101" s="320"/>
      <c r="U101" s="320"/>
      <c r="V101" s="320"/>
      <c r="W101" s="320"/>
      <c r="X101" s="320"/>
      <c r="Y101" s="320"/>
      <c r="Z101" s="463"/>
      <c r="AA101" s="463"/>
      <c r="AB101" s="464"/>
    </row>
    <row r="102" spans="1:28" s="50" customFormat="1" ht="13.95" customHeight="1">
      <c r="A102"/>
      <c r="B102" s="242"/>
      <c r="C102" s="1053" t="s">
        <v>53</v>
      </c>
      <c r="D102" s="595">
        <v>0</v>
      </c>
      <c r="E102" s="891"/>
      <c r="F102" s="595">
        <f>D102+D102*O102</f>
        <v>0</v>
      </c>
      <c r="G102" s="891"/>
      <c r="H102" s="595">
        <f>F102+F102*P102</f>
        <v>0</v>
      </c>
      <c r="I102" s="891"/>
      <c r="J102" s="595">
        <f>H102+H102*Q102</f>
        <v>0</v>
      </c>
      <c r="K102" s="891"/>
      <c r="L102" s="595">
        <f>J102+J102*R102</f>
        <v>0</v>
      </c>
      <c r="M102" s="891"/>
      <c r="N102" s="55"/>
      <c r="O102" s="382">
        <v>0.03</v>
      </c>
      <c r="P102" s="382">
        <f>O102</f>
        <v>0.03</v>
      </c>
      <c r="Q102" s="382">
        <f t="shared" si="19"/>
        <v>0.03</v>
      </c>
      <c r="R102" s="382">
        <f t="shared" si="19"/>
        <v>0.03</v>
      </c>
      <c r="S102" s="320"/>
      <c r="T102" s="320"/>
      <c r="U102" s="320"/>
      <c r="V102" s="320"/>
      <c r="W102" s="320"/>
      <c r="X102" s="320"/>
      <c r="Y102" s="320"/>
      <c r="Z102" s="463"/>
      <c r="AA102" s="463"/>
      <c r="AB102" s="464"/>
    </row>
    <row r="103" spans="1:28" s="50" customFormat="1" ht="13.95" customHeight="1" thickBot="1">
      <c r="A103"/>
      <c r="B103" s="242"/>
      <c r="C103" s="1055" t="s">
        <v>181</v>
      </c>
      <c r="D103" s="906">
        <v>0</v>
      </c>
      <c r="E103" s="905"/>
      <c r="F103" s="595">
        <f>D103+D103*O103</f>
        <v>0</v>
      </c>
      <c r="G103" s="905"/>
      <c r="H103" s="595">
        <f>F103+F103*P103</f>
        <v>0</v>
      </c>
      <c r="I103" s="905"/>
      <c r="J103" s="595">
        <f>H103+H103*Q103</f>
        <v>0</v>
      </c>
      <c r="K103" s="905"/>
      <c r="L103" s="595">
        <f>J103+J103*R103</f>
        <v>0</v>
      </c>
      <c r="M103" s="905"/>
      <c r="N103" s="55"/>
      <c r="O103" s="382">
        <v>0.03</v>
      </c>
      <c r="P103" s="382">
        <f t="shared" ref="P103" si="21">O103</f>
        <v>0.03</v>
      </c>
      <c r="Q103" s="382">
        <f t="shared" si="19"/>
        <v>0.03</v>
      </c>
      <c r="R103" s="382">
        <f t="shared" si="19"/>
        <v>0.03</v>
      </c>
      <c r="S103" s="320"/>
      <c r="T103" s="320"/>
      <c r="U103" s="320"/>
      <c r="V103" s="320"/>
      <c r="W103" s="320"/>
      <c r="X103" s="320"/>
      <c r="Y103" s="320"/>
      <c r="Z103" s="463"/>
      <c r="AA103" s="463"/>
      <c r="AB103" s="464"/>
    </row>
    <row r="104" spans="1:28" s="4" customFormat="1" ht="13.95" customHeight="1">
      <c r="A104"/>
      <c r="B104" s="417"/>
      <c r="C104" s="1054" t="s">
        <v>321</v>
      </c>
      <c r="D104" s="903">
        <f>SUM(D105:D106)</f>
        <v>0</v>
      </c>
      <c r="E104" s="904">
        <f>IF(D$45=0,0,100*D104/D$45)</f>
        <v>0</v>
      </c>
      <c r="F104" s="903">
        <f>SUM(F105:F106)</f>
        <v>0</v>
      </c>
      <c r="G104" s="904">
        <f>IF(F$45=0,0,100*F104/F$45)</f>
        <v>0</v>
      </c>
      <c r="H104" s="903">
        <f>SUM(H105:H106)</f>
        <v>0</v>
      </c>
      <c r="I104" s="904">
        <f>IF(H$45=0,0,100*H104/H$45)</f>
        <v>0</v>
      </c>
      <c r="J104" s="903">
        <f>SUM(J105:J106)</f>
        <v>0</v>
      </c>
      <c r="K104" s="904">
        <f>IF(J$45=0,0,100*J104/J$45)</f>
        <v>0</v>
      </c>
      <c r="L104" s="903">
        <f>SUM(L105:L106)</f>
        <v>0</v>
      </c>
      <c r="M104" s="904">
        <f>IF(L$45=0,0,100*L104/L$45)</f>
        <v>0</v>
      </c>
      <c r="N104" s="29"/>
      <c r="O104" s="1499"/>
      <c r="P104" s="316"/>
      <c r="Q104" s="316"/>
      <c r="R104" s="316"/>
      <c r="S104" s="320"/>
      <c r="T104" s="320"/>
      <c r="U104" s="320"/>
      <c r="V104" s="320"/>
      <c r="W104" s="320"/>
      <c r="X104" s="320"/>
      <c r="Y104" s="320"/>
      <c r="Z104" s="463"/>
      <c r="AA104" s="463"/>
      <c r="AB104" s="464"/>
    </row>
    <row r="105" spans="1:28" s="50" customFormat="1" ht="13.95" customHeight="1">
      <c r="A105"/>
      <c r="B105" s="242"/>
      <c r="C105" s="1053" t="s">
        <v>54</v>
      </c>
      <c r="D105" s="595">
        <v>0</v>
      </c>
      <c r="E105" s="891"/>
      <c r="F105" s="595">
        <f>D105+D105*O105</f>
        <v>0</v>
      </c>
      <c r="G105" s="891"/>
      <c r="H105" s="595">
        <f>F105+F105*P105</f>
        <v>0</v>
      </c>
      <c r="I105" s="891"/>
      <c r="J105" s="595">
        <f>H105+H105*Q105</f>
        <v>0</v>
      </c>
      <c r="K105" s="891"/>
      <c r="L105" s="595">
        <f>J105+J105*R105</f>
        <v>0</v>
      </c>
      <c r="M105" s="891"/>
      <c r="N105" s="55"/>
      <c r="O105" s="382">
        <v>0.03</v>
      </c>
      <c r="P105" s="382">
        <f t="shared" ref="P105:R106" si="22">O105</f>
        <v>0.03</v>
      </c>
      <c r="Q105" s="382">
        <f t="shared" si="22"/>
        <v>0.03</v>
      </c>
      <c r="R105" s="382">
        <f t="shared" si="22"/>
        <v>0.03</v>
      </c>
      <c r="S105" s="320"/>
      <c r="T105" s="320"/>
      <c r="U105" s="320"/>
      <c r="V105" s="320"/>
      <c r="W105" s="320"/>
      <c r="X105" s="320"/>
      <c r="Y105" s="320"/>
      <c r="Z105" s="463"/>
      <c r="AA105" s="463"/>
      <c r="AB105" s="464"/>
    </row>
    <row r="106" spans="1:28" s="50" customFormat="1" ht="13.95" customHeight="1" thickBot="1">
      <c r="A106"/>
      <c r="B106" s="242"/>
      <c r="C106" s="1056" t="s">
        <v>15</v>
      </c>
      <c r="D106" s="589">
        <v>0</v>
      </c>
      <c r="E106" s="907"/>
      <c r="F106" s="595">
        <f>D106+D106*O106</f>
        <v>0</v>
      </c>
      <c r="G106" s="907"/>
      <c r="H106" s="595">
        <f>F106+F106*P106</f>
        <v>0</v>
      </c>
      <c r="I106" s="907"/>
      <c r="J106" s="595">
        <f>H106+H106*Q106</f>
        <v>0</v>
      </c>
      <c r="K106" s="907"/>
      <c r="L106" s="595">
        <f>J106+J106*R106</f>
        <v>0</v>
      </c>
      <c r="M106" s="907"/>
      <c r="N106" s="55"/>
      <c r="O106" s="382">
        <v>0.03</v>
      </c>
      <c r="P106" s="382">
        <f t="shared" si="22"/>
        <v>0.03</v>
      </c>
      <c r="Q106" s="382">
        <f t="shared" si="22"/>
        <v>0.03</v>
      </c>
      <c r="R106" s="382">
        <f t="shared" si="22"/>
        <v>0.03</v>
      </c>
      <c r="S106" s="320"/>
      <c r="T106" s="320"/>
      <c r="U106" s="320"/>
      <c r="V106" s="320"/>
      <c r="W106" s="320"/>
      <c r="X106" s="320"/>
      <c r="Y106" s="320"/>
      <c r="Z106" s="463"/>
      <c r="AA106" s="463"/>
      <c r="AB106" s="464"/>
    </row>
    <row r="107" spans="1:28" s="4" customFormat="1" ht="13.95" customHeight="1">
      <c r="A107"/>
      <c r="B107" s="417"/>
      <c r="C107" s="1054" t="s">
        <v>70</v>
      </c>
      <c r="D107" s="903">
        <f>SUM(D108:D111)</f>
        <v>0</v>
      </c>
      <c r="E107" s="904">
        <f>IF(D$45=0,0,100*D107/D$45)</f>
        <v>0</v>
      </c>
      <c r="F107" s="903">
        <f>SUM(F108:F111)</f>
        <v>0</v>
      </c>
      <c r="G107" s="904">
        <f>IF(F$45=0,0,100*F107/F$45)</f>
        <v>0</v>
      </c>
      <c r="H107" s="903">
        <f>SUM(H108:H111)</f>
        <v>0</v>
      </c>
      <c r="I107" s="904">
        <f>IF(H$45=0,0,100*H107/H$45)</f>
        <v>0</v>
      </c>
      <c r="J107" s="903">
        <f>SUM(J108:J111)</f>
        <v>0</v>
      </c>
      <c r="K107" s="904">
        <f>IF(J$45=0,0,100*J107/J$45)</f>
        <v>0</v>
      </c>
      <c r="L107" s="903">
        <f>SUM(L108:L111)</f>
        <v>0</v>
      </c>
      <c r="M107" s="904">
        <f>IF(L$45=0,0,100*L107/L$45)</f>
        <v>0</v>
      </c>
      <c r="N107" s="29"/>
      <c r="O107" s="1499"/>
      <c r="P107" s="316"/>
      <c r="Q107" s="316"/>
      <c r="R107" s="316"/>
      <c r="S107" s="320"/>
      <c r="T107" s="320"/>
      <c r="U107" s="320"/>
      <c r="V107" s="320"/>
      <c r="W107" s="320"/>
      <c r="X107" s="320"/>
      <c r="Y107" s="320"/>
      <c r="Z107" s="463"/>
      <c r="AA107" s="463"/>
      <c r="AB107" s="464"/>
    </row>
    <row r="108" spans="1:28" s="50" customFormat="1" ht="13.95" customHeight="1">
      <c r="A108"/>
      <c r="B108" s="242"/>
      <c r="C108" s="1053" t="s">
        <v>55</v>
      </c>
      <c r="D108" s="595">
        <v>0</v>
      </c>
      <c r="E108" s="891"/>
      <c r="F108" s="595">
        <f>D108+D108*O108</f>
        <v>0</v>
      </c>
      <c r="G108" s="891"/>
      <c r="H108" s="595">
        <f>F108+F108*P108</f>
        <v>0</v>
      </c>
      <c r="I108" s="891"/>
      <c r="J108" s="595">
        <f>H108+H108*Q108</f>
        <v>0</v>
      </c>
      <c r="K108" s="891"/>
      <c r="L108" s="595">
        <f>J108+J108*R108</f>
        <v>0</v>
      </c>
      <c r="M108" s="891"/>
      <c r="N108" s="53"/>
      <c r="O108" s="382">
        <v>0.03</v>
      </c>
      <c r="P108" s="382">
        <f>O108</f>
        <v>0.03</v>
      </c>
      <c r="Q108" s="382">
        <f t="shared" ref="Q108:R111" si="23">P108</f>
        <v>0.03</v>
      </c>
      <c r="R108" s="382">
        <f t="shared" si="23"/>
        <v>0.03</v>
      </c>
      <c r="S108" s="320"/>
      <c r="T108" s="320"/>
      <c r="U108" s="320"/>
      <c r="V108" s="320"/>
      <c r="W108" s="320"/>
      <c r="X108" s="320"/>
      <c r="Y108" s="320"/>
      <c r="Z108" s="463"/>
      <c r="AA108" s="463"/>
      <c r="AB108" s="464"/>
    </row>
    <row r="109" spans="1:28" s="50" customFormat="1" ht="13.95" customHeight="1">
      <c r="A109" s="51"/>
      <c r="B109" s="242"/>
      <c r="C109" s="1053" t="s">
        <v>56</v>
      </c>
      <c r="D109" s="595">
        <v>0</v>
      </c>
      <c r="E109" s="891"/>
      <c r="F109" s="595">
        <f>D109+D109*O109</f>
        <v>0</v>
      </c>
      <c r="G109" s="891"/>
      <c r="H109" s="595">
        <f>F109+F109*P109</f>
        <v>0</v>
      </c>
      <c r="I109" s="891"/>
      <c r="J109" s="595">
        <f>H109+H109*Q109</f>
        <v>0</v>
      </c>
      <c r="K109" s="891"/>
      <c r="L109" s="595">
        <f>J109+J109*R109</f>
        <v>0</v>
      </c>
      <c r="M109" s="891"/>
      <c r="N109" s="53"/>
      <c r="O109" s="382">
        <v>0.03</v>
      </c>
      <c r="P109" s="382">
        <f>O109</f>
        <v>0.03</v>
      </c>
      <c r="Q109" s="382">
        <f t="shared" si="23"/>
        <v>0.03</v>
      </c>
      <c r="R109" s="382">
        <f t="shared" si="23"/>
        <v>0.03</v>
      </c>
      <c r="S109" s="320"/>
      <c r="T109" s="320"/>
      <c r="U109" s="320"/>
      <c r="V109" s="320"/>
      <c r="W109" s="320"/>
      <c r="X109" s="320"/>
      <c r="Y109" s="320"/>
      <c r="Z109" s="463"/>
      <c r="AA109" s="463"/>
      <c r="AB109" s="464"/>
    </row>
    <row r="110" spans="1:28" s="50" customFormat="1" ht="13.95" customHeight="1">
      <c r="A110" s="2"/>
      <c r="B110" s="242"/>
      <c r="C110" s="1053" t="s">
        <v>57</v>
      </c>
      <c r="D110" s="595">
        <v>0</v>
      </c>
      <c r="E110" s="891"/>
      <c r="F110" s="595">
        <f>D110+D110*O110</f>
        <v>0</v>
      </c>
      <c r="G110" s="891"/>
      <c r="H110" s="595">
        <f>F110+F110*P110</f>
        <v>0</v>
      </c>
      <c r="I110" s="891"/>
      <c r="J110" s="595">
        <f>H110+H110*Q110</f>
        <v>0</v>
      </c>
      <c r="K110" s="891"/>
      <c r="L110" s="595">
        <f>J110+J110*R110</f>
        <v>0</v>
      </c>
      <c r="M110" s="891"/>
      <c r="N110" s="55"/>
      <c r="O110" s="382">
        <v>0.03</v>
      </c>
      <c r="P110" s="382">
        <f>O110</f>
        <v>0.03</v>
      </c>
      <c r="Q110" s="382">
        <f t="shared" si="23"/>
        <v>0.03</v>
      </c>
      <c r="R110" s="382">
        <f t="shared" si="23"/>
        <v>0.03</v>
      </c>
      <c r="S110" s="320"/>
      <c r="T110" s="320"/>
      <c r="U110" s="320"/>
      <c r="V110" s="320"/>
      <c r="W110" s="320"/>
      <c r="X110" s="320"/>
      <c r="Y110" s="320"/>
      <c r="Z110" s="463"/>
      <c r="AA110" s="463"/>
      <c r="AB110" s="464"/>
    </row>
    <row r="111" spans="1:28" s="50" customFormat="1" ht="13.95" customHeight="1" thickBot="1">
      <c r="A111"/>
      <c r="B111" s="242"/>
      <c r="C111" s="1056" t="s">
        <v>58</v>
      </c>
      <c r="D111" s="595">
        <v>0</v>
      </c>
      <c r="E111" s="905"/>
      <c r="F111" s="595">
        <f>D111+D111*O111</f>
        <v>0</v>
      </c>
      <c r="G111" s="905"/>
      <c r="H111" s="595">
        <f>F111+F111*P111</f>
        <v>0</v>
      </c>
      <c r="I111" s="905"/>
      <c r="J111" s="906">
        <f>H111+H111*Q111</f>
        <v>0</v>
      </c>
      <c r="K111" s="905"/>
      <c r="L111" s="906">
        <f>J111+J111*R111</f>
        <v>0</v>
      </c>
      <c r="M111" s="905"/>
      <c r="N111" s="55"/>
      <c r="O111" s="382">
        <v>0.03</v>
      </c>
      <c r="P111" s="382">
        <f>O111</f>
        <v>0.03</v>
      </c>
      <c r="Q111" s="382">
        <f t="shared" si="23"/>
        <v>0.03</v>
      </c>
      <c r="R111" s="382">
        <f t="shared" si="23"/>
        <v>0.03</v>
      </c>
      <c r="S111" s="320"/>
      <c r="T111" s="320"/>
      <c r="U111" s="320"/>
      <c r="V111" s="320"/>
      <c r="W111" s="320"/>
      <c r="X111" s="320"/>
      <c r="Y111" s="320"/>
      <c r="Z111" s="463"/>
      <c r="AA111" s="463"/>
      <c r="AB111" s="464"/>
    </row>
    <row r="112" spans="1:28" s="4" customFormat="1" ht="13.95" customHeight="1">
      <c r="A112"/>
      <c r="B112" s="417"/>
      <c r="C112" s="1057" t="s">
        <v>501</v>
      </c>
      <c r="D112" s="916">
        <f>SUM(D113:D115)</f>
        <v>0</v>
      </c>
      <c r="E112" s="904">
        <f>IF(D$45=0,0,100*D112/D$45)</f>
        <v>0</v>
      </c>
      <c r="F112" s="916">
        <f>SUM(F113:F115)</f>
        <v>0</v>
      </c>
      <c r="G112" s="904">
        <f>IF(F$45=0,0,100*F112/F$45)</f>
        <v>0</v>
      </c>
      <c r="H112" s="916">
        <f>SUM(H113:H115)</f>
        <v>0</v>
      </c>
      <c r="I112" s="904">
        <f>IF(H$45=0,0,100*H112/H$45)</f>
        <v>0</v>
      </c>
      <c r="J112" s="916">
        <f>SUM(J113:J115)</f>
        <v>0</v>
      </c>
      <c r="K112" s="904">
        <f>IF(J$45=0,0,100*J112/J$45)</f>
        <v>0</v>
      </c>
      <c r="L112" s="916">
        <f>SUM(L113:L115)</f>
        <v>0</v>
      </c>
      <c r="M112" s="904">
        <f>IF(L$45=0,0,100*L112/L$45)</f>
        <v>0</v>
      </c>
      <c r="N112" s="29"/>
      <c r="O112" s="1483"/>
      <c r="P112" s="1482"/>
      <c r="Q112" s="1482"/>
      <c r="R112" s="1482"/>
      <c r="S112" s="320"/>
      <c r="T112" s="320"/>
      <c r="U112" s="320"/>
      <c r="V112" s="320"/>
      <c r="W112" s="320"/>
      <c r="X112" s="320"/>
      <c r="Y112" s="320"/>
      <c r="Z112" s="463"/>
      <c r="AA112" s="463"/>
      <c r="AB112" s="464"/>
    </row>
    <row r="113" spans="1:28" s="50" customFormat="1" ht="13.95" customHeight="1">
      <c r="A113"/>
      <c r="B113" s="242"/>
      <c r="C113" s="1053" t="s">
        <v>502</v>
      </c>
      <c r="D113" s="595">
        <v>0</v>
      </c>
      <c r="E113" s="891"/>
      <c r="F113" s="595">
        <f>D113+D113*O113</f>
        <v>0</v>
      </c>
      <c r="G113" s="891"/>
      <c r="H113" s="595">
        <f t="shared" ref="H113:H123" si="24">F113+F113*P113</f>
        <v>0</v>
      </c>
      <c r="I113" s="891"/>
      <c r="J113" s="595">
        <f>H113+H113*Q113</f>
        <v>0</v>
      </c>
      <c r="K113" s="891"/>
      <c r="L113" s="595">
        <f t="shared" ref="L113:L123" si="25">J113+J113*R113</f>
        <v>0</v>
      </c>
      <c r="M113" s="891"/>
      <c r="N113" s="53"/>
      <c r="O113" s="382">
        <v>0.03</v>
      </c>
      <c r="P113" s="382">
        <f t="shared" ref="P113:P121" si="26">O113</f>
        <v>0.03</v>
      </c>
      <c r="Q113" s="382">
        <f t="shared" ref="Q113:R121" si="27">P113</f>
        <v>0.03</v>
      </c>
      <c r="R113" s="382">
        <f t="shared" si="27"/>
        <v>0.03</v>
      </c>
      <c r="S113" s="320"/>
      <c r="T113" s="320"/>
      <c r="U113" s="320"/>
      <c r="V113" s="320"/>
      <c r="W113" s="320"/>
      <c r="X113" s="320"/>
      <c r="Y113" s="463"/>
      <c r="Z113" s="463"/>
      <c r="AA113" s="320"/>
      <c r="AB113" s="464"/>
    </row>
    <row r="114" spans="1:28" s="50" customFormat="1" ht="13.95" customHeight="1">
      <c r="A114"/>
      <c r="B114" s="242"/>
      <c r="C114" s="1053" t="s">
        <v>182</v>
      </c>
      <c r="D114" s="595">
        <v>0</v>
      </c>
      <c r="E114" s="891"/>
      <c r="F114" s="595">
        <f t="shared" ref="F114:F123" si="28">D114+D114*O114</f>
        <v>0</v>
      </c>
      <c r="G114" s="891"/>
      <c r="H114" s="595">
        <f t="shared" si="24"/>
        <v>0</v>
      </c>
      <c r="I114" s="891"/>
      <c r="J114" s="595">
        <f t="shared" ref="J114:J123" si="29">H114+H114*Q114</f>
        <v>0</v>
      </c>
      <c r="K114" s="891"/>
      <c r="L114" s="595">
        <f t="shared" si="25"/>
        <v>0</v>
      </c>
      <c r="M114" s="891"/>
      <c r="N114" s="53"/>
      <c r="O114" s="382">
        <v>0.03</v>
      </c>
      <c r="P114" s="382">
        <f t="shared" si="26"/>
        <v>0.03</v>
      </c>
      <c r="Q114" s="382">
        <f t="shared" si="27"/>
        <v>0.03</v>
      </c>
      <c r="R114" s="382">
        <f t="shared" si="27"/>
        <v>0.03</v>
      </c>
      <c r="S114" s="320"/>
      <c r="T114" s="320"/>
      <c r="U114" s="320"/>
      <c r="V114" s="463"/>
      <c r="W114" s="463"/>
      <c r="X114" s="463"/>
      <c r="Y114" s="463"/>
      <c r="Z114" s="320"/>
      <c r="AA114" s="320"/>
      <c r="AB114" s="464"/>
    </row>
    <row r="115" spans="1:28" s="50" customFormat="1" ht="13.95" customHeight="1" thickBot="1">
      <c r="B115" s="242"/>
      <c r="C115" s="1055" t="s">
        <v>59</v>
      </c>
      <c r="D115" s="906">
        <v>0</v>
      </c>
      <c r="E115" s="905"/>
      <c r="F115" s="595">
        <f t="shared" si="28"/>
        <v>0</v>
      </c>
      <c r="G115" s="905"/>
      <c r="H115" s="906">
        <f t="shared" si="24"/>
        <v>0</v>
      </c>
      <c r="I115" s="905"/>
      <c r="J115" s="906">
        <f t="shared" si="29"/>
        <v>0</v>
      </c>
      <c r="K115" s="905"/>
      <c r="L115" s="906">
        <f t="shared" si="25"/>
        <v>0</v>
      </c>
      <c r="M115" s="905"/>
      <c r="N115" s="55"/>
      <c r="O115" s="382">
        <v>0.03</v>
      </c>
      <c r="P115" s="382">
        <f t="shared" si="26"/>
        <v>0.03</v>
      </c>
      <c r="Q115" s="382">
        <f t="shared" si="27"/>
        <v>0.03</v>
      </c>
      <c r="R115" s="382">
        <f t="shared" si="27"/>
        <v>0.03</v>
      </c>
      <c r="S115" s="320"/>
      <c r="T115" s="320"/>
      <c r="U115" s="320"/>
      <c r="V115" s="463"/>
      <c r="W115" s="463"/>
      <c r="X115" s="463"/>
      <c r="Y115" s="463"/>
      <c r="Z115" s="463"/>
      <c r="AA115" s="463"/>
      <c r="AB115" s="468"/>
    </row>
    <row r="116" spans="1:28" s="4" customFormat="1" ht="13.95" customHeight="1" thickBot="1">
      <c r="B116" s="417"/>
      <c r="C116" s="1058" t="s">
        <v>71</v>
      </c>
      <c r="D116" s="909">
        <v>0</v>
      </c>
      <c r="E116" s="912">
        <f>IF(D$45=0,0,100*D116/D$45)</f>
        <v>0</v>
      </c>
      <c r="F116" s="909">
        <f>D116+D116*O116</f>
        <v>0</v>
      </c>
      <c r="G116" s="912">
        <f>IF(F$45=0,0,100*F116/F$45)</f>
        <v>0</v>
      </c>
      <c r="H116" s="909">
        <f t="shared" si="24"/>
        <v>0</v>
      </c>
      <c r="I116" s="912">
        <f>IF(H$45=0,0,100*H116/H$45)</f>
        <v>0</v>
      </c>
      <c r="J116" s="909">
        <f t="shared" si="29"/>
        <v>0</v>
      </c>
      <c r="K116" s="904">
        <f>IF(J$45=0,0,100*J116/J$45)</f>
        <v>0</v>
      </c>
      <c r="L116" s="909">
        <f t="shared" si="25"/>
        <v>0</v>
      </c>
      <c r="M116" s="904">
        <f>IF(L$45=0,0,100*L116/L$45)</f>
        <v>0</v>
      </c>
      <c r="N116" s="29"/>
      <c r="O116" s="382">
        <v>0.03</v>
      </c>
      <c r="P116" s="382">
        <f t="shared" si="26"/>
        <v>0.03</v>
      </c>
      <c r="Q116" s="382">
        <f t="shared" si="27"/>
        <v>0.03</v>
      </c>
      <c r="R116" s="382">
        <f t="shared" si="27"/>
        <v>0.03</v>
      </c>
      <c r="S116" s="320"/>
      <c r="T116" s="320"/>
      <c r="U116" s="320"/>
      <c r="V116" s="463"/>
      <c r="W116" s="463"/>
      <c r="X116" s="463"/>
      <c r="Y116" s="463"/>
      <c r="Z116" s="463"/>
      <c r="AA116" s="463"/>
      <c r="AB116" s="468"/>
    </row>
    <row r="117" spans="1:28" s="4" customFormat="1" ht="13.95" customHeight="1" thickBot="1">
      <c r="B117" s="417"/>
      <c r="C117" s="1058" t="s">
        <v>72</v>
      </c>
      <c r="D117" s="909">
        <v>0</v>
      </c>
      <c r="E117" s="912">
        <f>IF(D$45=0,0,100*D117/D$45)</f>
        <v>0</v>
      </c>
      <c r="F117" s="909">
        <f t="shared" si="28"/>
        <v>0</v>
      </c>
      <c r="G117" s="912">
        <f>IF(F$45=0,0,100*F117/F$45)</f>
        <v>0</v>
      </c>
      <c r="H117" s="909">
        <f t="shared" si="24"/>
        <v>0</v>
      </c>
      <c r="I117" s="912">
        <f>IF(H$45=0,0,100*H117/H$45)</f>
        <v>0</v>
      </c>
      <c r="J117" s="909">
        <f t="shared" si="29"/>
        <v>0</v>
      </c>
      <c r="K117" s="904">
        <f>IF(J$45=0,0,100*J117/J$45)</f>
        <v>0</v>
      </c>
      <c r="L117" s="909">
        <f t="shared" si="25"/>
        <v>0</v>
      </c>
      <c r="M117" s="904">
        <f>IF(L$45=0,0,100*L117/L$45)</f>
        <v>0</v>
      </c>
      <c r="N117" s="29"/>
      <c r="O117" s="382">
        <v>0.03</v>
      </c>
      <c r="P117" s="382">
        <f t="shared" si="26"/>
        <v>0.03</v>
      </c>
      <c r="Q117" s="382">
        <f t="shared" si="27"/>
        <v>0.03</v>
      </c>
      <c r="R117" s="382">
        <f t="shared" si="27"/>
        <v>0.03</v>
      </c>
      <c r="S117" s="320"/>
      <c r="T117" s="320"/>
      <c r="U117" s="320"/>
      <c r="V117" s="463"/>
      <c r="W117" s="463"/>
      <c r="X117" s="463"/>
      <c r="Y117" s="463"/>
      <c r="Z117" s="463"/>
      <c r="AA117" s="463"/>
      <c r="AB117" s="468"/>
    </row>
    <row r="118" spans="1:28" s="4" customFormat="1" ht="13.95" customHeight="1" thickBot="1">
      <c r="B118" s="1062"/>
      <c r="C118" s="1059" t="s">
        <v>481</v>
      </c>
      <c r="D118" s="909">
        <v>0</v>
      </c>
      <c r="E118" s="912">
        <f t="shared" ref="E118:E123" si="30">IF(D$124=0,0,100*D118/D$124)</f>
        <v>0</v>
      </c>
      <c r="F118" s="909">
        <f t="shared" si="28"/>
        <v>0</v>
      </c>
      <c r="G118" s="912">
        <f>IF(F$45=0,0,100*F118/F$45)</f>
        <v>0</v>
      </c>
      <c r="H118" s="909">
        <f t="shared" si="24"/>
        <v>0</v>
      </c>
      <c r="I118" s="912">
        <f>IF(H$45=0,0,100*H118/H$45)</f>
        <v>0</v>
      </c>
      <c r="J118" s="909">
        <f t="shared" si="29"/>
        <v>0</v>
      </c>
      <c r="K118" s="912">
        <f>IF(J$45=0,0,100*J118/J$45)</f>
        <v>0</v>
      </c>
      <c r="L118" s="909">
        <f t="shared" si="25"/>
        <v>0</v>
      </c>
      <c r="M118" s="912">
        <f>IF(L$45=0,0,100*L118/L$45)</f>
        <v>0</v>
      </c>
      <c r="N118" s="30"/>
      <c r="O118" s="382">
        <v>0.03</v>
      </c>
      <c r="P118" s="382">
        <f t="shared" si="26"/>
        <v>0.03</v>
      </c>
      <c r="Q118" s="382">
        <f t="shared" si="27"/>
        <v>0.03</v>
      </c>
      <c r="R118" s="382">
        <f t="shared" si="27"/>
        <v>0.03</v>
      </c>
      <c r="S118" s="320"/>
      <c r="T118" s="320"/>
      <c r="U118" s="320"/>
      <c r="V118" s="320"/>
      <c r="W118" s="320"/>
      <c r="X118" s="320"/>
      <c r="Y118" s="463"/>
      <c r="Z118" s="463"/>
      <c r="AA118" s="463"/>
      <c r="AB118" s="468"/>
    </row>
    <row r="119" spans="1:28" s="4" customFormat="1" ht="13.95" customHeight="1" thickBot="1">
      <c r="A119"/>
      <c r="B119" s="1062"/>
      <c r="C119" s="1059" t="s">
        <v>498</v>
      </c>
      <c r="D119" s="909">
        <v>0</v>
      </c>
      <c r="E119" s="912">
        <f t="shared" si="30"/>
        <v>0</v>
      </c>
      <c r="F119" s="909">
        <f>D119</f>
        <v>0</v>
      </c>
      <c r="G119" s="912">
        <f t="shared" ref="G119:M120" si="31">IF(F$45=0,0,100*F119/F$45)</f>
        <v>0</v>
      </c>
      <c r="H119" s="909">
        <f>F119</f>
        <v>0</v>
      </c>
      <c r="I119" s="912">
        <f t="shared" ref="I119" si="32">IF(H$45=0,0,100*H119/H$45)</f>
        <v>0</v>
      </c>
      <c r="J119" s="909">
        <f>H119</f>
        <v>0</v>
      </c>
      <c r="K119" s="912">
        <f>IF(J$45=0,0,100*J119/J$45)</f>
        <v>0</v>
      </c>
      <c r="L119" s="909">
        <f>J119</f>
        <v>0</v>
      </c>
      <c r="M119" s="912">
        <f>IF(L$45=0,0,100*L119/L$45)</f>
        <v>0</v>
      </c>
      <c r="N119" s="30"/>
      <c r="O119" s="529">
        <f>IF(F119&gt;0,"MERKITSE MENO KOKO SOPIMUSKAUDELLE!",0)</f>
        <v>0</v>
      </c>
      <c r="P119" s="539"/>
      <c r="Q119" s="539"/>
      <c r="R119" s="539"/>
      <c r="S119" s="151"/>
      <c r="T119" s="320"/>
      <c r="U119" s="320"/>
      <c r="V119" s="320"/>
      <c r="W119" s="320"/>
      <c r="X119" s="320"/>
      <c r="Y119" s="463"/>
      <c r="Z119" s="463"/>
      <c r="AA119" s="463"/>
      <c r="AB119" s="468"/>
    </row>
    <row r="120" spans="1:28" s="4" customFormat="1" ht="13.95" customHeight="1" thickBot="1">
      <c r="B120" s="1062"/>
      <c r="C120" s="1060" t="s">
        <v>482</v>
      </c>
      <c r="D120" s="909">
        <v>0</v>
      </c>
      <c r="E120" s="912">
        <f t="shared" si="30"/>
        <v>0</v>
      </c>
      <c r="F120" s="909">
        <f t="shared" si="28"/>
        <v>0</v>
      </c>
      <c r="G120" s="912">
        <f t="shared" si="31"/>
        <v>0</v>
      </c>
      <c r="H120" s="909">
        <f t="shared" ref="H120" si="33">F120+F120*P120</f>
        <v>0</v>
      </c>
      <c r="I120" s="912">
        <f t="shared" si="31"/>
        <v>0</v>
      </c>
      <c r="J120" s="909">
        <f t="shared" ref="J120" si="34">H120+H120*Q120</f>
        <v>0</v>
      </c>
      <c r="K120" s="912">
        <f t="shared" si="31"/>
        <v>0</v>
      </c>
      <c r="L120" s="909">
        <f t="shared" ref="L120" si="35">J120+J120*R120</f>
        <v>0</v>
      </c>
      <c r="M120" s="912">
        <f t="shared" si="31"/>
        <v>0</v>
      </c>
      <c r="N120" s="30"/>
      <c r="O120" s="382">
        <v>0.03</v>
      </c>
      <c r="P120" s="382">
        <f t="shared" ref="P120:R120" si="36">O120</f>
        <v>0.03</v>
      </c>
      <c r="Q120" s="382">
        <f t="shared" si="36"/>
        <v>0.03</v>
      </c>
      <c r="R120" s="382">
        <f t="shared" si="36"/>
        <v>0.03</v>
      </c>
      <c r="S120" s="320"/>
      <c r="T120" s="320"/>
      <c r="U120" s="320"/>
      <c r="V120" s="320"/>
      <c r="W120" s="320"/>
      <c r="X120" s="320"/>
      <c r="Y120" s="320"/>
      <c r="Z120" s="320"/>
      <c r="AA120" s="320"/>
      <c r="AB120" s="464"/>
    </row>
    <row r="121" spans="1:28" s="4" customFormat="1" ht="13.95" customHeight="1" thickBot="1">
      <c r="A121"/>
      <c r="B121" s="1062"/>
      <c r="C121" s="1180" t="s">
        <v>705</v>
      </c>
      <c r="D121" s="909">
        <v>0</v>
      </c>
      <c r="E121" s="912">
        <f t="shared" si="30"/>
        <v>0</v>
      </c>
      <c r="F121" s="909">
        <f t="shared" si="28"/>
        <v>0</v>
      </c>
      <c r="G121" s="912">
        <f>IF(F$45=0,0,100*F121/F$45)</f>
        <v>0</v>
      </c>
      <c r="H121" s="909">
        <f t="shared" si="24"/>
        <v>0</v>
      </c>
      <c r="I121" s="912">
        <f>IF(H$45=0,0,100*H121/H$45)</f>
        <v>0</v>
      </c>
      <c r="J121" s="909">
        <f t="shared" si="29"/>
        <v>0</v>
      </c>
      <c r="K121" s="912">
        <f>IF(J$45=0,0,100*J121/J$45)</f>
        <v>0</v>
      </c>
      <c r="L121" s="909">
        <f t="shared" si="25"/>
        <v>0</v>
      </c>
      <c r="M121" s="912">
        <f>IF(L$45=0,0,100*L121/L$45)</f>
        <v>0</v>
      </c>
      <c r="N121" s="30"/>
      <c r="O121" s="382">
        <v>0.03</v>
      </c>
      <c r="P121" s="382">
        <f t="shared" si="26"/>
        <v>0.03</v>
      </c>
      <c r="Q121" s="382">
        <f t="shared" si="27"/>
        <v>0.03</v>
      </c>
      <c r="R121" s="382">
        <f t="shared" si="27"/>
        <v>0.03</v>
      </c>
      <c r="S121" s="320"/>
      <c r="T121" s="320"/>
      <c r="U121" s="320"/>
      <c r="V121" s="320"/>
      <c r="W121" s="320"/>
      <c r="X121" s="320"/>
      <c r="Y121" s="320"/>
      <c r="Z121" s="320"/>
      <c r="AA121" s="320"/>
      <c r="AB121" s="464"/>
    </row>
    <row r="122" spans="1:28" s="4" customFormat="1" ht="13.95" customHeight="1" thickBot="1">
      <c r="A122"/>
      <c r="B122" s="1062"/>
      <c r="C122" s="1060" t="s">
        <v>499</v>
      </c>
      <c r="D122" s="909">
        <v>0</v>
      </c>
      <c r="E122" s="912">
        <f t="shared" si="30"/>
        <v>0</v>
      </c>
      <c r="F122" s="909">
        <f t="shared" si="28"/>
        <v>0</v>
      </c>
      <c r="G122" s="912">
        <f t="shared" ref="G122:G123" si="37">IF(F$45=0,0,100*F122/F$45)</f>
        <v>0</v>
      </c>
      <c r="H122" s="909">
        <f t="shared" si="24"/>
        <v>0</v>
      </c>
      <c r="I122" s="912">
        <f t="shared" ref="I122:I123" si="38">IF(H$45=0,0,100*H122/H$45)</f>
        <v>0</v>
      </c>
      <c r="J122" s="909">
        <f t="shared" si="29"/>
        <v>0</v>
      </c>
      <c r="K122" s="912">
        <f t="shared" ref="K122:K123" si="39">IF(J$45=0,0,100*J122/J$45)</f>
        <v>0</v>
      </c>
      <c r="L122" s="909">
        <f t="shared" si="25"/>
        <v>0</v>
      </c>
      <c r="M122" s="912">
        <f t="shared" ref="M122:M123" si="40">IF(L$45=0,0,100*L122/L$45)</f>
        <v>0</v>
      </c>
      <c r="N122" s="30"/>
      <c r="O122" s="382">
        <v>0.03</v>
      </c>
      <c r="P122" s="382">
        <f t="shared" ref="P122:P123" si="41">O122</f>
        <v>0.03</v>
      </c>
      <c r="Q122" s="382">
        <f t="shared" ref="Q122:Q123" si="42">P122</f>
        <v>0.03</v>
      </c>
      <c r="R122" s="382">
        <f t="shared" ref="R122:R123" si="43">Q122</f>
        <v>0.03</v>
      </c>
      <c r="S122" s="378"/>
      <c r="T122" s="320"/>
      <c r="U122" s="320"/>
      <c r="V122" s="320"/>
      <c r="W122" s="320"/>
      <c r="X122" s="320"/>
      <c r="Y122" s="320"/>
      <c r="Z122" s="320"/>
      <c r="AA122" s="320"/>
      <c r="AB122" s="464"/>
    </row>
    <row r="123" spans="1:28" s="4" customFormat="1" ht="13.95" customHeight="1" thickBot="1">
      <c r="A123"/>
      <c r="B123" s="1062"/>
      <c r="C123" s="1060" t="s">
        <v>500</v>
      </c>
      <c r="D123" s="978">
        <v>0</v>
      </c>
      <c r="E123" s="912">
        <f t="shared" si="30"/>
        <v>0</v>
      </c>
      <c r="F123" s="909">
        <f t="shared" si="28"/>
        <v>0</v>
      </c>
      <c r="G123" s="912">
        <f t="shared" si="37"/>
        <v>0</v>
      </c>
      <c r="H123" s="909">
        <f t="shared" si="24"/>
        <v>0</v>
      </c>
      <c r="I123" s="912">
        <f t="shared" si="38"/>
        <v>0</v>
      </c>
      <c r="J123" s="909">
        <f t="shared" si="29"/>
        <v>0</v>
      </c>
      <c r="K123" s="912">
        <f t="shared" si="39"/>
        <v>0</v>
      </c>
      <c r="L123" s="909">
        <f t="shared" si="25"/>
        <v>0</v>
      </c>
      <c r="M123" s="912">
        <f t="shared" si="40"/>
        <v>0</v>
      </c>
      <c r="N123" s="30"/>
      <c r="O123" s="382">
        <v>0.03</v>
      </c>
      <c r="P123" s="382">
        <f t="shared" si="41"/>
        <v>0.03</v>
      </c>
      <c r="Q123" s="382">
        <f t="shared" si="42"/>
        <v>0.03</v>
      </c>
      <c r="R123" s="382">
        <f t="shared" si="43"/>
        <v>0.03</v>
      </c>
      <c r="S123" s="541"/>
      <c r="T123" s="465"/>
      <c r="U123" s="465"/>
      <c r="V123" s="465"/>
      <c r="W123" s="465"/>
      <c r="X123" s="465"/>
      <c r="Y123" s="465"/>
      <c r="Z123" s="465"/>
      <c r="AA123" s="465"/>
      <c r="AB123" s="467"/>
    </row>
    <row r="124" spans="1:28" ht="17.7" customHeight="1" thickBot="1">
      <c r="B124" s="1232" t="s">
        <v>5</v>
      </c>
      <c r="C124" s="1233" t="s">
        <v>18</v>
      </c>
      <c r="D124" s="1234">
        <f>D45+D44</f>
        <v>0</v>
      </c>
      <c r="E124" s="1235">
        <v>0</v>
      </c>
      <c r="F124" s="1234">
        <f>F45+F44</f>
        <v>0</v>
      </c>
      <c r="G124" s="1236">
        <v>0</v>
      </c>
      <c r="H124" s="1234">
        <f>H45+H44</f>
        <v>0</v>
      </c>
      <c r="I124" s="1237">
        <v>0</v>
      </c>
      <c r="J124" s="1234">
        <f>J45+J44</f>
        <v>0</v>
      </c>
      <c r="K124" s="1235"/>
      <c r="L124" s="1234">
        <f>L45+L44</f>
        <v>0</v>
      </c>
      <c r="M124" s="1235"/>
      <c r="N124" s="7"/>
      <c r="O124" s="41"/>
      <c r="P124" s="41"/>
      <c r="Q124" s="41"/>
      <c r="R124" s="41"/>
      <c r="S124" s="42"/>
      <c r="T124" s="42"/>
      <c r="U124" s="42"/>
      <c r="V124" s="42"/>
      <c r="W124" s="42"/>
      <c r="X124" s="42"/>
      <c r="Y124" s="42"/>
      <c r="Z124" s="26"/>
      <c r="AA124" s="26"/>
    </row>
    <row r="125" spans="1:28" ht="17.25" customHeight="1">
      <c r="B125" s="1638" t="str">
        <f>IF(D46+D52&lt;0,"VIRHE! KORJAA LUVUT + MERKKISIKSI!","")</f>
        <v/>
      </c>
      <c r="D125" s="1072" t="str">
        <f>IF(D124&lt;0,"MUUTA KAIKKI TAULUKON LUVUT +MERKKISIKSI!","")</f>
        <v/>
      </c>
      <c r="N125" s="3"/>
      <c r="O125" s="25"/>
      <c r="P125" s="25"/>
      <c r="Q125" s="1"/>
      <c r="R125" s="1"/>
      <c r="S125" s="1"/>
      <c r="T125" s="1"/>
      <c r="U125" s="1"/>
      <c r="V125" s="1"/>
      <c r="W125" s="1"/>
      <c r="X125" s="1"/>
      <c r="Y125" s="1"/>
      <c r="Z125" s="26"/>
      <c r="AA125" s="26"/>
    </row>
    <row r="126" spans="1:28" s="2" customFormat="1">
      <c r="A126" s="4"/>
      <c r="D126" s="221"/>
      <c r="E126" s="398"/>
      <c r="F126" s="398"/>
      <c r="G126" s="398"/>
      <c r="H126" s="398"/>
      <c r="I126" s="1830" t="str">
        <f>OHJE!I5</f>
        <v>Yritystulkin tarjoaa</v>
      </c>
      <c r="J126" s="1830"/>
      <c r="K126" s="1830"/>
      <c r="L126" s="1830"/>
      <c r="M126" s="1830"/>
      <c r="N126" s="3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26"/>
      <c r="AA126" s="26"/>
    </row>
    <row r="127" spans="1:28" s="2" customFormat="1">
      <c r="B127" s="1930" t="str">
        <f>OHJE!G24</f>
        <v>YT22 Toimivan yrityksen tulossuunnitelma</v>
      </c>
      <c r="C127" s="1930"/>
      <c r="D127" s="398"/>
      <c r="E127" s="398"/>
      <c r="F127" s="1939" t="str">
        <f>OHJE!H7</f>
        <v>Invest Lapua</v>
      </c>
      <c r="G127" s="1939"/>
      <c r="H127" s="1939"/>
      <c r="I127" s="1939"/>
      <c r="J127" s="1939"/>
      <c r="K127" s="1939"/>
      <c r="L127" s="1939"/>
      <c r="M127" s="1939"/>
      <c r="N127" s="3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26"/>
      <c r="AA127" s="26"/>
    </row>
    <row r="128" spans="1:28" s="2" customFormat="1">
      <c r="B128" s="4"/>
      <c r="N128" s="3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26"/>
      <c r="AA128" s="26"/>
    </row>
    <row r="129" spans="1:27" ht="6.75" customHeight="1"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26"/>
      <c r="AA129" s="26"/>
    </row>
    <row r="130" spans="1:27">
      <c r="B130" s="31"/>
      <c r="C130" s="396" t="s">
        <v>332</v>
      </c>
      <c r="D130" s="17"/>
      <c r="E130" s="17"/>
      <c r="F130" s="9"/>
      <c r="G130" s="17"/>
      <c r="H130" s="9"/>
      <c r="I130" s="17"/>
      <c r="J130" s="9"/>
      <c r="K130" s="17"/>
      <c r="L130" s="9"/>
      <c r="M130" s="17"/>
      <c r="N130" s="9"/>
      <c r="O130" s="9"/>
      <c r="P130" s="9"/>
      <c r="Q130" s="8"/>
      <c r="R130" s="26"/>
      <c r="S130" s="26"/>
      <c r="T130" s="26"/>
      <c r="U130" s="26"/>
      <c r="V130" s="26"/>
      <c r="W130" s="26"/>
      <c r="X130" s="26"/>
      <c r="Y130" s="26"/>
      <c r="Z130" s="26"/>
      <c r="AA130" s="26"/>
    </row>
    <row r="131" spans="1:27" s="2" customFormat="1">
      <c r="B131" s="34"/>
      <c r="C131" s="50" t="s">
        <v>333</v>
      </c>
      <c r="D131" s="33"/>
      <c r="E131" s="33"/>
      <c r="F131" s="20"/>
      <c r="G131" s="33"/>
      <c r="H131" s="9"/>
      <c r="I131" s="33"/>
      <c r="J131" s="9"/>
      <c r="K131" s="33"/>
      <c r="L131" s="9"/>
      <c r="M131" s="33"/>
      <c r="N131" s="9"/>
      <c r="O131" s="9"/>
      <c r="P131" s="9"/>
      <c r="Q131" s="8"/>
      <c r="R131" s="26"/>
      <c r="S131" s="26"/>
      <c r="T131" s="26"/>
      <c r="U131" s="26"/>
      <c r="V131" s="26"/>
      <c r="W131" s="26"/>
      <c r="X131" s="26"/>
      <c r="Y131" s="26"/>
      <c r="Z131" s="26"/>
      <c r="AA131" s="26"/>
    </row>
    <row r="132" spans="1:27" s="2" customFormat="1" ht="12.75" customHeight="1">
      <c r="B132" s="34"/>
      <c r="C132" s="50" t="s">
        <v>334</v>
      </c>
      <c r="D132" s="33"/>
      <c r="E132" s="33"/>
      <c r="F132" s="9"/>
      <c r="G132" s="33"/>
      <c r="H132" s="9"/>
      <c r="I132" s="33"/>
      <c r="J132" s="9"/>
      <c r="K132" s="33"/>
      <c r="L132" s="9"/>
      <c r="M132" s="33"/>
      <c r="N132" s="9"/>
      <c r="O132" s="9"/>
      <c r="P132" s="9"/>
      <c r="Q132" s="8"/>
      <c r="R132" s="26"/>
      <c r="S132" s="26"/>
      <c r="T132" s="26"/>
      <c r="U132" s="26"/>
      <c r="V132" s="26"/>
      <c r="W132" s="26"/>
      <c r="X132" s="26"/>
      <c r="Y132" s="26"/>
      <c r="Z132" s="26"/>
      <c r="AA132" s="26"/>
    </row>
    <row r="133" spans="1:27" s="476" customFormat="1">
      <c r="B133" s="1632"/>
      <c r="N133" s="469"/>
      <c r="O133" s="469"/>
      <c r="P133" s="469"/>
      <c r="Q133" s="1633"/>
      <c r="R133" s="33"/>
      <c r="S133" s="1633"/>
      <c r="T133" s="1633"/>
      <c r="U133" s="1633"/>
      <c r="V133" s="1633"/>
      <c r="W133" s="1633"/>
      <c r="X133" s="1633"/>
      <c r="Y133" s="1633"/>
      <c r="Z133" s="1633"/>
      <c r="AA133" s="1633"/>
    </row>
    <row r="134" spans="1:27" s="2" customFormat="1">
      <c r="B134" s="1632"/>
      <c r="N134" s="1634"/>
      <c r="O134" s="1634"/>
      <c r="P134" s="1634"/>
      <c r="Q134" s="1633"/>
      <c r="R134" s="33"/>
      <c r="S134" s="1633"/>
      <c r="T134" s="1633"/>
      <c r="U134" s="1633"/>
      <c r="V134" s="1633"/>
      <c r="W134" s="1633"/>
      <c r="X134" s="1633"/>
      <c r="Y134" s="1633"/>
      <c r="Z134" s="1633"/>
      <c r="AA134" s="1633"/>
    </row>
    <row r="135" spans="1:27" s="476" customFormat="1">
      <c r="B135" s="34"/>
      <c r="N135" s="9"/>
      <c r="O135" s="9"/>
      <c r="P135" s="9"/>
      <c r="Q135" s="1633"/>
      <c r="R135" s="1633"/>
      <c r="S135" s="1633"/>
      <c r="T135" s="1633"/>
      <c r="U135" s="1633"/>
      <c r="V135" s="1633"/>
      <c r="W135" s="1633"/>
      <c r="X135" s="1633"/>
      <c r="Y135" s="1633"/>
      <c r="Z135" s="1633"/>
      <c r="AA135" s="1633"/>
    </row>
    <row r="136" spans="1:27" s="476" customFormat="1">
      <c r="B136" s="1632"/>
      <c r="N136" s="469"/>
      <c r="O136" s="469"/>
      <c r="P136" s="469"/>
      <c r="Q136" s="1633"/>
      <c r="R136" s="1633"/>
      <c r="S136" s="1633"/>
      <c r="T136" s="1633"/>
      <c r="U136" s="1633"/>
      <c r="V136" s="1633"/>
      <c r="W136" s="1633"/>
      <c r="X136" s="1633"/>
      <c r="Y136" s="1633"/>
      <c r="Z136" s="1633"/>
      <c r="AA136" s="1633"/>
    </row>
    <row r="137" spans="1:27" s="476" customFormat="1">
      <c r="B137" s="34"/>
      <c r="N137" s="9"/>
      <c r="O137" s="9"/>
      <c r="P137" s="9"/>
      <c r="Q137" s="1633"/>
      <c r="R137" s="1633"/>
      <c r="S137" s="1633"/>
      <c r="T137" s="1633"/>
      <c r="U137" s="1633"/>
      <c r="V137" s="1633"/>
      <c r="W137" s="1633"/>
      <c r="X137" s="1633"/>
      <c r="Y137" s="1633"/>
      <c r="Z137" s="1633"/>
      <c r="AA137" s="1633"/>
    </row>
    <row r="138" spans="1:27" s="476" customFormat="1" ht="12.75" customHeight="1">
      <c r="B138" s="1633"/>
      <c r="N138" s="1635"/>
      <c r="O138" s="1635"/>
      <c r="P138" s="1635"/>
      <c r="Q138" s="1633"/>
      <c r="R138" s="1633"/>
      <c r="S138" s="1633"/>
      <c r="T138" s="1633"/>
      <c r="U138" s="1633"/>
      <c r="V138" s="1633"/>
      <c r="W138" s="1633"/>
      <c r="X138" s="1633"/>
      <c r="Y138" s="1633"/>
      <c r="Z138" s="1633"/>
      <c r="AA138" s="1633"/>
    </row>
    <row r="139" spans="1:27" s="476" customFormat="1" ht="12.75" customHeight="1">
      <c r="B139" s="1633"/>
      <c r="C139" s="1636"/>
      <c r="D139" s="10"/>
      <c r="E139" s="10"/>
      <c r="F139" s="1635"/>
      <c r="G139" s="10"/>
      <c r="H139" s="469"/>
      <c r="I139" s="10"/>
      <c r="J139" s="469"/>
      <c r="K139" s="10"/>
      <c r="L139" s="469"/>
      <c r="M139" s="10"/>
      <c r="N139" s="469"/>
      <c r="O139" s="469"/>
      <c r="P139" s="469"/>
      <c r="Q139" s="1633"/>
      <c r="R139" s="1633"/>
      <c r="S139" s="1633"/>
      <c r="T139" s="1633"/>
      <c r="U139" s="1633"/>
      <c r="V139" s="1633"/>
      <c r="W139" s="1633"/>
      <c r="X139" s="1633"/>
      <c r="Y139" s="1633"/>
      <c r="Z139" s="1633"/>
      <c r="AA139" s="1633"/>
    </row>
    <row r="140" spans="1:27" s="476" customFormat="1" ht="12.75" customHeight="1">
      <c r="B140" s="1633"/>
      <c r="C140" s="1636"/>
      <c r="D140" s="1633"/>
      <c r="E140" s="1633"/>
      <c r="F140" s="1635"/>
      <c r="G140" s="1633"/>
      <c r="H140" s="1635"/>
      <c r="I140" s="1633"/>
      <c r="J140" s="1635"/>
      <c r="K140" s="1633"/>
      <c r="L140" s="1635"/>
      <c r="M140" s="1633"/>
      <c r="N140" s="1635"/>
      <c r="O140" s="1635"/>
      <c r="P140" s="1635"/>
      <c r="Q140" s="1633"/>
      <c r="R140" s="1633"/>
      <c r="S140" s="1633"/>
      <c r="T140" s="1633"/>
      <c r="U140" s="1633"/>
      <c r="V140" s="1633"/>
      <c r="W140" s="1633"/>
      <c r="X140" s="1633"/>
      <c r="Y140" s="1633"/>
      <c r="Z140" s="1633"/>
      <c r="AA140" s="1633"/>
    </row>
    <row r="141" spans="1:27" s="476" customFormat="1" ht="12.75" customHeight="1">
      <c r="B141" s="1633"/>
      <c r="C141" s="1636"/>
      <c r="D141" s="33"/>
      <c r="E141" s="33"/>
      <c r="F141" s="1635"/>
      <c r="G141" s="33"/>
      <c r="H141" s="1637"/>
      <c r="I141" s="33"/>
      <c r="J141" s="1637"/>
      <c r="K141" s="33"/>
      <c r="L141" s="1637"/>
      <c r="M141" s="33"/>
      <c r="N141" s="1637"/>
      <c r="O141" s="1637"/>
      <c r="P141" s="1637"/>
      <c r="Q141" s="1633"/>
      <c r="R141" s="1633"/>
      <c r="S141" s="1633"/>
      <c r="T141" s="1633"/>
      <c r="U141" s="1633"/>
      <c r="V141" s="1633"/>
      <c r="W141" s="1633"/>
      <c r="X141" s="1633"/>
      <c r="Y141" s="1633"/>
      <c r="Z141" s="1633"/>
      <c r="AA141" s="1633"/>
    </row>
    <row r="142" spans="1:27" s="476" customFormat="1" ht="12.75" customHeight="1">
      <c r="A142" s="1504"/>
      <c r="B142" s="33"/>
      <c r="C142" s="1636"/>
      <c r="D142" s="33"/>
      <c r="E142" s="33"/>
      <c r="F142" s="1635"/>
      <c r="G142" s="33"/>
      <c r="H142" s="1637"/>
      <c r="I142" s="33"/>
      <c r="J142" s="1637"/>
      <c r="K142" s="33"/>
      <c r="L142" s="1637"/>
      <c r="M142" s="33"/>
      <c r="N142" s="1637"/>
      <c r="O142" s="1637"/>
      <c r="P142" s="1637"/>
      <c r="Q142" s="1633"/>
      <c r="R142" s="1633"/>
      <c r="S142" s="1633"/>
      <c r="T142" s="1633"/>
      <c r="U142" s="1633"/>
      <c r="V142" s="1633"/>
      <c r="W142" s="1633"/>
      <c r="X142" s="1633"/>
      <c r="Y142" s="1633"/>
      <c r="Z142" s="1633"/>
      <c r="AA142" s="1633"/>
    </row>
    <row r="143" spans="1:27" s="476" customFormat="1" ht="12.75" customHeight="1">
      <c r="B143" s="1633"/>
      <c r="C143" s="1636"/>
      <c r="D143" s="36"/>
      <c r="E143" s="36"/>
      <c r="F143" s="1635"/>
      <c r="G143" s="36"/>
      <c r="H143" s="1637"/>
      <c r="I143" s="36"/>
      <c r="J143" s="1637"/>
      <c r="K143" s="36"/>
      <c r="L143" s="1637"/>
      <c r="M143" s="36"/>
      <c r="N143" s="1637"/>
      <c r="O143" s="1637"/>
      <c r="P143" s="1637"/>
      <c r="Q143" s="1633"/>
      <c r="R143" s="1633"/>
      <c r="S143" s="1633"/>
      <c r="T143" s="1633"/>
      <c r="U143" s="1633"/>
      <c r="V143" s="1633"/>
      <c r="W143" s="1633"/>
      <c r="X143" s="1633"/>
      <c r="Y143" s="1633"/>
      <c r="Z143" s="1633"/>
      <c r="AA143" s="1633"/>
    </row>
    <row r="144" spans="1:27" s="476" customFormat="1" ht="12.75" customHeight="1">
      <c r="A144" s="1504"/>
      <c r="B144" s="1633"/>
      <c r="C144" s="1633"/>
      <c r="D144" s="33"/>
      <c r="E144" s="33"/>
      <c r="F144" s="1633"/>
      <c r="G144" s="33"/>
      <c r="H144" s="1633"/>
      <c r="I144" s="33"/>
      <c r="J144" s="1633"/>
      <c r="K144" s="33"/>
      <c r="L144" s="1633"/>
      <c r="M144" s="33"/>
      <c r="N144" s="1633"/>
      <c r="O144" s="1633"/>
      <c r="P144" s="1633"/>
      <c r="Q144" s="1633"/>
      <c r="R144" s="1633"/>
      <c r="S144" s="1633"/>
      <c r="T144" s="1633"/>
      <c r="U144" s="1633"/>
      <c r="V144" s="1633"/>
      <c r="W144" s="1633"/>
      <c r="X144" s="1633"/>
      <c r="Y144" s="1633"/>
      <c r="Z144" s="1633"/>
      <c r="AA144" s="1633"/>
    </row>
    <row r="145" spans="1:27" s="476" customFormat="1" ht="12.75" customHeight="1">
      <c r="A145" s="1504"/>
      <c r="B145" s="1633"/>
      <c r="C145" s="1633"/>
      <c r="D145" s="1633"/>
      <c r="E145" s="1633"/>
      <c r="F145" s="34"/>
      <c r="G145" s="1633"/>
      <c r="H145" s="13"/>
      <c r="I145" s="1633"/>
      <c r="J145" s="13"/>
      <c r="K145" s="1633"/>
      <c r="L145" s="13"/>
      <c r="M145" s="1633"/>
      <c r="N145" s="13"/>
      <c r="O145" s="13"/>
      <c r="P145" s="13"/>
      <c r="Q145" s="1633"/>
      <c r="R145" s="1633"/>
      <c r="S145" s="1633"/>
      <c r="T145" s="1633"/>
      <c r="U145" s="1633"/>
      <c r="V145" s="1633"/>
      <c r="W145" s="1633"/>
      <c r="X145" s="1633"/>
      <c r="Y145" s="1633"/>
      <c r="Z145" s="1633"/>
      <c r="AA145" s="1633"/>
    </row>
    <row r="146" spans="1:27" s="476" customFormat="1" ht="12.75" customHeight="1">
      <c r="A146" s="2"/>
      <c r="B146" s="1633"/>
      <c r="C146" s="1633"/>
      <c r="D146" s="1633"/>
      <c r="E146" s="1633"/>
      <c r="F146" s="34"/>
      <c r="G146" s="1633"/>
      <c r="H146" s="9"/>
      <c r="I146" s="1633"/>
      <c r="J146" s="9"/>
      <c r="K146" s="1633"/>
      <c r="L146" s="9"/>
      <c r="M146" s="1633"/>
      <c r="N146" s="9"/>
      <c r="O146" s="9"/>
      <c r="P146" s="9"/>
      <c r="Q146" s="1633"/>
      <c r="R146" s="1633"/>
      <c r="S146" s="1633"/>
      <c r="T146" s="1633"/>
      <c r="U146" s="1633"/>
      <c r="V146" s="1633"/>
      <c r="W146" s="1633"/>
      <c r="X146" s="1633"/>
      <c r="Y146" s="1633"/>
      <c r="Z146" s="1633"/>
      <c r="AA146" s="1633"/>
    </row>
    <row r="147" spans="1:27" s="476" customFormat="1" ht="12.75" customHeight="1">
      <c r="A147" s="1504"/>
      <c r="B147" s="1633"/>
      <c r="C147" s="1633"/>
      <c r="D147" s="1633"/>
      <c r="E147" s="1633"/>
      <c r="F147" s="1633"/>
      <c r="G147" s="1633"/>
      <c r="H147" s="1633"/>
      <c r="I147" s="1633"/>
      <c r="J147" s="1633"/>
      <c r="K147" s="1633"/>
      <c r="L147" s="1633"/>
      <c r="M147" s="1633"/>
      <c r="N147" s="1633"/>
      <c r="O147" s="1633"/>
      <c r="P147" s="1633"/>
      <c r="Q147" s="1633"/>
      <c r="R147" s="1633"/>
      <c r="S147" s="1633"/>
      <c r="T147" s="1633"/>
      <c r="U147" s="1633"/>
      <c r="V147" s="1633"/>
      <c r="W147" s="1633"/>
      <c r="X147" s="1633"/>
      <c r="Y147" s="1633"/>
      <c r="Z147" s="1633"/>
      <c r="AA147" s="1633"/>
    </row>
    <row r="148" spans="1:27" s="476" customFormat="1" ht="12.75" customHeight="1">
      <c r="B148" s="1633"/>
      <c r="C148" s="1633"/>
      <c r="D148" s="33"/>
      <c r="E148" s="33"/>
      <c r="F148" s="34"/>
      <c r="G148" s="33"/>
      <c r="H148" s="14"/>
      <c r="I148" s="33"/>
      <c r="J148" s="14"/>
      <c r="K148" s="33"/>
      <c r="L148" s="14"/>
      <c r="M148" s="33"/>
      <c r="N148" s="14"/>
      <c r="O148" s="14"/>
      <c r="P148" s="14"/>
      <c r="Q148" s="1633"/>
      <c r="R148" s="1633"/>
      <c r="S148" s="1633"/>
      <c r="T148" s="1633"/>
      <c r="U148" s="1633"/>
      <c r="V148" s="1633"/>
      <c r="W148" s="1633"/>
      <c r="X148" s="1633"/>
      <c r="Y148" s="1633"/>
      <c r="Z148" s="1633"/>
      <c r="AA148" s="1633"/>
    </row>
    <row r="149" spans="1:27" s="476" customFormat="1" ht="12.75" customHeight="1">
      <c r="A149" s="1504"/>
    </row>
    <row r="150" spans="1:27" s="476" customFormat="1" ht="12.75" customHeight="1"/>
    <row r="151" spans="1:27" s="476" customFormat="1" ht="12.75" customHeight="1">
      <c r="A151" s="1504"/>
    </row>
    <row r="152" spans="1:27" s="476" customFormat="1" ht="12.75" customHeight="1">
      <c r="A152" s="2"/>
    </row>
    <row r="153" spans="1:27" s="476" customFormat="1" ht="12.75" customHeight="1">
      <c r="A153" s="1504"/>
    </row>
    <row r="154" spans="1:27" s="476" customFormat="1" ht="12.75" customHeight="1"/>
    <row r="155" spans="1:27" s="476" customFormat="1" ht="12.75" customHeight="1">
      <c r="A155" s="1504"/>
    </row>
    <row r="156" spans="1:27" s="476" customFormat="1" ht="12.75" customHeight="1"/>
    <row r="157" spans="1:27" s="476" customFormat="1" ht="12.75" customHeight="1">
      <c r="A157" s="1504"/>
    </row>
    <row r="158" spans="1:27" s="476" customFormat="1" ht="12.75" customHeight="1">
      <c r="A158" s="2"/>
    </row>
    <row r="159" spans="1:27" s="476" customFormat="1" ht="12.75" customHeight="1">
      <c r="A159" s="1504"/>
    </row>
    <row r="160" spans="1:27" s="476" customFormat="1" ht="12.75" customHeight="1"/>
    <row r="161" spans="1:1" s="476" customFormat="1">
      <c r="A161" s="1504"/>
    </row>
    <row r="162" spans="1:1" s="476" customFormat="1"/>
    <row r="163" spans="1:1" s="476" customFormat="1">
      <c r="A163" s="1504"/>
    </row>
    <row r="164" spans="1:1" s="476" customFormat="1">
      <c r="A164" s="2"/>
    </row>
    <row r="165" spans="1:1" s="476" customFormat="1">
      <c r="A165" s="1504"/>
    </row>
    <row r="166" spans="1:1" s="476" customFormat="1">
      <c r="A166" s="4"/>
    </row>
    <row r="167" spans="1:1" s="476" customFormat="1"/>
    <row r="168" spans="1:1" s="476" customFormat="1"/>
    <row r="169" spans="1:1" s="476" customFormat="1"/>
    <row r="170" spans="1:1" s="476" customFormat="1"/>
    <row r="171" spans="1:1" s="476" customFormat="1"/>
    <row r="172" spans="1:1" s="476" customFormat="1"/>
    <row r="173" spans="1:1" s="476" customFormat="1"/>
    <row r="174" spans="1:1" s="476" customFormat="1"/>
    <row r="175" spans="1:1" s="476" customFormat="1"/>
    <row r="176" spans="1:1" s="476" customFormat="1"/>
    <row r="177" s="476" customFormat="1"/>
    <row r="178" s="476" customFormat="1"/>
    <row r="179" s="476" customFormat="1"/>
    <row r="180" s="476" customFormat="1"/>
    <row r="181" s="476" customFormat="1"/>
    <row r="182" s="476" customFormat="1"/>
    <row r="183" s="476" customFormat="1"/>
    <row r="184" s="476" customFormat="1"/>
    <row r="185" s="476" customFormat="1"/>
    <row r="186" s="476" customFormat="1"/>
    <row r="187" s="476" customFormat="1"/>
    <row r="188" s="476" customFormat="1"/>
    <row r="189" s="476" customFormat="1"/>
    <row r="190" s="476" customFormat="1"/>
    <row r="191" s="476" customFormat="1"/>
    <row r="192" s="476" customFormat="1"/>
    <row r="193" s="476" customFormat="1"/>
    <row r="194" s="476" customFormat="1"/>
    <row r="195" s="476" customFormat="1"/>
    <row r="196" s="476" customFormat="1"/>
    <row r="197" s="476" customFormat="1"/>
    <row r="198" s="476" customFormat="1"/>
    <row r="199" s="476" customFormat="1"/>
    <row r="200" s="476" customFormat="1"/>
    <row r="201" s="476" customFormat="1"/>
    <row r="202" s="476" customFormat="1"/>
    <row r="203" s="476" customFormat="1"/>
    <row r="204" s="476" customFormat="1"/>
    <row r="205" s="476" customFormat="1"/>
    <row r="206" s="476" customFormat="1"/>
    <row r="207" s="476" customFormat="1"/>
    <row r="208" s="476" customFormat="1"/>
    <row r="209" s="476" customFormat="1"/>
    <row r="210" s="476" customFormat="1"/>
    <row r="211" s="476" customFormat="1"/>
    <row r="212" s="476" customFormat="1"/>
    <row r="213" s="476" customFormat="1"/>
    <row r="214" s="476" customFormat="1"/>
    <row r="215" s="476" customFormat="1"/>
    <row r="216" s="476" customFormat="1"/>
    <row r="217" s="476" customFormat="1"/>
    <row r="218" s="476" customFormat="1"/>
    <row r="219" s="476" customFormat="1"/>
    <row r="220" s="476" customFormat="1"/>
    <row r="221" s="476" customFormat="1"/>
    <row r="222" s="476" customFormat="1"/>
    <row r="223" s="476" customFormat="1"/>
    <row r="224" s="476" customFormat="1"/>
    <row r="225" s="476" customFormat="1"/>
    <row r="226" s="476" customFormat="1"/>
    <row r="227" s="476" customFormat="1"/>
    <row r="228" s="476" customFormat="1"/>
    <row r="229" s="476" customFormat="1"/>
    <row r="230" s="476" customFormat="1"/>
    <row r="231" s="476" customFormat="1"/>
    <row r="232" s="476" customFormat="1"/>
    <row r="233" s="476" customFormat="1"/>
    <row r="234" s="476" customFormat="1"/>
  </sheetData>
  <sheetProtection algorithmName="SHA-512" hashValue="JbIFxwTV8v+vASFh7PO8wAiV2m6skBrxw4s3CloiKWyfSbxnqZykirjy0h/FKRsnb4nPLwe9Wgivw3TIH3xLnw==" saltValue="H+1rBZTsSnJbKP6Ya+tXmQ==" spinCount="100000" sheet="1" objects="1" scenarios="1"/>
  <mergeCells count="27">
    <mergeCell ref="B8:C9"/>
    <mergeCell ref="E2:F2"/>
    <mergeCell ref="L10:M10"/>
    <mergeCell ref="F8:G8"/>
    <mergeCell ref="H8:I8"/>
    <mergeCell ref="J8:K8"/>
    <mergeCell ref="J7:K7"/>
    <mergeCell ref="H10:I10"/>
    <mergeCell ref="J10:K10"/>
    <mergeCell ref="K4:L4"/>
    <mergeCell ref="K5:L5"/>
    <mergeCell ref="O3:Q3"/>
    <mergeCell ref="E3:F3"/>
    <mergeCell ref="E5:I5"/>
    <mergeCell ref="B127:C127"/>
    <mergeCell ref="D10:E10"/>
    <mergeCell ref="F10:G10"/>
    <mergeCell ref="O11:R11"/>
    <mergeCell ref="D7:E7"/>
    <mergeCell ref="H7:I7"/>
    <mergeCell ref="F7:G7"/>
    <mergeCell ref="L7:M7"/>
    <mergeCell ref="L8:M8"/>
    <mergeCell ref="D8:E8"/>
    <mergeCell ref="F127:M127"/>
    <mergeCell ref="I126:M126"/>
    <mergeCell ref="B7:C7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5" orientation="portrait" r:id="rId1"/>
  <headerFooter alignWithMargins="0"/>
  <rowBreaks count="1" manualBreakCount="1">
    <brk id="68" min="1" max="25" man="1"/>
  </rowBreaks>
  <colBreaks count="1" manualBreakCount="1">
    <brk id="13" min="1" max="123" man="1"/>
  </colBreaks>
  <ignoredErrors>
    <ignoredError sqref="H13 J13 L13 R13" unlockedFormula="1"/>
  </ignoredError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ul41">
    <tabColor rgb="FF0152A1"/>
  </sheetPr>
  <dimension ref="A2:X91"/>
  <sheetViews>
    <sheetView showGridLines="0" showZeros="0" defaultGridColor="0" colorId="55" zoomScaleNormal="100" workbookViewId="0">
      <pane ySplit="14" topLeftCell="A15" activePane="bottomLeft" state="frozen"/>
      <selection pane="bottomLeft" activeCell="B17" sqref="B17"/>
    </sheetView>
  </sheetViews>
  <sheetFormatPr defaultRowHeight="12.45"/>
  <cols>
    <col min="1" max="1" width="9.53515625" customWidth="1"/>
    <col min="2" max="2" width="29.53515625" customWidth="1"/>
    <col min="3" max="3" width="5.3046875" style="38" customWidth="1"/>
    <col min="4" max="8" width="13.3046875" customWidth="1"/>
    <col min="9" max="9" width="5.3046875" customWidth="1"/>
    <col min="14" max="21" width="8.84375" customWidth="1"/>
  </cols>
  <sheetData>
    <row r="2" spans="1:24" ht="15.45">
      <c r="B2" s="22" t="s">
        <v>108</v>
      </c>
      <c r="C2"/>
      <c r="D2" s="22"/>
      <c r="F2" s="22"/>
      <c r="J2" s="2" t="str">
        <f>B2</f>
        <v>E2  LIIKEVAIHDON MUODOSTUMINEN</v>
      </c>
      <c r="N2" s="385"/>
    </row>
    <row r="3" spans="1:24" ht="13.5" customHeight="1">
      <c r="A3" s="1527" t="s">
        <v>740</v>
      </c>
      <c r="B3" s="415">
        <f>'3. T3 TASE '!D12</f>
        <v>0</v>
      </c>
      <c r="C3" s="6"/>
      <c r="D3" s="5"/>
      <c r="F3" s="6"/>
      <c r="G3" s="6"/>
      <c r="H3" s="6"/>
      <c r="N3" s="386"/>
    </row>
    <row r="4" spans="1:24" ht="17.25" customHeight="1">
      <c r="B4" s="43" t="s">
        <v>685</v>
      </c>
      <c r="C4" s="52"/>
      <c r="D4" s="16" t="s">
        <v>0</v>
      </c>
      <c r="E4" s="43" t="s">
        <v>520</v>
      </c>
      <c r="G4" s="16" t="s">
        <v>0</v>
      </c>
      <c r="H4" s="46" t="s">
        <v>93</v>
      </c>
      <c r="I4" s="27" t="s">
        <v>0</v>
      </c>
      <c r="J4" s="27" t="s">
        <v>0</v>
      </c>
      <c r="K4" s="27" t="s">
        <v>0</v>
      </c>
    </row>
    <row r="5" spans="1:24" ht="14.25" customHeight="1">
      <c r="B5" s="1870">
        <f>'2. &amp; 7. T2 TULOSSUUN. '!B5:D5</f>
        <v>0</v>
      </c>
      <c r="C5" s="1870"/>
      <c r="D5" s="1870"/>
      <c r="E5" s="1954">
        <f>'1. T1 INVESTOINTISUUN.'!B9</f>
        <v>0</v>
      </c>
      <c r="F5" s="1954"/>
      <c r="G5" s="1954"/>
      <c r="H5" s="555" cm="1">
        <f t="array" ref="H5:I5">'2. &amp; 7. T2 TULOSSUUN. '!O5:P5</f>
        <v>0</v>
      </c>
      <c r="I5" s="19">
        <v>0</v>
      </c>
      <c r="J5" s="1778"/>
      <c r="K5" s="1778"/>
      <c r="W5" s="8"/>
      <c r="X5" s="8"/>
    </row>
    <row r="6" spans="1:24" ht="6" customHeight="1">
      <c r="F6" s="15"/>
      <c r="G6" s="15"/>
      <c r="H6" s="15"/>
      <c r="L6" s="387"/>
      <c r="M6" s="140"/>
      <c r="N6" s="140"/>
      <c r="O6" s="140"/>
      <c r="P6" s="1"/>
      <c r="Q6" s="1"/>
      <c r="R6" s="1"/>
      <c r="S6" s="1"/>
      <c r="T6" s="1"/>
      <c r="U6" s="1"/>
      <c r="V6" s="1"/>
      <c r="W6" s="8"/>
      <c r="X6" s="8"/>
    </row>
    <row r="7" spans="1:24">
      <c r="B7" s="1950" t="s">
        <v>260</v>
      </c>
      <c r="C7" s="1951"/>
      <c r="D7" s="1469" t="s">
        <v>107</v>
      </c>
      <c r="E7" s="1469" t="str">
        <f>'1. T1 INVESTOINTISUUN.'!D15</f>
        <v>Ennuste 1</v>
      </c>
      <c r="F7" s="1469" t="s">
        <v>98</v>
      </c>
      <c r="G7" s="1469" t="s">
        <v>100</v>
      </c>
      <c r="H7" s="1384" t="s">
        <v>257</v>
      </c>
    </row>
    <row r="8" spans="1:24">
      <c r="B8" s="1951"/>
      <c r="C8" s="1951"/>
      <c r="D8" s="1239">
        <f>'5. E1 KUSTANNUKSET '!D$8</f>
        <v>2024</v>
      </c>
      <c r="E8" s="1239">
        <f>'5. E1 KUSTANNUKSET '!F$8</f>
        <v>2025</v>
      </c>
      <c r="F8" s="1239">
        <f>'5. E1 KUSTANNUKSET '!H$8</f>
        <v>2026</v>
      </c>
      <c r="G8" s="1239">
        <f>'5. E1 KUSTANNUKSET '!J$8</f>
        <v>2027</v>
      </c>
      <c r="H8" s="1468">
        <f>'2. &amp; 7. T2 TULOSSUUN. '!O8</f>
        <v>2028</v>
      </c>
      <c r="I8" s="39"/>
      <c r="J8" s="317"/>
      <c r="K8" s="317"/>
      <c r="L8" s="317"/>
      <c r="M8" s="317"/>
      <c r="N8" s="167"/>
      <c r="O8" s="167"/>
      <c r="P8" s="167"/>
      <c r="Q8" s="167"/>
      <c r="R8" s="167"/>
      <c r="S8" s="167"/>
      <c r="T8" s="167"/>
      <c r="U8" s="167"/>
    </row>
    <row r="9" spans="1:24">
      <c r="B9" s="1952" t="s">
        <v>392</v>
      </c>
      <c r="C9" s="1952"/>
      <c r="D9" s="1470" t="str">
        <f>'5. E1 KUSTANNUKSET '!D10</f>
        <v>12</v>
      </c>
      <c r="E9" s="1470">
        <f>'5. E1 KUSTANNUKSET '!F10</f>
        <v>12</v>
      </c>
      <c r="F9" s="1470" t="str">
        <f>'5. E1 KUSTANNUKSET '!H10</f>
        <v>12</v>
      </c>
      <c r="G9" s="1470" t="str">
        <f>'5. E1 KUSTANNUKSET '!J10</f>
        <v>12</v>
      </c>
      <c r="H9" s="1468" t="str">
        <f>'5. E1 KUSTANNUKSET '!L10</f>
        <v>12</v>
      </c>
      <c r="I9" s="39"/>
      <c r="J9" s="317"/>
      <c r="K9" s="317"/>
      <c r="L9" s="317"/>
      <c r="M9" s="317"/>
      <c r="N9" s="167"/>
      <c r="O9" s="167"/>
      <c r="P9" s="167"/>
      <c r="Q9" s="167"/>
      <c r="R9" s="167"/>
      <c r="S9" s="167"/>
      <c r="T9" s="167"/>
      <c r="U9" s="167"/>
    </row>
    <row r="10" spans="1:24" ht="12.65" customHeight="1">
      <c r="B10" s="1473" t="s">
        <v>77</v>
      </c>
      <c r="C10" s="400" t="s">
        <v>704</v>
      </c>
      <c r="D10" s="755">
        <f>(D17+D24+D31+D38+D45+D52+D59+D66+D73+D80)</f>
        <v>0</v>
      </c>
      <c r="E10" s="756">
        <f>(E17+E24+E31+E38+E45+E52+E59+E66+E73+E80)</f>
        <v>0</v>
      </c>
      <c r="F10" s="756">
        <f>(F17+F24+F31+F38+F45+F52+F59+F66+F73+F80)</f>
        <v>0</v>
      </c>
      <c r="G10" s="756">
        <f>(G17+G24+G31+G38+G45+G52+G59+G66+G73+G80)</f>
        <v>0</v>
      </c>
      <c r="H10" s="756">
        <f>(H17+H24+H31+H38+H45+H52+H59+H66+H73+H80)</f>
        <v>0</v>
      </c>
      <c r="J10" s="167"/>
      <c r="K10" s="167"/>
      <c r="L10" s="167"/>
      <c r="M10" s="167"/>
      <c r="N10" s="167"/>
      <c r="O10" s="167"/>
      <c r="P10" s="167"/>
      <c r="Q10" s="167"/>
      <c r="R10" s="167"/>
      <c r="S10" s="167"/>
      <c r="T10" s="167"/>
      <c r="U10" s="167"/>
    </row>
    <row r="11" spans="1:24" ht="12.65" customHeight="1">
      <c r="B11" s="1473" t="s">
        <v>78</v>
      </c>
      <c r="C11" s="400" t="s">
        <v>704</v>
      </c>
      <c r="D11" s="755">
        <f>(D21+D28+D35+D42+D49+D56+D63+D70+D77+D84)</f>
        <v>0</v>
      </c>
      <c r="E11" s="756">
        <f>(E21+E28+E35+E42+E49+E56+E63+E70+E77+E84)</f>
        <v>0</v>
      </c>
      <c r="F11" s="756">
        <f>(F21+F28+F35+F42+F49+F56+F63+F70+F77+F84)</f>
        <v>0</v>
      </c>
      <c r="G11" s="756">
        <f>(G21+G28+G35+G42+G49+G56+G63+G70+G77+G84)</f>
        <v>0</v>
      </c>
      <c r="H11" s="756">
        <f>(H21+H28+H35+H42+H49+H56+H63+H70+H77+H84)</f>
        <v>0</v>
      </c>
      <c r="J11" s="167"/>
      <c r="K11" s="167"/>
      <c r="L11" s="167"/>
      <c r="M11" s="167"/>
      <c r="N11" s="167"/>
      <c r="O11" s="167"/>
      <c r="P11" s="167"/>
      <c r="Q11" s="167"/>
      <c r="R11" s="167"/>
      <c r="S11" s="167"/>
      <c r="T11" s="167"/>
      <c r="U11" s="167"/>
    </row>
    <row r="12" spans="1:24" ht="12.65" customHeight="1">
      <c r="B12" s="1473" t="s">
        <v>79</v>
      </c>
      <c r="C12" s="400"/>
      <c r="D12" s="757">
        <f>IF(D11=0,0,D11/D10)</f>
        <v>0</v>
      </c>
      <c r="E12" s="758">
        <f>IF(E11=0,0,E11/E10)</f>
        <v>0</v>
      </c>
      <c r="F12" s="758">
        <f>IF(F11=0,0,F11/F10)</f>
        <v>0</v>
      </c>
      <c r="G12" s="758">
        <f>IF(G11=0,0,G11/G10)</f>
        <v>0</v>
      </c>
      <c r="H12" s="758">
        <f>IF(H11=0,0,H11/H10)</f>
        <v>0</v>
      </c>
      <c r="J12" s="167"/>
      <c r="K12" s="167"/>
      <c r="L12" s="167"/>
      <c r="M12" s="167"/>
      <c r="N12" s="167"/>
      <c r="O12" s="167"/>
      <c r="P12" s="167"/>
      <c r="Q12" s="167"/>
      <c r="R12" s="167"/>
      <c r="S12" s="167"/>
      <c r="T12" s="167"/>
      <c r="U12" s="167"/>
    </row>
    <row r="13" spans="1:24" ht="12.65" customHeight="1">
      <c r="B13" s="1473" t="s">
        <v>352</v>
      </c>
      <c r="C13" s="400" t="s">
        <v>704</v>
      </c>
      <c r="D13" s="759"/>
      <c r="E13" s="756">
        <f>(E16*E17+E23*E24+E30*E31+E37*E38+E44*E45+E51*E52+E58*E59+E65*E66+E72*E73+E79*E80)</f>
        <v>0</v>
      </c>
      <c r="F13" s="756">
        <f>(F16*F17+F23*F24+F30*F31+F37*F38+F44*F45+F51*F52+F58*F59+F65*F66+F72*F73+F79*F80)</f>
        <v>0</v>
      </c>
      <c r="G13" s="756">
        <f>(G16*G17+G23*G24+G30*G31+G37*G38+G44*G45+G51*G52+G58*G59+G65*G66+G72*G73+G79*G80)</f>
        <v>0</v>
      </c>
      <c r="H13" s="756">
        <f>(H16*H17+H23*H24+H30*H31+H37*H38+H44*H45+H51*H52+H58*H59+H65*H66+H72*H73+H79*H80)</f>
        <v>0</v>
      </c>
      <c r="J13" s="182"/>
      <c r="K13" s="182"/>
      <c r="L13" s="182"/>
      <c r="M13" s="182"/>
      <c r="N13" s="182"/>
      <c r="O13" s="182"/>
      <c r="P13" s="182"/>
      <c r="Q13" s="182"/>
      <c r="R13" s="182"/>
      <c r="S13" s="182"/>
      <c r="T13" s="182"/>
      <c r="U13" s="182"/>
    </row>
    <row r="14" spans="1:24" ht="12.65" customHeight="1">
      <c r="B14" s="1473" t="s">
        <v>391</v>
      </c>
      <c r="C14" s="400" t="s">
        <v>704</v>
      </c>
      <c r="D14" s="759"/>
      <c r="E14" s="756">
        <f>E12*E13</f>
        <v>0</v>
      </c>
      <c r="F14" s="756">
        <f>F12*F13</f>
        <v>0</v>
      </c>
      <c r="G14" s="756">
        <f>G12*G13</f>
        <v>0</v>
      </c>
      <c r="H14" s="756">
        <f>H12*H13</f>
        <v>0</v>
      </c>
      <c r="J14" s="1487" t="s">
        <v>408</v>
      </c>
      <c r="K14" s="1488"/>
      <c r="L14" s="1341"/>
      <c r="M14" s="1341"/>
      <c r="N14" s="1341"/>
      <c r="O14" s="1341"/>
      <c r="P14" s="1489"/>
      <c r="Q14" s="1489"/>
      <c r="R14" s="1489"/>
      <c r="S14" s="1489"/>
      <c r="T14" s="1489"/>
      <c r="U14" s="1490"/>
    </row>
    <row r="15" spans="1:24" ht="6" customHeight="1">
      <c r="B15" s="1669"/>
      <c r="C15" s="1670"/>
      <c r="D15" s="1671"/>
      <c r="E15" s="1672"/>
      <c r="F15" s="1672"/>
      <c r="G15" s="1672"/>
      <c r="H15" s="1672"/>
      <c r="J15" s="1491"/>
      <c r="K15" s="317"/>
      <c r="L15" s="317"/>
      <c r="M15" s="317"/>
      <c r="N15" s="167"/>
      <c r="O15" s="167"/>
      <c r="P15" s="167"/>
      <c r="Q15" s="167"/>
      <c r="R15" s="167"/>
      <c r="S15" s="167"/>
      <c r="T15" s="167"/>
      <c r="U15" s="341"/>
    </row>
    <row r="16" spans="1:24" ht="12" customHeight="1">
      <c r="A16" s="51"/>
      <c r="B16" s="1466"/>
      <c r="C16" s="1467"/>
      <c r="D16" s="1459" t="s">
        <v>166</v>
      </c>
      <c r="E16" s="636">
        <v>0.24</v>
      </c>
      <c r="F16" s="636">
        <f>E16</f>
        <v>0.24</v>
      </c>
      <c r="G16" s="636">
        <f>F16</f>
        <v>0.24</v>
      </c>
      <c r="H16" s="1465">
        <f>G16</f>
        <v>0.24</v>
      </c>
      <c r="I16" s="39"/>
      <c r="J16" s="1933" t="s">
        <v>515</v>
      </c>
      <c r="K16" s="1934"/>
      <c r="L16" s="1934"/>
      <c r="M16" s="1934"/>
      <c r="N16" s="320"/>
      <c r="O16" s="320"/>
      <c r="P16" s="320"/>
      <c r="Q16" s="320"/>
      <c r="R16" s="320"/>
      <c r="S16" s="320"/>
      <c r="T16" s="320"/>
      <c r="U16" s="464"/>
    </row>
    <row r="17" spans="1:21" ht="12.75" customHeight="1">
      <c r="B17" s="1463" t="s">
        <v>701</v>
      </c>
      <c r="C17" s="346" t="s">
        <v>704</v>
      </c>
      <c r="D17" s="569">
        <v>0</v>
      </c>
      <c r="E17" s="744">
        <f>E18*E19</f>
        <v>0</v>
      </c>
      <c r="F17" s="744">
        <f>F18*F19</f>
        <v>0</v>
      </c>
      <c r="G17" s="577">
        <f>G18*G19</f>
        <v>0</v>
      </c>
      <c r="H17" s="744">
        <f>H18*H19</f>
        <v>0</v>
      </c>
      <c r="J17" s="288">
        <f>E$8</f>
        <v>2025</v>
      </c>
      <c r="K17" s="288">
        <f>F$8</f>
        <v>2026</v>
      </c>
      <c r="L17" s="288">
        <f>G$8</f>
        <v>2027</v>
      </c>
      <c r="M17" s="288">
        <f>H$8</f>
        <v>2028</v>
      </c>
      <c r="N17" s="320"/>
      <c r="O17" s="320"/>
      <c r="P17" s="320"/>
      <c r="Q17" s="320"/>
      <c r="R17" s="320"/>
      <c r="S17" s="320"/>
      <c r="T17" s="320"/>
      <c r="U17" s="464"/>
    </row>
    <row r="18" spans="1:21" ht="12" customHeight="1">
      <c r="A18" s="51"/>
      <c r="B18" s="1464" t="s">
        <v>75</v>
      </c>
      <c r="C18" s="1474">
        <v>0</v>
      </c>
      <c r="D18" s="569">
        <v>0</v>
      </c>
      <c r="E18" s="569">
        <f>D18+D18*J18</f>
        <v>0</v>
      </c>
      <c r="F18" s="569">
        <f>E18+E18*K18</f>
        <v>0</v>
      </c>
      <c r="G18" s="569">
        <f t="shared" ref="G18:G19" si="0">F18+F18*L18</f>
        <v>0</v>
      </c>
      <c r="H18" s="569">
        <f t="shared" ref="H18:H19" si="1">G18+G18*M18</f>
        <v>0</v>
      </c>
      <c r="J18" s="382">
        <v>0</v>
      </c>
      <c r="K18" s="382">
        <f t="shared" ref="K18:K19" si="2">J18</f>
        <v>0</v>
      </c>
      <c r="L18" s="382">
        <f t="shared" ref="L18:L19" si="3">K18</f>
        <v>0</v>
      </c>
      <c r="M18" s="382">
        <f t="shared" ref="M18:M19" si="4">L18</f>
        <v>0</v>
      </c>
      <c r="N18" s="320"/>
      <c r="O18" s="1492"/>
      <c r="P18" s="320"/>
      <c r="Q18" s="320"/>
      <c r="R18" s="320"/>
      <c r="S18" s="320"/>
      <c r="T18" s="320"/>
      <c r="U18" s="464"/>
    </row>
    <row r="19" spans="1:21" ht="12" customHeight="1">
      <c r="A19" s="2"/>
      <c r="B19" s="1464" t="s">
        <v>76</v>
      </c>
      <c r="C19" s="1474">
        <v>0</v>
      </c>
      <c r="D19" s="745">
        <f>IF(D18=0,0,D17/D18)</f>
        <v>0</v>
      </c>
      <c r="E19" s="746">
        <f t="shared" ref="E19" si="5">D19+D19*J19</f>
        <v>0</v>
      </c>
      <c r="F19" s="746">
        <f t="shared" ref="F19" si="6">E19+E19*K19</f>
        <v>0</v>
      </c>
      <c r="G19" s="746">
        <f t="shared" si="0"/>
        <v>0</v>
      </c>
      <c r="H19" s="746">
        <f t="shared" si="1"/>
        <v>0</v>
      </c>
      <c r="J19" s="382">
        <v>0.03</v>
      </c>
      <c r="K19" s="382">
        <f t="shared" si="2"/>
        <v>0.03</v>
      </c>
      <c r="L19" s="382">
        <f t="shared" si="3"/>
        <v>0.03</v>
      </c>
      <c r="M19" s="382">
        <f t="shared" si="4"/>
        <v>0.03</v>
      </c>
      <c r="N19" s="320"/>
      <c r="O19" s="320"/>
      <c r="P19" s="320"/>
      <c r="Q19" s="320"/>
      <c r="R19" s="320"/>
      <c r="S19" s="320"/>
      <c r="T19" s="320"/>
      <c r="U19" s="464"/>
    </row>
    <row r="20" spans="1:21" ht="12" customHeight="1">
      <c r="A20" s="51"/>
      <c r="B20" s="1464" t="s">
        <v>493</v>
      </c>
      <c r="C20" s="347"/>
      <c r="D20" s="747">
        <f>IF(D17=0,0,D21/D17)</f>
        <v>0</v>
      </c>
      <c r="E20" s="748">
        <f>D20</f>
        <v>0</v>
      </c>
      <c r="F20" s="748">
        <f>E20</f>
        <v>0</v>
      </c>
      <c r="G20" s="748">
        <f>F20</f>
        <v>0</v>
      </c>
      <c r="H20" s="748">
        <f>G20</f>
        <v>0</v>
      </c>
      <c r="J20" s="378"/>
      <c r="K20" s="496"/>
      <c r="L20" s="320"/>
      <c r="M20" s="320"/>
      <c r="N20" s="320"/>
      <c r="O20" s="320"/>
      <c r="P20" s="320"/>
      <c r="Q20" s="320"/>
      <c r="R20" s="320"/>
      <c r="S20" s="320"/>
      <c r="T20" s="320"/>
      <c r="U20" s="464"/>
    </row>
    <row r="21" spans="1:21" ht="12" customHeight="1">
      <c r="B21" s="1464" t="s">
        <v>494</v>
      </c>
      <c r="C21" s="347" t="s">
        <v>704</v>
      </c>
      <c r="D21" s="569">
        <v>0</v>
      </c>
      <c r="E21" s="1145">
        <f>IF(E20=0,0,E17*E20)</f>
        <v>0</v>
      </c>
      <c r="F21" s="1145">
        <f>IF(F20=0,0,F17*F20)</f>
        <v>0</v>
      </c>
      <c r="G21" s="1145">
        <f>IF(G20=0,0,G17*G20)</f>
        <v>0</v>
      </c>
      <c r="H21" s="1145">
        <f>IF(H20=0,0,H17*H20)</f>
        <v>0</v>
      </c>
      <c r="J21" s="378"/>
      <c r="K21" s="320"/>
      <c r="L21" s="320"/>
      <c r="M21" s="320"/>
      <c r="N21" s="320"/>
      <c r="O21" s="320"/>
      <c r="P21" s="320"/>
      <c r="Q21" s="320"/>
      <c r="R21" s="320"/>
      <c r="S21" s="320"/>
      <c r="T21" s="320"/>
      <c r="U21" s="464"/>
    </row>
    <row r="22" spans="1:21" ht="12" customHeight="1">
      <c r="B22" s="47"/>
      <c r="C22" s="71"/>
      <c r="D22" s="1447"/>
      <c r="E22" s="1444"/>
      <c r="F22" s="1444"/>
      <c r="G22" s="1444"/>
      <c r="H22" s="1444"/>
      <c r="J22" s="378"/>
      <c r="K22" s="320"/>
      <c r="L22" s="320"/>
      <c r="M22" s="320"/>
      <c r="N22" s="320"/>
      <c r="O22" s="320"/>
      <c r="P22" s="320"/>
      <c r="Q22" s="320"/>
      <c r="R22" s="320"/>
      <c r="S22" s="320"/>
      <c r="T22" s="320"/>
      <c r="U22" s="464"/>
    </row>
    <row r="23" spans="1:21" ht="12" customHeight="1">
      <c r="B23" s="47"/>
      <c r="C23" s="71"/>
      <c r="D23" s="1459" t="s">
        <v>166</v>
      </c>
      <c r="E23" s="748">
        <v>0.24</v>
      </c>
      <c r="F23" s="1471">
        <f>E23</f>
        <v>0.24</v>
      </c>
      <c r="G23" s="1471">
        <f>F23</f>
        <v>0.24</v>
      </c>
      <c r="H23" s="1472">
        <f>G23</f>
        <v>0.24</v>
      </c>
      <c r="J23" s="378"/>
      <c r="K23" s="320"/>
      <c r="L23" s="320"/>
      <c r="M23" s="320"/>
      <c r="N23" s="320"/>
      <c r="O23" s="320"/>
      <c r="P23" s="320"/>
      <c r="Q23" s="320"/>
      <c r="R23" s="320"/>
      <c r="S23" s="320"/>
      <c r="T23" s="320"/>
      <c r="U23" s="464"/>
    </row>
    <row r="24" spans="1:21" ht="12" customHeight="1">
      <c r="B24" s="1463">
        <v>0</v>
      </c>
      <c r="C24" s="347" t="s">
        <v>704</v>
      </c>
      <c r="D24" s="569">
        <v>0</v>
      </c>
      <c r="E24" s="744">
        <f>E25*E26</f>
        <v>0</v>
      </c>
      <c r="F24" s="1145">
        <f>F25*F26</f>
        <v>0</v>
      </c>
      <c r="G24" s="1145">
        <f>G25*G26</f>
        <v>0</v>
      </c>
      <c r="H24" s="1145">
        <f>H25*H26</f>
        <v>0</v>
      </c>
      <c r="J24" s="1502"/>
      <c r="K24" s="1494"/>
      <c r="L24" s="1494"/>
      <c r="M24" s="1494"/>
      <c r="N24" s="320"/>
      <c r="O24" s="320"/>
      <c r="P24" s="320"/>
      <c r="Q24" s="320"/>
      <c r="R24" s="320"/>
      <c r="S24" s="320"/>
      <c r="T24" s="320"/>
      <c r="U24" s="464"/>
    </row>
    <row r="25" spans="1:21" ht="12" customHeight="1">
      <c r="B25" s="1464" t="s">
        <v>75</v>
      </c>
      <c r="C25" s="419"/>
      <c r="D25" s="569">
        <v>0</v>
      </c>
      <c r="E25" s="569">
        <f>D25+D25*J25</f>
        <v>0</v>
      </c>
      <c r="F25" s="569">
        <f>E25+E25*K25</f>
        <v>0</v>
      </c>
      <c r="G25" s="569">
        <f t="shared" ref="G25:G26" si="7">F25+F25*L25</f>
        <v>0</v>
      </c>
      <c r="H25" s="569">
        <f t="shared" ref="H25:H26" si="8">G25+G25*M25</f>
        <v>0</v>
      </c>
      <c r="J25" s="1481">
        <v>0</v>
      </c>
      <c r="K25" s="1481">
        <f t="shared" ref="K25:K26" si="9">J25</f>
        <v>0</v>
      </c>
      <c r="L25" s="1481">
        <f t="shared" ref="L25:L26" si="10">K25</f>
        <v>0</v>
      </c>
      <c r="M25" s="1481">
        <f t="shared" ref="M25:M26" si="11">L25</f>
        <v>0</v>
      </c>
      <c r="N25" s="320"/>
      <c r="O25" s="320"/>
      <c r="P25" s="320"/>
      <c r="Q25" s="320"/>
      <c r="R25" s="320"/>
      <c r="S25" s="320"/>
      <c r="T25" s="320"/>
      <c r="U25" s="464"/>
    </row>
    <row r="26" spans="1:21" ht="12" customHeight="1">
      <c r="B26" s="1464" t="s">
        <v>76</v>
      </c>
      <c r="C26" s="419"/>
      <c r="D26" s="745">
        <f>IF(D25=0,0,D24/D25)</f>
        <v>0</v>
      </c>
      <c r="E26" s="746">
        <f t="shared" ref="E26:F26" si="12">D26+D26*J26</f>
        <v>0</v>
      </c>
      <c r="F26" s="746">
        <f t="shared" si="12"/>
        <v>0</v>
      </c>
      <c r="G26" s="746">
        <f t="shared" si="7"/>
        <v>0</v>
      </c>
      <c r="H26" s="746">
        <f t="shared" si="8"/>
        <v>0</v>
      </c>
      <c r="J26" s="382">
        <v>0.03</v>
      </c>
      <c r="K26" s="382">
        <f t="shared" si="9"/>
        <v>0.03</v>
      </c>
      <c r="L26" s="382">
        <f t="shared" si="10"/>
        <v>0.03</v>
      </c>
      <c r="M26" s="382">
        <f t="shared" si="11"/>
        <v>0.03</v>
      </c>
      <c r="N26" s="320"/>
      <c r="O26" s="320"/>
      <c r="P26" s="320"/>
      <c r="Q26" s="320"/>
      <c r="R26" s="320"/>
      <c r="S26" s="320"/>
      <c r="T26" s="320"/>
      <c r="U26" s="464"/>
    </row>
    <row r="27" spans="1:21" ht="12" customHeight="1">
      <c r="B27" s="1464" t="s">
        <v>493</v>
      </c>
      <c r="C27" s="347"/>
      <c r="D27" s="747">
        <f>IF(D24=0,0,D28/D24)</f>
        <v>0</v>
      </c>
      <c r="E27" s="748">
        <f>D27</f>
        <v>0</v>
      </c>
      <c r="F27" s="748">
        <f>E27</f>
        <v>0</v>
      </c>
      <c r="G27" s="748">
        <f>F27</f>
        <v>0</v>
      </c>
      <c r="H27" s="748">
        <f>G27</f>
        <v>0</v>
      </c>
      <c r="J27" s="378"/>
      <c r="K27" s="496"/>
      <c r="L27" s="320"/>
      <c r="M27" s="320"/>
      <c r="N27" s="320"/>
      <c r="O27" s="320"/>
      <c r="P27" s="320"/>
      <c r="Q27" s="320"/>
      <c r="R27" s="320"/>
      <c r="S27" s="320"/>
      <c r="T27" s="320"/>
      <c r="U27" s="464"/>
    </row>
    <row r="28" spans="1:21" ht="12" customHeight="1">
      <c r="B28" s="1464" t="s">
        <v>494</v>
      </c>
      <c r="C28" s="347" t="s">
        <v>704</v>
      </c>
      <c r="D28" s="569">
        <v>0</v>
      </c>
      <c r="E28" s="1145">
        <f>IF(E27=0,0,E24*E27)</f>
        <v>0</v>
      </c>
      <c r="F28" s="1145">
        <f>IF(F27=0,0,F24*F27)</f>
        <v>0</v>
      </c>
      <c r="G28" s="1145">
        <f>IF(G27=0,0,G24*G27)</f>
        <v>0</v>
      </c>
      <c r="H28" s="1145">
        <f>IF(H27=0,0,H24*H27)</f>
        <v>0</v>
      </c>
      <c r="J28" s="378"/>
      <c r="K28" s="320"/>
      <c r="L28" s="320"/>
      <c r="M28" s="320"/>
      <c r="N28" s="320"/>
      <c r="O28" s="320"/>
      <c r="P28" s="320"/>
      <c r="Q28" s="320"/>
      <c r="R28" s="320"/>
      <c r="S28" s="320"/>
      <c r="T28" s="320"/>
      <c r="U28" s="464"/>
    </row>
    <row r="29" spans="1:21" ht="12" customHeight="1">
      <c r="B29" s="47"/>
      <c r="C29" s="71"/>
      <c r="D29" s="1447"/>
      <c r="E29" s="1444"/>
      <c r="F29" s="1444"/>
      <c r="G29" s="1444"/>
      <c r="H29" s="1444"/>
      <c r="J29" s="378"/>
      <c r="K29" s="320"/>
      <c r="L29" s="320"/>
      <c r="M29" s="320"/>
      <c r="N29" s="320"/>
      <c r="O29" s="320"/>
      <c r="P29" s="320"/>
      <c r="Q29" s="320"/>
      <c r="R29" s="320"/>
      <c r="S29" s="320"/>
      <c r="T29" s="320"/>
      <c r="U29" s="464"/>
    </row>
    <row r="30" spans="1:21" ht="12" customHeight="1">
      <c r="A30" s="51"/>
      <c r="B30" s="47"/>
      <c r="C30" s="71"/>
      <c r="D30" s="1459" t="s">
        <v>166</v>
      </c>
      <c r="E30" s="1471">
        <v>0.24</v>
      </c>
      <c r="F30" s="1471">
        <f>E30</f>
        <v>0.24</v>
      </c>
      <c r="G30" s="1471">
        <f>F30</f>
        <v>0.24</v>
      </c>
      <c r="H30" s="1472">
        <f>G30</f>
        <v>0.24</v>
      </c>
      <c r="J30" s="378"/>
      <c r="K30" s="320"/>
      <c r="L30" s="320"/>
      <c r="M30" s="320"/>
      <c r="N30" s="320"/>
      <c r="O30" s="320"/>
      <c r="P30" s="320"/>
      <c r="Q30" s="320"/>
      <c r="R30" s="320"/>
      <c r="S30" s="320"/>
      <c r="T30" s="320"/>
      <c r="U30" s="464"/>
    </row>
    <row r="31" spans="1:21" ht="12" customHeight="1">
      <c r="B31" s="1463">
        <v>0</v>
      </c>
      <c r="C31" s="347" t="s">
        <v>704</v>
      </c>
      <c r="D31" s="569">
        <v>0</v>
      </c>
      <c r="E31" s="1145">
        <f>E32*E33</f>
        <v>0</v>
      </c>
      <c r="F31" s="1145">
        <f>F32*F33</f>
        <v>0</v>
      </c>
      <c r="G31" s="1145">
        <f>G32*G33</f>
        <v>0</v>
      </c>
      <c r="H31" s="1145">
        <f>H32*H33</f>
        <v>0</v>
      </c>
      <c r="J31" s="1500"/>
      <c r="K31" s="1501"/>
      <c r="L31" s="1501"/>
      <c r="M31" s="1501"/>
      <c r="N31" s="320"/>
      <c r="O31" s="320"/>
      <c r="P31" s="320"/>
      <c r="Q31" s="320"/>
      <c r="R31" s="320"/>
      <c r="S31" s="320"/>
      <c r="T31" s="320"/>
      <c r="U31" s="464"/>
    </row>
    <row r="32" spans="1:21" ht="12" customHeight="1">
      <c r="B32" s="1464" t="s">
        <v>75</v>
      </c>
      <c r="C32" s="419"/>
      <c r="D32" s="569">
        <v>0</v>
      </c>
      <c r="E32" s="569">
        <f>D32+D32*J32</f>
        <v>0</v>
      </c>
      <c r="F32" s="569">
        <f>E32+E32*K32</f>
        <v>0</v>
      </c>
      <c r="G32" s="569">
        <f t="shared" ref="G32:G33" si="13">F32+F32*L32</f>
        <v>0</v>
      </c>
      <c r="H32" s="569">
        <f t="shared" ref="H32:H33" si="14">G32+G32*M32</f>
        <v>0</v>
      </c>
      <c r="J32" s="382">
        <v>0</v>
      </c>
      <c r="K32" s="382">
        <f t="shared" ref="K32:K33" si="15">J32</f>
        <v>0</v>
      </c>
      <c r="L32" s="382">
        <f t="shared" ref="L32:L33" si="16">K32</f>
        <v>0</v>
      </c>
      <c r="M32" s="382">
        <f t="shared" ref="M32:M33" si="17">L32</f>
        <v>0</v>
      </c>
      <c r="N32" s="320"/>
      <c r="O32" s="320"/>
      <c r="P32" s="320"/>
      <c r="Q32" s="320"/>
      <c r="R32" s="320"/>
      <c r="S32" s="320"/>
      <c r="T32" s="320"/>
      <c r="U32" s="464"/>
    </row>
    <row r="33" spans="2:21" ht="12" customHeight="1">
      <c r="B33" s="1464" t="s">
        <v>76</v>
      </c>
      <c r="C33" s="419"/>
      <c r="D33" s="745">
        <f>IF(D32=0,0,D31/D32)</f>
        <v>0</v>
      </c>
      <c r="E33" s="746">
        <f t="shared" ref="E33:F33" si="18">D33+D33*J33</f>
        <v>0</v>
      </c>
      <c r="F33" s="746">
        <f t="shared" si="18"/>
        <v>0</v>
      </c>
      <c r="G33" s="746">
        <f t="shared" si="13"/>
        <v>0</v>
      </c>
      <c r="H33" s="746">
        <f t="shared" si="14"/>
        <v>0</v>
      </c>
      <c r="J33" s="382">
        <v>0.03</v>
      </c>
      <c r="K33" s="382">
        <f t="shared" si="15"/>
        <v>0.03</v>
      </c>
      <c r="L33" s="382">
        <f t="shared" si="16"/>
        <v>0.03</v>
      </c>
      <c r="M33" s="382">
        <f t="shared" si="17"/>
        <v>0.03</v>
      </c>
      <c r="N33" s="320"/>
      <c r="O33" s="320"/>
      <c r="P33" s="320"/>
      <c r="Q33" s="320"/>
      <c r="R33" s="320"/>
      <c r="S33" s="320"/>
      <c r="T33" s="320"/>
      <c r="U33" s="464"/>
    </row>
    <row r="34" spans="2:21" ht="12" customHeight="1">
      <c r="B34" s="1464" t="s">
        <v>493</v>
      </c>
      <c r="C34" s="347"/>
      <c r="D34" s="747">
        <f>IF(D31=0,0,D35/D31)</f>
        <v>0</v>
      </c>
      <c r="E34" s="748">
        <f>D34</f>
        <v>0</v>
      </c>
      <c r="F34" s="748">
        <f>E34</f>
        <v>0</v>
      </c>
      <c r="G34" s="748">
        <f>F34</f>
        <v>0</v>
      </c>
      <c r="H34" s="748">
        <f>G34</f>
        <v>0</v>
      </c>
      <c r="J34" s="1347"/>
      <c r="K34" s="376"/>
      <c r="L34" s="316"/>
      <c r="M34" s="316"/>
      <c r="N34" s="320"/>
      <c r="O34" s="320"/>
      <c r="P34" s="320"/>
      <c r="Q34" s="320"/>
      <c r="R34" s="320"/>
      <c r="S34" s="320"/>
      <c r="T34" s="320"/>
      <c r="U34" s="464"/>
    </row>
    <row r="35" spans="2:21" ht="12" customHeight="1">
      <c r="B35" s="1464" t="s">
        <v>494</v>
      </c>
      <c r="C35" s="347" t="s">
        <v>704</v>
      </c>
      <c r="D35" s="569">
        <v>0</v>
      </c>
      <c r="E35" s="1145">
        <f>IF(E34=0,0,E31*E34)</f>
        <v>0</v>
      </c>
      <c r="F35" s="1145">
        <f>IF(F34=0,0,F31*F34)</f>
        <v>0</v>
      </c>
      <c r="G35" s="1145">
        <f>IF(G34=0,0,G31*G34)</f>
        <v>0</v>
      </c>
      <c r="H35" s="1145">
        <f>IF(H34=0,0,H31*H34)</f>
        <v>0</v>
      </c>
      <c r="J35" s="1347"/>
      <c r="K35" s="316"/>
      <c r="L35" s="316"/>
      <c r="M35" s="316"/>
      <c r="N35" s="320"/>
      <c r="O35" s="320"/>
      <c r="P35" s="320"/>
      <c r="Q35" s="320"/>
      <c r="R35" s="320"/>
      <c r="S35" s="320"/>
      <c r="T35" s="320"/>
      <c r="U35" s="464"/>
    </row>
    <row r="36" spans="2:21" ht="12" customHeight="1">
      <c r="B36" s="47"/>
      <c r="C36" s="71"/>
      <c r="D36" s="1447"/>
      <c r="E36" s="1444"/>
      <c r="F36" s="1444"/>
      <c r="G36" s="1444"/>
      <c r="H36" s="1444"/>
      <c r="J36" s="1347"/>
      <c r="K36" s="316"/>
      <c r="L36" s="316"/>
      <c r="M36" s="316"/>
      <c r="N36" s="320"/>
      <c r="O36" s="320"/>
      <c r="P36" s="320"/>
      <c r="Q36" s="320"/>
      <c r="R36" s="320"/>
      <c r="S36" s="320"/>
      <c r="T36" s="320"/>
      <c r="U36" s="464"/>
    </row>
    <row r="37" spans="2:21" ht="12" customHeight="1">
      <c r="B37" s="47"/>
      <c r="C37" s="71"/>
      <c r="D37" s="1459" t="s">
        <v>166</v>
      </c>
      <c r="E37" s="641">
        <v>0.24</v>
      </c>
      <c r="F37" s="641">
        <f>E37</f>
        <v>0.24</v>
      </c>
      <c r="G37" s="641">
        <f>F37</f>
        <v>0.24</v>
      </c>
      <c r="H37" s="748">
        <f>G37</f>
        <v>0.24</v>
      </c>
      <c r="J37" s="1347"/>
      <c r="K37" s="316"/>
      <c r="L37" s="316"/>
      <c r="M37" s="316"/>
      <c r="N37" s="320"/>
      <c r="O37" s="320"/>
      <c r="P37" s="320"/>
      <c r="Q37" s="320"/>
      <c r="R37" s="320"/>
      <c r="S37" s="320"/>
      <c r="T37" s="320"/>
      <c r="U37" s="464"/>
    </row>
    <row r="38" spans="2:21" ht="12" customHeight="1">
      <c r="B38" s="1463">
        <v>0</v>
      </c>
      <c r="C38" s="346" t="s">
        <v>704</v>
      </c>
      <c r="D38" s="569">
        <v>0</v>
      </c>
      <c r="E38" s="744">
        <f>E39*E40</f>
        <v>0</v>
      </c>
      <c r="F38" s="744">
        <f>F39*F40</f>
        <v>0</v>
      </c>
      <c r="G38" s="577">
        <f>G39*G40</f>
        <v>0</v>
      </c>
      <c r="H38" s="1145">
        <f>H39*H40</f>
        <v>0</v>
      </c>
      <c r="J38" s="1500"/>
      <c r="K38" s="1501"/>
      <c r="L38" s="1501"/>
      <c r="M38" s="1501"/>
      <c r="N38" s="320"/>
      <c r="O38" s="320"/>
      <c r="P38" s="320"/>
      <c r="Q38" s="320"/>
      <c r="R38" s="320"/>
      <c r="S38" s="320"/>
      <c r="T38" s="320"/>
      <c r="U38" s="464"/>
    </row>
    <row r="39" spans="2:21" ht="12" customHeight="1">
      <c r="B39" s="1464" t="s">
        <v>75</v>
      </c>
      <c r="C39" s="1474"/>
      <c r="D39" s="569">
        <v>0</v>
      </c>
      <c r="E39" s="569">
        <f>D39+D39*J39</f>
        <v>0</v>
      </c>
      <c r="F39" s="569">
        <f>E39+E39*K39</f>
        <v>0</v>
      </c>
      <c r="G39" s="569">
        <f t="shared" ref="F39:H40" si="19">F39+F39*L39</f>
        <v>0</v>
      </c>
      <c r="H39" s="567">
        <f t="shared" si="19"/>
        <v>0</v>
      </c>
      <c r="J39" s="382">
        <v>0</v>
      </c>
      <c r="K39" s="382">
        <f t="shared" ref="K39" si="20">J39</f>
        <v>0</v>
      </c>
      <c r="L39" s="382">
        <f t="shared" ref="L39" si="21">K39</f>
        <v>0</v>
      </c>
      <c r="M39" s="382">
        <f t="shared" ref="M39" si="22">L39</f>
        <v>0</v>
      </c>
      <c r="N39" s="320"/>
      <c r="O39" s="320"/>
      <c r="P39" s="320"/>
      <c r="Q39" s="320"/>
      <c r="R39" s="320"/>
      <c r="S39" s="320"/>
      <c r="T39" s="320"/>
      <c r="U39" s="464"/>
    </row>
    <row r="40" spans="2:21" ht="12" customHeight="1">
      <c r="B40" s="1464" t="s">
        <v>76</v>
      </c>
      <c r="C40" s="1474"/>
      <c r="D40" s="745">
        <f>IF(D39=0,0,D38/D39)</f>
        <v>0</v>
      </c>
      <c r="E40" s="746">
        <f>D40+D40*J40</f>
        <v>0</v>
      </c>
      <c r="F40" s="746">
        <f t="shared" si="19"/>
        <v>0</v>
      </c>
      <c r="G40" s="750">
        <f t="shared" si="19"/>
        <v>0</v>
      </c>
      <c r="H40" s="746">
        <f t="shared" si="19"/>
        <v>0</v>
      </c>
      <c r="J40" s="382">
        <v>0.03</v>
      </c>
      <c r="K40" s="382">
        <f t="shared" ref="K40:M40" si="23">J40</f>
        <v>0.03</v>
      </c>
      <c r="L40" s="382">
        <f t="shared" si="23"/>
        <v>0.03</v>
      </c>
      <c r="M40" s="382">
        <f t="shared" si="23"/>
        <v>0.03</v>
      </c>
      <c r="N40" s="320"/>
      <c r="O40" s="320"/>
      <c r="P40" s="320"/>
      <c r="Q40" s="320"/>
      <c r="R40" s="320"/>
      <c r="S40" s="320"/>
      <c r="T40" s="320"/>
      <c r="U40" s="464"/>
    </row>
    <row r="41" spans="2:21" ht="12" customHeight="1">
      <c r="B41" s="1464" t="s">
        <v>493</v>
      </c>
      <c r="C41" s="347"/>
      <c r="D41" s="747">
        <f>IF(D38=0,0,D42/D38)</f>
        <v>0</v>
      </c>
      <c r="E41" s="748">
        <f>D41</f>
        <v>0</v>
      </c>
      <c r="F41" s="748">
        <f>E41</f>
        <v>0</v>
      </c>
      <c r="G41" s="748">
        <f>F41</f>
        <v>0</v>
      </c>
      <c r="H41" s="748">
        <f>G41</f>
        <v>0</v>
      </c>
      <c r="J41" s="378"/>
      <c r="K41" s="496"/>
      <c r="L41" s="320"/>
      <c r="M41" s="320"/>
      <c r="N41" s="320"/>
      <c r="O41" s="320"/>
      <c r="P41" s="320"/>
      <c r="Q41" s="320"/>
      <c r="R41" s="320"/>
      <c r="S41" s="320"/>
      <c r="T41" s="320"/>
      <c r="U41" s="464"/>
    </row>
    <row r="42" spans="2:21" ht="12" customHeight="1">
      <c r="B42" s="1464" t="s">
        <v>494</v>
      </c>
      <c r="C42" s="347" t="s">
        <v>704</v>
      </c>
      <c r="D42" s="569">
        <v>0</v>
      </c>
      <c r="E42" s="1145">
        <f>IF(E41=0,0,E38*E41)</f>
        <v>0</v>
      </c>
      <c r="F42" s="1145">
        <f>IF(F41=0,0,F38*F41)</f>
        <v>0</v>
      </c>
      <c r="G42" s="752">
        <f>IF(G41=0,0,G38*G41)</f>
        <v>0</v>
      </c>
      <c r="H42" s="1145">
        <f>IF(H41=0,0,H38*H41)</f>
        <v>0</v>
      </c>
      <c r="J42" s="378"/>
      <c r="K42" s="320"/>
      <c r="L42" s="320"/>
      <c r="M42" s="320"/>
      <c r="N42" s="320"/>
      <c r="O42" s="320"/>
      <c r="P42" s="320"/>
      <c r="Q42" s="320"/>
      <c r="R42" s="320"/>
      <c r="S42" s="320"/>
      <c r="T42" s="320"/>
      <c r="U42" s="464"/>
    </row>
    <row r="43" spans="2:21" ht="12" customHeight="1">
      <c r="B43" s="47"/>
      <c r="C43" s="71"/>
      <c r="D43" s="1447"/>
      <c r="E43" s="1444"/>
      <c r="F43" s="1444"/>
      <c r="G43" s="1444"/>
      <c r="H43" s="1444"/>
      <c r="J43" s="378"/>
      <c r="K43" s="320"/>
      <c r="L43" s="320"/>
      <c r="M43" s="320"/>
      <c r="N43" s="320"/>
      <c r="O43" s="320"/>
      <c r="P43" s="320"/>
      <c r="Q43" s="320"/>
      <c r="R43" s="320"/>
      <c r="S43" s="320"/>
      <c r="T43" s="320"/>
      <c r="U43" s="464"/>
    </row>
    <row r="44" spans="2:21" ht="12" customHeight="1">
      <c r="B44" s="47"/>
      <c r="C44" s="71"/>
      <c r="D44" s="1459" t="s">
        <v>166</v>
      </c>
      <c r="E44" s="641">
        <v>0.24</v>
      </c>
      <c r="F44" s="641">
        <f>E44</f>
        <v>0.24</v>
      </c>
      <c r="G44" s="641">
        <f>F44</f>
        <v>0.24</v>
      </c>
      <c r="H44" s="748">
        <f>G44</f>
        <v>0.24</v>
      </c>
      <c r="J44" s="378"/>
      <c r="K44" s="320"/>
      <c r="L44" s="320"/>
      <c r="M44" s="320"/>
      <c r="N44" s="320"/>
      <c r="O44" s="320"/>
      <c r="P44" s="320"/>
      <c r="Q44" s="320"/>
      <c r="R44" s="320"/>
      <c r="S44" s="320"/>
      <c r="T44" s="320"/>
      <c r="U44" s="464"/>
    </row>
    <row r="45" spans="2:21" ht="12" customHeight="1">
      <c r="B45" s="1463">
        <v>0</v>
      </c>
      <c r="C45" s="346" t="s">
        <v>704</v>
      </c>
      <c r="D45" s="569">
        <v>0</v>
      </c>
      <c r="E45" s="744">
        <f>E46*E47</f>
        <v>0</v>
      </c>
      <c r="F45" s="744">
        <f>F46*F47</f>
        <v>0</v>
      </c>
      <c r="G45" s="752">
        <f>G46*G47</f>
        <v>0</v>
      </c>
      <c r="H45" s="1145">
        <f>H46*H47</f>
        <v>0</v>
      </c>
      <c r="J45" s="1500"/>
      <c r="K45" s="1501"/>
      <c r="L45" s="1501"/>
      <c r="M45" s="1501"/>
      <c r="N45" s="320"/>
      <c r="O45" s="320"/>
      <c r="P45" s="320"/>
      <c r="Q45" s="320"/>
      <c r="R45" s="320"/>
      <c r="S45" s="320"/>
      <c r="T45" s="320"/>
      <c r="U45" s="464"/>
    </row>
    <row r="46" spans="2:21" ht="12" customHeight="1">
      <c r="B46" s="1464" t="s">
        <v>75</v>
      </c>
      <c r="C46" s="1474"/>
      <c r="D46" s="569">
        <v>0</v>
      </c>
      <c r="E46" s="569">
        <f t="shared" ref="E46:E47" si="24">D46+D46*J46</f>
        <v>0</v>
      </c>
      <c r="F46" s="569">
        <f>E46+E46*K46</f>
        <v>0</v>
      </c>
      <c r="G46" s="751">
        <f t="shared" ref="F46:H47" si="25">F46+F46*L46</f>
        <v>0</v>
      </c>
      <c r="H46" s="569">
        <f t="shared" si="25"/>
        <v>0</v>
      </c>
      <c r="J46" s="382">
        <v>0</v>
      </c>
      <c r="K46" s="382">
        <f t="shared" ref="K46:M47" si="26">J46</f>
        <v>0</v>
      </c>
      <c r="L46" s="382">
        <f t="shared" si="26"/>
        <v>0</v>
      </c>
      <c r="M46" s="382">
        <f t="shared" si="26"/>
        <v>0</v>
      </c>
      <c r="N46" s="320"/>
      <c r="O46" s="320"/>
      <c r="P46" s="320"/>
      <c r="Q46" s="320"/>
      <c r="R46" s="320"/>
      <c r="S46" s="320"/>
      <c r="T46" s="320"/>
      <c r="U46" s="464"/>
    </row>
    <row r="47" spans="2:21" ht="12" customHeight="1">
      <c r="B47" s="1464" t="s">
        <v>76</v>
      </c>
      <c r="C47" s="1474"/>
      <c r="D47" s="745">
        <f>IF(D46=0,0,D45/D46)</f>
        <v>0</v>
      </c>
      <c r="E47" s="746">
        <f t="shared" si="24"/>
        <v>0</v>
      </c>
      <c r="F47" s="746">
        <f t="shared" si="25"/>
        <v>0</v>
      </c>
      <c r="G47" s="750">
        <f t="shared" si="25"/>
        <v>0</v>
      </c>
      <c r="H47" s="746">
        <f t="shared" si="25"/>
        <v>0</v>
      </c>
      <c r="J47" s="382">
        <v>0.03</v>
      </c>
      <c r="K47" s="382">
        <f t="shared" si="26"/>
        <v>0.03</v>
      </c>
      <c r="L47" s="382">
        <f t="shared" si="26"/>
        <v>0.03</v>
      </c>
      <c r="M47" s="382">
        <f t="shared" si="26"/>
        <v>0.03</v>
      </c>
      <c r="N47" s="320"/>
      <c r="O47" s="320"/>
      <c r="P47" s="320"/>
      <c r="Q47" s="320"/>
      <c r="R47" s="320"/>
      <c r="S47" s="320"/>
      <c r="T47" s="320"/>
      <c r="U47" s="464"/>
    </row>
    <row r="48" spans="2:21" ht="12" customHeight="1">
      <c r="B48" s="1464" t="s">
        <v>493</v>
      </c>
      <c r="C48" s="347"/>
      <c r="D48" s="747">
        <f>IF(D45=0,0,D49/D45)</f>
        <v>0</v>
      </c>
      <c r="E48" s="748">
        <f>D48</f>
        <v>0</v>
      </c>
      <c r="F48" s="748">
        <f>E48</f>
        <v>0</v>
      </c>
      <c r="G48" s="748">
        <f>F48</f>
        <v>0</v>
      </c>
      <c r="H48" s="748">
        <f>G48</f>
        <v>0</v>
      </c>
      <c r="J48" s="378"/>
      <c r="K48" s="496"/>
      <c r="L48" s="320"/>
      <c r="M48" s="320"/>
      <c r="N48" s="320"/>
      <c r="O48" s="320"/>
      <c r="P48" s="320"/>
      <c r="Q48" s="320"/>
      <c r="R48" s="320"/>
      <c r="S48" s="320"/>
      <c r="T48" s="320"/>
      <c r="U48" s="464"/>
    </row>
    <row r="49" spans="2:21" ht="12" customHeight="1">
      <c r="B49" s="1464" t="s">
        <v>494</v>
      </c>
      <c r="C49" s="347" t="s">
        <v>704</v>
      </c>
      <c r="D49" s="569">
        <v>0</v>
      </c>
      <c r="E49" s="1145">
        <f>IF(E48=0,0,E45*E48)</f>
        <v>0</v>
      </c>
      <c r="F49" s="1145">
        <f>IF(F48=0,0,F45*F48)</f>
        <v>0</v>
      </c>
      <c r="G49" s="752">
        <f>IF(G48=0,0,G45*G48)</f>
        <v>0</v>
      </c>
      <c r="H49" s="1145">
        <f>IF(H48=0,0,H45*H48)</f>
        <v>0</v>
      </c>
      <c r="J49" s="378"/>
      <c r="K49" s="320"/>
      <c r="L49" s="320"/>
      <c r="M49" s="320"/>
      <c r="N49" s="320"/>
      <c r="O49" s="320"/>
      <c r="P49" s="320"/>
      <c r="Q49" s="320"/>
      <c r="R49" s="320"/>
      <c r="S49" s="320"/>
      <c r="T49" s="320"/>
      <c r="U49" s="464"/>
    </row>
    <row r="50" spans="2:21" ht="12" customHeight="1">
      <c r="B50" s="47"/>
      <c r="C50" s="71"/>
      <c r="D50" s="1447"/>
      <c r="E50" s="1444"/>
      <c r="F50" s="1444"/>
      <c r="G50" s="1444"/>
      <c r="H50" s="1444"/>
      <c r="J50" s="378"/>
      <c r="K50" s="320"/>
      <c r="L50" s="320"/>
      <c r="M50" s="320"/>
      <c r="N50" s="320"/>
      <c r="O50" s="320"/>
      <c r="P50" s="320"/>
      <c r="Q50" s="320"/>
      <c r="R50" s="320"/>
      <c r="S50" s="320"/>
      <c r="T50" s="320"/>
      <c r="U50" s="464"/>
    </row>
    <row r="51" spans="2:21" ht="12" customHeight="1">
      <c r="B51" s="47"/>
      <c r="C51" s="71"/>
      <c r="D51" s="1459" t="s">
        <v>166</v>
      </c>
      <c r="E51" s="641">
        <v>0.24</v>
      </c>
      <c r="F51" s="641">
        <f>E51</f>
        <v>0.24</v>
      </c>
      <c r="G51" s="641">
        <f>F51</f>
        <v>0.24</v>
      </c>
      <c r="H51" s="748">
        <f>G51</f>
        <v>0.24</v>
      </c>
      <c r="J51" s="378"/>
      <c r="K51" s="320"/>
      <c r="L51" s="320"/>
      <c r="M51" s="320"/>
      <c r="N51" s="320"/>
      <c r="O51" s="320"/>
      <c r="P51" s="320"/>
      <c r="Q51" s="320"/>
      <c r="R51" s="320"/>
      <c r="S51" s="320"/>
      <c r="T51" s="320"/>
      <c r="U51" s="464"/>
    </row>
    <row r="52" spans="2:21" ht="12" customHeight="1">
      <c r="B52" s="1463">
        <v>0</v>
      </c>
      <c r="C52" s="346" t="s">
        <v>704</v>
      </c>
      <c r="D52" s="569">
        <v>0</v>
      </c>
      <c r="E52" s="744">
        <f>E53*E54</f>
        <v>0</v>
      </c>
      <c r="F52" s="744">
        <f>F53*F54</f>
        <v>0</v>
      </c>
      <c r="G52" s="577">
        <f>G53*G54</f>
        <v>0</v>
      </c>
      <c r="H52" s="744">
        <f>H53*H54</f>
        <v>0</v>
      </c>
      <c r="J52" s="1500"/>
      <c r="K52" s="1501"/>
      <c r="L52" s="1501"/>
      <c r="M52" s="1501"/>
      <c r="N52" s="320"/>
      <c r="O52" s="320"/>
      <c r="P52" s="320"/>
      <c r="Q52" s="320"/>
      <c r="R52" s="320"/>
      <c r="S52" s="320"/>
      <c r="T52" s="320"/>
      <c r="U52" s="464"/>
    </row>
    <row r="53" spans="2:21" ht="12" customHeight="1">
      <c r="B53" s="1464" t="s">
        <v>75</v>
      </c>
      <c r="C53" s="1474"/>
      <c r="D53" s="569">
        <v>0</v>
      </c>
      <c r="E53" s="569">
        <f t="shared" ref="E53:H54" si="27">D53+D53*J53</f>
        <v>0</v>
      </c>
      <c r="F53" s="569">
        <f t="shared" si="27"/>
        <v>0</v>
      </c>
      <c r="G53" s="751">
        <f t="shared" si="27"/>
        <v>0</v>
      </c>
      <c r="H53" s="569">
        <f t="shared" si="27"/>
        <v>0</v>
      </c>
      <c r="J53" s="382">
        <v>0</v>
      </c>
      <c r="K53" s="382">
        <f t="shared" ref="K53:M54" si="28">J53</f>
        <v>0</v>
      </c>
      <c r="L53" s="382">
        <f t="shared" si="28"/>
        <v>0</v>
      </c>
      <c r="M53" s="382">
        <f t="shared" si="28"/>
        <v>0</v>
      </c>
      <c r="N53" s="320"/>
      <c r="O53" s="320"/>
      <c r="P53" s="320"/>
      <c r="Q53" s="320"/>
      <c r="R53" s="320"/>
      <c r="S53" s="320"/>
      <c r="T53" s="320"/>
      <c r="U53" s="464"/>
    </row>
    <row r="54" spans="2:21" ht="12" customHeight="1">
      <c r="B54" s="1464" t="s">
        <v>76</v>
      </c>
      <c r="C54" s="1474"/>
      <c r="D54" s="745">
        <f>IF(D53=0,0,D52/D53)</f>
        <v>0</v>
      </c>
      <c r="E54" s="746">
        <f t="shared" si="27"/>
        <v>0</v>
      </c>
      <c r="F54" s="746">
        <f t="shared" si="27"/>
        <v>0</v>
      </c>
      <c r="G54" s="750">
        <f t="shared" si="27"/>
        <v>0</v>
      </c>
      <c r="H54" s="746">
        <f t="shared" si="27"/>
        <v>0</v>
      </c>
      <c r="J54" s="382">
        <v>0.03</v>
      </c>
      <c r="K54" s="382">
        <f t="shared" si="28"/>
        <v>0.03</v>
      </c>
      <c r="L54" s="382">
        <f t="shared" si="28"/>
        <v>0.03</v>
      </c>
      <c r="M54" s="382">
        <f t="shared" si="28"/>
        <v>0.03</v>
      </c>
      <c r="N54" s="320"/>
      <c r="O54" s="320"/>
      <c r="P54" s="320"/>
      <c r="Q54" s="320"/>
      <c r="R54" s="320"/>
      <c r="S54" s="320"/>
      <c r="T54" s="320"/>
      <c r="U54" s="464"/>
    </row>
    <row r="55" spans="2:21" ht="12" customHeight="1">
      <c r="B55" s="1464" t="s">
        <v>493</v>
      </c>
      <c r="C55" s="347"/>
      <c r="D55" s="747">
        <f>IF(D52=0,0,D56/D52)</f>
        <v>0</v>
      </c>
      <c r="E55" s="748">
        <f>D55</f>
        <v>0</v>
      </c>
      <c r="F55" s="748">
        <f>E55</f>
        <v>0</v>
      </c>
      <c r="G55" s="748">
        <f>F55</f>
        <v>0</v>
      </c>
      <c r="H55" s="748">
        <f>G55</f>
        <v>0</v>
      </c>
      <c r="J55" s="378"/>
      <c r="K55" s="496"/>
      <c r="L55" s="320"/>
      <c r="M55" s="320"/>
      <c r="N55" s="320"/>
      <c r="O55" s="320"/>
      <c r="P55" s="320"/>
      <c r="Q55" s="320"/>
      <c r="R55" s="320"/>
      <c r="S55" s="320"/>
      <c r="T55" s="320"/>
      <c r="U55" s="464"/>
    </row>
    <row r="56" spans="2:21" ht="12" customHeight="1">
      <c r="B56" s="1464" t="s">
        <v>494</v>
      </c>
      <c r="C56" s="347" t="s">
        <v>704</v>
      </c>
      <c r="D56" s="569">
        <v>0</v>
      </c>
      <c r="E56" s="1145">
        <f>IF(E55=0,0,E52*E55)</f>
        <v>0</v>
      </c>
      <c r="F56" s="1145">
        <f>IF(F55=0,0,F52*F55)</f>
        <v>0</v>
      </c>
      <c r="G56" s="752">
        <f>IF(G55=0,0,G52*G55)</f>
        <v>0</v>
      </c>
      <c r="H56" s="1145">
        <f>IF(H55=0,0,H52*H55)</f>
        <v>0</v>
      </c>
      <c r="J56" s="378"/>
      <c r="K56" s="320"/>
      <c r="L56" s="320"/>
      <c r="M56" s="320"/>
      <c r="N56" s="320"/>
      <c r="O56" s="320"/>
      <c r="P56" s="320"/>
      <c r="Q56" s="320"/>
      <c r="R56" s="320"/>
      <c r="S56" s="320"/>
      <c r="T56" s="320"/>
      <c r="U56" s="464"/>
    </row>
    <row r="57" spans="2:21" ht="12" customHeight="1">
      <c r="B57" s="47"/>
      <c r="C57" s="71"/>
      <c r="D57" s="1447"/>
      <c r="E57" s="1444"/>
      <c r="F57" s="1444"/>
      <c r="G57" s="1444"/>
      <c r="H57" s="1444"/>
      <c r="J57" s="378"/>
      <c r="K57" s="320"/>
      <c r="L57" s="320"/>
      <c r="M57" s="320"/>
      <c r="N57" s="320"/>
      <c r="O57" s="320"/>
      <c r="P57" s="320"/>
      <c r="Q57" s="320"/>
      <c r="R57" s="320"/>
      <c r="S57" s="320"/>
      <c r="T57" s="320"/>
      <c r="U57" s="464"/>
    </row>
    <row r="58" spans="2:21" ht="12" customHeight="1">
      <c r="B58" s="47"/>
      <c r="C58" s="1460"/>
      <c r="D58" s="1459" t="s">
        <v>166</v>
      </c>
      <c r="E58" s="641">
        <v>0.24</v>
      </c>
      <c r="F58" s="641">
        <f>E58</f>
        <v>0.24</v>
      </c>
      <c r="G58" s="641">
        <f>F58</f>
        <v>0.24</v>
      </c>
      <c r="H58" s="748">
        <f>G58</f>
        <v>0.24</v>
      </c>
      <c r="J58" s="378"/>
      <c r="K58" s="320"/>
      <c r="L58" s="320"/>
      <c r="M58" s="320"/>
      <c r="N58" s="320"/>
      <c r="O58" s="320"/>
      <c r="P58" s="320"/>
      <c r="Q58" s="320"/>
      <c r="R58" s="320"/>
      <c r="S58" s="320"/>
      <c r="T58" s="320"/>
      <c r="U58" s="464"/>
    </row>
    <row r="59" spans="2:21" ht="12" customHeight="1">
      <c r="B59" s="1463">
        <v>0</v>
      </c>
      <c r="C59" s="346" t="s">
        <v>704</v>
      </c>
      <c r="D59" s="569">
        <v>0</v>
      </c>
      <c r="E59" s="744">
        <f>E60*E61</f>
        <v>0</v>
      </c>
      <c r="F59" s="744">
        <f>F60*F61</f>
        <v>0</v>
      </c>
      <c r="G59" s="577">
        <f>G60*G61</f>
        <v>0</v>
      </c>
      <c r="H59" s="744">
        <f>H60*H61</f>
        <v>0</v>
      </c>
      <c r="J59" s="1500"/>
      <c r="K59" s="1501"/>
      <c r="L59" s="1501"/>
      <c r="M59" s="1501"/>
      <c r="N59" s="320"/>
      <c r="O59" s="320"/>
      <c r="P59" s="320"/>
      <c r="Q59" s="320"/>
      <c r="R59" s="320"/>
      <c r="S59" s="320"/>
      <c r="T59" s="320"/>
      <c r="U59" s="464"/>
    </row>
    <row r="60" spans="2:21" ht="12.75" customHeight="1">
      <c r="B60" s="1464" t="s">
        <v>75</v>
      </c>
      <c r="C60" s="1474"/>
      <c r="D60" s="569">
        <v>0</v>
      </c>
      <c r="E60" s="569">
        <f t="shared" ref="E60:H61" si="29">D60+D60*J60</f>
        <v>0</v>
      </c>
      <c r="F60" s="569">
        <f t="shared" si="29"/>
        <v>0</v>
      </c>
      <c r="G60" s="751">
        <f t="shared" si="29"/>
        <v>0</v>
      </c>
      <c r="H60" s="569">
        <f t="shared" si="29"/>
        <v>0</v>
      </c>
      <c r="J60" s="382">
        <v>0</v>
      </c>
      <c r="K60" s="382">
        <f t="shared" ref="K60:M61" si="30">J60</f>
        <v>0</v>
      </c>
      <c r="L60" s="382">
        <f t="shared" si="30"/>
        <v>0</v>
      </c>
      <c r="M60" s="382">
        <f t="shared" si="30"/>
        <v>0</v>
      </c>
      <c r="N60" s="320"/>
      <c r="O60" s="320"/>
      <c r="P60" s="320"/>
      <c r="Q60" s="320"/>
      <c r="R60" s="320"/>
      <c r="S60" s="320"/>
      <c r="T60" s="320"/>
      <c r="U60" s="464"/>
    </row>
    <row r="61" spans="2:21" ht="12.75" customHeight="1">
      <c r="B61" s="1464" t="s">
        <v>76</v>
      </c>
      <c r="C61" s="1474"/>
      <c r="D61" s="745">
        <f>IF(D60=0,0,D59/D60)</f>
        <v>0</v>
      </c>
      <c r="E61" s="746">
        <f t="shared" si="29"/>
        <v>0</v>
      </c>
      <c r="F61" s="746">
        <f t="shared" si="29"/>
        <v>0</v>
      </c>
      <c r="G61" s="746">
        <f t="shared" si="29"/>
        <v>0</v>
      </c>
      <c r="H61" s="746">
        <f t="shared" si="29"/>
        <v>0</v>
      </c>
      <c r="J61" s="382">
        <v>0.03</v>
      </c>
      <c r="K61" s="382">
        <f t="shared" si="30"/>
        <v>0.03</v>
      </c>
      <c r="L61" s="382">
        <f t="shared" si="30"/>
        <v>0.03</v>
      </c>
      <c r="M61" s="382">
        <f t="shared" si="30"/>
        <v>0.03</v>
      </c>
      <c r="N61" s="320"/>
      <c r="O61" s="320"/>
      <c r="P61" s="320"/>
      <c r="Q61" s="320"/>
      <c r="R61" s="320"/>
      <c r="S61" s="320"/>
      <c r="T61" s="320"/>
      <c r="U61" s="464"/>
    </row>
    <row r="62" spans="2:21">
      <c r="B62" s="1464" t="s">
        <v>493</v>
      </c>
      <c r="C62" s="347"/>
      <c r="D62" s="747">
        <f>IF(D59=0,0,D63/D59)</f>
        <v>0</v>
      </c>
      <c r="E62" s="748">
        <f>D62</f>
        <v>0</v>
      </c>
      <c r="F62" s="748">
        <f>E62</f>
        <v>0</v>
      </c>
      <c r="G62" s="748">
        <f>F62</f>
        <v>0</v>
      </c>
      <c r="H62" s="748">
        <f>G62</f>
        <v>0</v>
      </c>
      <c r="J62" s="1493"/>
      <c r="K62" s="167"/>
      <c r="L62" s="167"/>
      <c r="M62" s="167"/>
      <c r="N62" s="320"/>
      <c r="O62" s="320"/>
      <c r="P62" s="320"/>
      <c r="Q62" s="320"/>
      <c r="R62" s="320"/>
      <c r="S62" s="320"/>
      <c r="T62" s="320"/>
      <c r="U62" s="464"/>
    </row>
    <row r="63" spans="2:21">
      <c r="B63" s="1464" t="s">
        <v>494</v>
      </c>
      <c r="C63" s="347" t="s">
        <v>704</v>
      </c>
      <c r="D63" s="569">
        <v>0</v>
      </c>
      <c r="E63" s="1145">
        <f>IF(E62=0,0,E59*E62)</f>
        <v>0</v>
      </c>
      <c r="F63" s="1145">
        <f>IF(F62=0,0,F59*F62)</f>
        <v>0</v>
      </c>
      <c r="G63" s="752">
        <f>IF(G62=0,0,G59*G62)</f>
        <v>0</v>
      </c>
      <c r="H63" s="1145">
        <f>IF(H62=0,0,H59*H62)</f>
        <v>0</v>
      </c>
      <c r="J63" s="417"/>
      <c r="K63" s="167"/>
      <c r="L63" s="167"/>
      <c r="M63" s="167"/>
      <c r="N63" s="320"/>
      <c r="O63" s="320"/>
      <c r="P63" s="320"/>
      <c r="Q63" s="320"/>
      <c r="R63" s="320"/>
      <c r="S63" s="320"/>
      <c r="T63" s="320"/>
      <c r="U63" s="464"/>
    </row>
    <row r="64" spans="2:21">
      <c r="B64" s="47"/>
      <c r="C64" s="71"/>
      <c r="D64" s="1447"/>
      <c r="E64" s="1444"/>
      <c r="F64" s="1444"/>
      <c r="G64" s="1444"/>
      <c r="H64" s="1444"/>
      <c r="J64" s="417"/>
      <c r="K64" s="167"/>
      <c r="L64" s="167"/>
      <c r="M64" s="167"/>
      <c r="N64" s="320"/>
      <c r="O64" s="320"/>
      <c r="P64" s="320"/>
      <c r="Q64" s="320"/>
      <c r="R64" s="320"/>
      <c r="S64" s="320"/>
      <c r="T64" s="320"/>
      <c r="U64" s="464"/>
    </row>
    <row r="65" spans="2:21" ht="12" customHeight="1">
      <c r="B65" s="167"/>
      <c r="C65" s="1461"/>
      <c r="D65" s="1459" t="s">
        <v>166</v>
      </c>
      <c r="E65" s="641">
        <v>0.24</v>
      </c>
      <c r="F65" s="641">
        <f>E65</f>
        <v>0.24</v>
      </c>
      <c r="G65" s="641">
        <f>F65</f>
        <v>0.24</v>
      </c>
      <c r="H65" s="748">
        <f>G65</f>
        <v>0.24</v>
      </c>
      <c r="J65" s="417"/>
      <c r="K65" s="167"/>
      <c r="L65" s="167"/>
      <c r="M65" s="167"/>
      <c r="N65" s="320"/>
      <c r="O65" s="320"/>
      <c r="P65" s="320"/>
      <c r="Q65" s="320"/>
      <c r="R65" s="320"/>
      <c r="S65" s="320"/>
      <c r="T65" s="320"/>
      <c r="U65" s="464"/>
    </row>
    <row r="66" spans="2:21" ht="12" customHeight="1">
      <c r="B66" s="1463">
        <v>0</v>
      </c>
      <c r="C66" s="346" t="s">
        <v>704</v>
      </c>
      <c r="D66" s="569">
        <v>0</v>
      </c>
      <c r="E66" s="744">
        <f>E67*E68</f>
        <v>0</v>
      </c>
      <c r="F66" s="744">
        <f>F67*F68</f>
        <v>0</v>
      </c>
      <c r="G66" s="744">
        <f>G67*G68</f>
        <v>0</v>
      </c>
      <c r="H66" s="1145">
        <f>H67*H68</f>
        <v>0</v>
      </c>
      <c r="J66" s="1500"/>
      <c r="K66" s="1501"/>
      <c r="L66" s="1501"/>
      <c r="M66" s="1501"/>
      <c r="N66" s="320"/>
      <c r="O66" s="320"/>
      <c r="P66" s="320"/>
      <c r="Q66" s="320"/>
      <c r="R66" s="320"/>
      <c r="S66" s="320"/>
      <c r="T66" s="320"/>
      <c r="U66" s="464"/>
    </row>
    <row r="67" spans="2:21" ht="12" customHeight="1">
      <c r="B67" s="1464" t="s">
        <v>75</v>
      </c>
      <c r="C67" s="1474"/>
      <c r="D67" s="569">
        <v>0</v>
      </c>
      <c r="E67" s="569">
        <f t="shared" ref="E67:H68" si="31">D67+D67*J67</f>
        <v>0</v>
      </c>
      <c r="F67" s="569">
        <f t="shared" si="31"/>
        <v>0</v>
      </c>
      <c r="G67" s="751">
        <f t="shared" si="31"/>
        <v>0</v>
      </c>
      <c r="H67" s="569">
        <f>G67+G67*M67</f>
        <v>0</v>
      </c>
      <c r="J67" s="382">
        <v>0</v>
      </c>
      <c r="K67" s="382">
        <f t="shared" ref="K67:M68" si="32">J67</f>
        <v>0</v>
      </c>
      <c r="L67" s="382">
        <f t="shared" si="32"/>
        <v>0</v>
      </c>
      <c r="M67" s="382">
        <f t="shared" si="32"/>
        <v>0</v>
      </c>
      <c r="N67" s="320"/>
      <c r="O67" s="320"/>
      <c r="P67" s="320"/>
      <c r="Q67" s="320"/>
      <c r="R67" s="320"/>
      <c r="S67" s="320"/>
      <c r="T67" s="320"/>
      <c r="U67" s="464"/>
    </row>
    <row r="68" spans="2:21" ht="12" customHeight="1">
      <c r="B68" s="1464" t="s">
        <v>76</v>
      </c>
      <c r="C68" s="1474"/>
      <c r="D68" s="745">
        <f>IF(D67=0,0,D66/D67)</f>
        <v>0</v>
      </c>
      <c r="E68" s="746">
        <f t="shared" si="31"/>
        <v>0</v>
      </c>
      <c r="F68" s="746">
        <f t="shared" si="31"/>
        <v>0</v>
      </c>
      <c r="G68" s="746">
        <f t="shared" si="31"/>
        <v>0</v>
      </c>
      <c r="H68" s="746">
        <f t="shared" si="31"/>
        <v>0</v>
      </c>
      <c r="J68" s="382">
        <v>0.03</v>
      </c>
      <c r="K68" s="382">
        <f t="shared" si="32"/>
        <v>0.03</v>
      </c>
      <c r="L68" s="382">
        <f t="shared" si="32"/>
        <v>0.03</v>
      </c>
      <c r="M68" s="382">
        <f t="shared" si="32"/>
        <v>0.03</v>
      </c>
      <c r="N68" s="320"/>
      <c r="O68" s="320"/>
      <c r="P68" s="320"/>
      <c r="Q68" s="320"/>
      <c r="R68" s="320"/>
      <c r="S68" s="320"/>
      <c r="T68" s="320"/>
      <c r="U68" s="464"/>
    </row>
    <row r="69" spans="2:21" ht="12" customHeight="1">
      <c r="B69" s="1464" t="s">
        <v>493</v>
      </c>
      <c r="C69" s="347"/>
      <c r="D69" s="747">
        <f>IF(D66=0,0,D70/D66)</f>
        <v>0</v>
      </c>
      <c r="E69" s="748">
        <f>D69</f>
        <v>0</v>
      </c>
      <c r="F69" s="748">
        <f>E69</f>
        <v>0</v>
      </c>
      <c r="G69" s="748">
        <f>F69</f>
        <v>0</v>
      </c>
      <c r="H69" s="748">
        <f>G69</f>
        <v>0</v>
      </c>
      <c r="J69" s="378"/>
      <c r="K69" s="320"/>
      <c r="L69" s="320"/>
      <c r="M69" s="320"/>
      <c r="N69" s="320"/>
      <c r="O69" s="320"/>
      <c r="P69" s="320"/>
      <c r="Q69" s="320"/>
      <c r="R69" s="320"/>
      <c r="S69" s="320"/>
      <c r="T69" s="320"/>
      <c r="U69" s="464"/>
    </row>
    <row r="70" spans="2:21" ht="12" customHeight="1">
      <c r="B70" s="1464" t="s">
        <v>494</v>
      </c>
      <c r="C70" s="347" t="s">
        <v>704</v>
      </c>
      <c r="D70" s="569">
        <v>0</v>
      </c>
      <c r="E70" s="1145">
        <f>IF(E69=0,0,E66*E69)</f>
        <v>0</v>
      </c>
      <c r="F70" s="1145">
        <f>IF(F69=0,0,F66*F69)</f>
        <v>0</v>
      </c>
      <c r="G70" s="752">
        <f>IF(G69=0,0,G66*G69)</f>
        <v>0</v>
      </c>
      <c r="H70" s="1145">
        <f>IF(H69=0,0,H66*H69)</f>
        <v>0</v>
      </c>
      <c r="J70" s="378"/>
      <c r="K70" s="320"/>
      <c r="L70" s="320"/>
      <c r="M70" s="320"/>
      <c r="N70" s="320"/>
      <c r="O70" s="320"/>
      <c r="P70" s="320"/>
      <c r="Q70" s="320"/>
      <c r="R70" s="320"/>
      <c r="S70" s="320"/>
      <c r="T70" s="320"/>
      <c r="U70" s="464"/>
    </row>
    <row r="71" spans="2:21" ht="12" customHeight="1">
      <c r="B71" s="47"/>
      <c r="C71" s="71"/>
      <c r="D71" s="1447"/>
      <c r="E71" s="1444"/>
      <c r="F71" s="1444"/>
      <c r="G71" s="1444"/>
      <c r="H71" s="1444"/>
      <c r="J71" s="378"/>
      <c r="K71" s="320"/>
      <c r="L71" s="320"/>
      <c r="M71" s="320"/>
      <c r="N71" s="320"/>
      <c r="O71" s="320"/>
      <c r="P71" s="320"/>
      <c r="Q71" s="320"/>
      <c r="R71" s="320"/>
      <c r="S71" s="320"/>
      <c r="T71" s="320"/>
      <c r="U71" s="464"/>
    </row>
    <row r="72" spans="2:21" ht="12" customHeight="1">
      <c r="B72" s="51"/>
      <c r="C72" s="1462"/>
      <c r="D72" s="1459" t="s">
        <v>166</v>
      </c>
      <c r="E72" s="641">
        <v>0.24</v>
      </c>
      <c r="F72" s="641">
        <f>E72</f>
        <v>0.24</v>
      </c>
      <c r="G72" s="641">
        <f>F72</f>
        <v>0.24</v>
      </c>
      <c r="H72" s="748">
        <f>G72</f>
        <v>0.24</v>
      </c>
      <c r="J72" s="378"/>
      <c r="K72" s="320"/>
      <c r="L72" s="320"/>
      <c r="M72" s="320"/>
      <c r="N72" s="320"/>
      <c r="O72" s="320"/>
      <c r="P72" s="320"/>
      <c r="Q72" s="320"/>
      <c r="R72" s="320"/>
      <c r="S72" s="320"/>
      <c r="T72" s="320"/>
      <c r="U72" s="464"/>
    </row>
    <row r="73" spans="2:21" ht="12" customHeight="1">
      <c r="B73" s="1463">
        <v>0</v>
      </c>
      <c r="C73" s="399" t="s">
        <v>704</v>
      </c>
      <c r="D73" s="569">
        <v>0</v>
      </c>
      <c r="E73" s="744">
        <f>E74*E75</f>
        <v>0</v>
      </c>
      <c r="F73" s="744">
        <f>F74*F75</f>
        <v>0</v>
      </c>
      <c r="G73" s="577">
        <f>G74*G75</f>
        <v>0</v>
      </c>
      <c r="H73" s="744">
        <f>H74*H75</f>
        <v>0</v>
      </c>
      <c r="J73" s="1500"/>
      <c r="K73" s="1501"/>
      <c r="L73" s="1501"/>
      <c r="M73" s="1501"/>
      <c r="N73" s="320"/>
      <c r="O73" s="320"/>
      <c r="P73" s="320"/>
      <c r="Q73" s="320"/>
      <c r="R73" s="320"/>
      <c r="S73" s="320"/>
      <c r="T73" s="320"/>
      <c r="U73" s="464"/>
    </row>
    <row r="74" spans="2:21" ht="12" customHeight="1">
      <c r="B74" s="1464" t="s">
        <v>75</v>
      </c>
      <c r="C74" s="1474"/>
      <c r="D74" s="569">
        <v>0</v>
      </c>
      <c r="E74" s="569">
        <f t="shared" ref="E74:H75" si="33">D74+D74*J74</f>
        <v>0</v>
      </c>
      <c r="F74" s="569">
        <f t="shared" si="33"/>
        <v>0</v>
      </c>
      <c r="G74" s="751">
        <f t="shared" si="33"/>
        <v>0</v>
      </c>
      <c r="H74" s="569">
        <f t="shared" si="33"/>
        <v>0</v>
      </c>
      <c r="J74" s="382">
        <v>0</v>
      </c>
      <c r="K74" s="382">
        <f t="shared" ref="K74:M75" si="34">J74</f>
        <v>0</v>
      </c>
      <c r="L74" s="382">
        <f t="shared" si="34"/>
        <v>0</v>
      </c>
      <c r="M74" s="382">
        <f t="shared" si="34"/>
        <v>0</v>
      </c>
      <c r="N74" s="320"/>
      <c r="O74" s="320"/>
      <c r="P74" s="320"/>
      <c r="Q74" s="320"/>
      <c r="R74" s="320"/>
      <c r="S74" s="320"/>
      <c r="T74" s="320"/>
      <c r="U74" s="464"/>
    </row>
    <row r="75" spans="2:21" ht="12" customHeight="1">
      <c r="B75" s="1464" t="s">
        <v>76</v>
      </c>
      <c r="C75" s="1474"/>
      <c r="D75" s="745">
        <f>IF(D74=0,0,D73/D74)</f>
        <v>0</v>
      </c>
      <c r="E75" s="746">
        <f t="shared" si="33"/>
        <v>0</v>
      </c>
      <c r="F75" s="746">
        <f t="shared" si="33"/>
        <v>0</v>
      </c>
      <c r="G75" s="746">
        <f t="shared" si="33"/>
        <v>0</v>
      </c>
      <c r="H75" s="746">
        <f t="shared" si="33"/>
        <v>0</v>
      </c>
      <c r="J75" s="382">
        <v>0.03</v>
      </c>
      <c r="K75" s="382">
        <f t="shared" si="34"/>
        <v>0.03</v>
      </c>
      <c r="L75" s="382">
        <f t="shared" si="34"/>
        <v>0.03</v>
      </c>
      <c r="M75" s="382">
        <f t="shared" si="34"/>
        <v>0.03</v>
      </c>
      <c r="N75" s="320"/>
      <c r="O75" s="320"/>
      <c r="P75" s="320"/>
      <c r="Q75" s="320"/>
      <c r="R75" s="320"/>
      <c r="S75" s="320"/>
      <c r="T75" s="320"/>
      <c r="U75" s="464"/>
    </row>
    <row r="76" spans="2:21" ht="12" customHeight="1">
      <c r="B76" s="1464" t="s">
        <v>493</v>
      </c>
      <c r="C76" s="347"/>
      <c r="D76" s="747">
        <f>IF(D73=0,0,D77/D73)</f>
        <v>0</v>
      </c>
      <c r="E76" s="748">
        <f>D76</f>
        <v>0</v>
      </c>
      <c r="F76" s="748">
        <f>E76</f>
        <v>0</v>
      </c>
      <c r="G76" s="748">
        <f>F76</f>
        <v>0</v>
      </c>
      <c r="H76" s="748">
        <f>G76</f>
        <v>0</v>
      </c>
      <c r="J76" s="378">
        <v>0</v>
      </c>
      <c r="K76" s="320"/>
      <c r="L76" s="320"/>
      <c r="M76" s="320"/>
      <c r="N76" s="320"/>
      <c r="O76" s="320"/>
      <c r="P76" s="320"/>
      <c r="Q76" s="320"/>
      <c r="R76" s="320"/>
      <c r="S76" s="320"/>
      <c r="T76" s="320"/>
      <c r="U76" s="464"/>
    </row>
    <row r="77" spans="2:21" ht="12" customHeight="1">
      <c r="B77" s="1464" t="s">
        <v>494</v>
      </c>
      <c r="C77" s="347" t="s">
        <v>704</v>
      </c>
      <c r="D77" s="569">
        <v>0</v>
      </c>
      <c r="E77" s="1145">
        <f>IF(E76=0,0,E73*E76)</f>
        <v>0</v>
      </c>
      <c r="F77" s="1145">
        <f>IF(F76=0,0,F73*F76)</f>
        <v>0</v>
      </c>
      <c r="G77" s="752">
        <f>IF(G76=0,0,G73*G76)</f>
        <v>0</v>
      </c>
      <c r="H77" s="1145">
        <f>IF(H76=0,0,H73*H76)</f>
        <v>0</v>
      </c>
      <c r="J77" s="378"/>
      <c r="K77" s="320"/>
      <c r="L77" s="320"/>
      <c r="M77" s="320"/>
      <c r="N77" s="320"/>
      <c r="O77" s="320"/>
      <c r="P77" s="320"/>
      <c r="Q77" s="320"/>
      <c r="R77" s="320"/>
      <c r="S77" s="320"/>
      <c r="T77" s="320"/>
      <c r="U77" s="464"/>
    </row>
    <row r="78" spans="2:21" ht="12" customHeight="1">
      <c r="B78" s="47"/>
      <c r="C78" s="71"/>
      <c r="D78" s="1447"/>
      <c r="E78" s="1444"/>
      <c r="F78" s="1444"/>
      <c r="G78" s="1444"/>
      <c r="H78" s="1444"/>
      <c r="J78" s="378"/>
      <c r="K78" s="320"/>
      <c r="L78" s="320"/>
      <c r="M78" s="320"/>
      <c r="N78" s="320"/>
      <c r="O78" s="320"/>
      <c r="P78" s="320"/>
      <c r="Q78" s="320"/>
      <c r="R78" s="320"/>
      <c r="S78" s="320"/>
      <c r="T78" s="320"/>
      <c r="U78" s="464"/>
    </row>
    <row r="79" spans="2:21" ht="12" customHeight="1">
      <c r="B79" s="51"/>
      <c r="C79" s="79"/>
      <c r="D79" s="1459" t="s">
        <v>166</v>
      </c>
      <c r="E79" s="641">
        <v>0.24</v>
      </c>
      <c r="F79" s="641">
        <f>E79</f>
        <v>0.24</v>
      </c>
      <c r="G79" s="641">
        <f>F79</f>
        <v>0.24</v>
      </c>
      <c r="H79" s="748">
        <f>G79</f>
        <v>0.24</v>
      </c>
      <c r="J79" s="378"/>
      <c r="K79" s="320"/>
      <c r="L79" s="320"/>
      <c r="M79" s="320"/>
      <c r="N79" s="320"/>
      <c r="O79" s="320"/>
      <c r="P79" s="320"/>
      <c r="Q79" s="320"/>
      <c r="R79" s="320"/>
      <c r="S79" s="320"/>
      <c r="T79" s="320"/>
      <c r="U79" s="464"/>
    </row>
    <row r="80" spans="2:21" ht="12" customHeight="1">
      <c r="B80" s="1463" t="s">
        <v>561</v>
      </c>
      <c r="C80" s="346" t="s">
        <v>704</v>
      </c>
      <c r="D80" s="569">
        <v>0</v>
      </c>
      <c r="E80" s="753">
        <f>E81*E82</f>
        <v>0</v>
      </c>
      <c r="F80" s="753">
        <f>F81*F82</f>
        <v>0</v>
      </c>
      <c r="G80" s="754">
        <f>G81*G82</f>
        <v>0</v>
      </c>
      <c r="H80" s="753">
        <f>H81*H82</f>
        <v>0</v>
      </c>
      <c r="J80" s="1485"/>
      <c r="K80" s="1486"/>
      <c r="L80" s="1486"/>
      <c r="M80" s="1486"/>
      <c r="N80" s="320"/>
      <c r="O80" s="320"/>
      <c r="P80" s="320"/>
      <c r="Q80" s="320"/>
      <c r="R80" s="320"/>
      <c r="S80" s="320"/>
      <c r="T80" s="320"/>
      <c r="U80" s="464"/>
    </row>
    <row r="81" spans="2:21" ht="12" customHeight="1">
      <c r="B81" s="1464" t="s">
        <v>75</v>
      </c>
      <c r="C81" s="1474">
        <v>0</v>
      </c>
      <c r="D81" s="569">
        <v>0</v>
      </c>
      <c r="E81" s="569">
        <f t="shared" ref="E81" si="35">D81+D81*J81</f>
        <v>0</v>
      </c>
      <c r="F81" s="569">
        <f t="shared" ref="E81:H82" si="36">E81+E81*K81</f>
        <v>0</v>
      </c>
      <c r="G81" s="751">
        <f t="shared" si="36"/>
        <v>0</v>
      </c>
      <c r="H81" s="569">
        <f t="shared" si="36"/>
        <v>0</v>
      </c>
      <c r="J81" s="382">
        <v>0</v>
      </c>
      <c r="K81" s="382">
        <f t="shared" ref="K81:M82" si="37">J81</f>
        <v>0</v>
      </c>
      <c r="L81" s="382">
        <f t="shared" si="37"/>
        <v>0</v>
      </c>
      <c r="M81" s="382">
        <f t="shared" si="37"/>
        <v>0</v>
      </c>
      <c r="N81" s="320"/>
      <c r="O81" s="320"/>
      <c r="P81" s="320"/>
      <c r="Q81" s="320"/>
      <c r="R81" s="320"/>
      <c r="S81" s="320"/>
      <c r="T81" s="320"/>
      <c r="U81" s="464"/>
    </row>
    <row r="82" spans="2:21" ht="12" customHeight="1">
      <c r="B82" s="1464" t="s">
        <v>76</v>
      </c>
      <c r="C82" s="1474">
        <v>0</v>
      </c>
      <c r="D82" s="745">
        <f>IF(D81=0,0,D80/D81)</f>
        <v>0</v>
      </c>
      <c r="E82" s="746">
        <f t="shared" si="36"/>
        <v>0</v>
      </c>
      <c r="F82" s="746">
        <f t="shared" si="36"/>
        <v>0</v>
      </c>
      <c r="G82" s="746">
        <f t="shared" si="36"/>
        <v>0</v>
      </c>
      <c r="H82" s="746">
        <f t="shared" si="36"/>
        <v>0</v>
      </c>
      <c r="J82" s="1675">
        <v>0.03</v>
      </c>
      <c r="K82" s="1675">
        <f t="shared" si="37"/>
        <v>0.03</v>
      </c>
      <c r="L82" s="1675">
        <f t="shared" si="37"/>
        <v>0.03</v>
      </c>
      <c r="M82" s="1675">
        <f t="shared" si="37"/>
        <v>0.03</v>
      </c>
      <c r="N82" s="378"/>
      <c r="O82" s="320"/>
      <c r="P82" s="320"/>
      <c r="Q82" s="320"/>
      <c r="R82" s="320"/>
      <c r="S82" s="320"/>
      <c r="T82" s="320"/>
      <c r="U82" s="464"/>
    </row>
    <row r="83" spans="2:21" ht="12" customHeight="1">
      <c r="B83" s="1464" t="s">
        <v>493</v>
      </c>
      <c r="C83" s="347"/>
      <c r="D83" s="747">
        <f>IF(D80=0,0,D84/D80)</f>
        <v>0</v>
      </c>
      <c r="E83" s="748">
        <f>D83</f>
        <v>0</v>
      </c>
      <c r="F83" s="748">
        <f>E83</f>
        <v>0</v>
      </c>
      <c r="G83" s="748">
        <f>F83</f>
        <v>0</v>
      </c>
      <c r="H83" s="748">
        <f>G83</f>
        <v>0</v>
      </c>
      <c r="J83" s="1339"/>
      <c r="K83" s="496"/>
      <c r="L83" s="496"/>
      <c r="M83" s="496"/>
      <c r="N83" s="320"/>
      <c r="O83" s="320"/>
      <c r="P83" s="320"/>
      <c r="Q83" s="320"/>
      <c r="R83" s="320"/>
      <c r="S83" s="320"/>
      <c r="T83" s="320"/>
      <c r="U83" s="464"/>
    </row>
    <row r="84" spans="2:21" ht="12" customHeight="1">
      <c r="B84" s="1464" t="s">
        <v>494</v>
      </c>
      <c r="C84" s="347" t="s">
        <v>704</v>
      </c>
      <c r="D84" s="569">
        <v>0</v>
      </c>
      <c r="E84" s="1673">
        <f>IF(E83=0,0,E80*E83)</f>
        <v>0</v>
      </c>
      <c r="F84" s="1673">
        <f>IF(F83=0,0,F80*F83)</f>
        <v>0</v>
      </c>
      <c r="G84" s="1674">
        <f>IF(G83=0,0,G80*G83)</f>
        <v>0</v>
      </c>
      <c r="H84" s="1673">
        <f>IF(H83=0,0,H80*H83)</f>
        <v>0</v>
      </c>
      <c r="J84" s="541"/>
      <c r="K84" s="465"/>
      <c r="L84" s="465"/>
      <c r="M84" s="465"/>
      <c r="N84" s="465"/>
      <c r="O84" s="465"/>
      <c r="P84" s="465"/>
      <c r="Q84" s="465"/>
      <c r="R84" s="465"/>
      <c r="S84" s="465"/>
      <c r="T84" s="465"/>
      <c r="U84" s="467"/>
    </row>
    <row r="85" spans="2:21" ht="4.2" customHeight="1"/>
    <row r="86" spans="2:21">
      <c r="B86" s="439" t="str">
        <f>IF(D20&lt;0,"VIRHE! MERKITSE AINEKÄYTTÖ + MERKKISENÄ!","")</f>
        <v/>
      </c>
      <c r="C86" s="398"/>
      <c r="D86" s="128"/>
      <c r="E86" s="128"/>
      <c r="F86" s="1953" t="str">
        <f>OHJE!I5</f>
        <v>Yritystulkin tarjoaa</v>
      </c>
      <c r="G86" s="1953"/>
      <c r="H86" s="1953"/>
    </row>
    <row r="87" spans="2:21">
      <c r="B87" s="397" t="str">
        <f>'5. E1 KUSTANNUKSET '!B127</f>
        <v>YT22 Toimivan yrityksen tulossuunnitelma</v>
      </c>
      <c r="D87" s="128"/>
      <c r="E87" s="1948" t="str">
        <f>OHJE!H7</f>
        <v>Invest Lapua</v>
      </c>
      <c r="F87" s="1949"/>
      <c r="G87" s="1949"/>
      <c r="H87" s="1949"/>
    </row>
    <row r="88" spans="2:21">
      <c r="B88" s="221"/>
    </row>
    <row r="89" spans="2:21">
      <c r="B89" s="396" t="s">
        <v>332</v>
      </c>
    </row>
    <row r="90" spans="2:21">
      <c r="B90" s="50" t="s">
        <v>333</v>
      </c>
    </row>
    <row r="91" spans="2:21">
      <c r="B91" s="50" t="s">
        <v>334</v>
      </c>
    </row>
  </sheetData>
  <sheetProtection algorithmName="SHA-512" hashValue="TLnDCrI6tntO82ftFCGD2jKnG8hEPaU+5Vr5HrNd9rYapeekhVH1EKQUisROphRwuVjxYHMX1t4qpnf1UnjtlA==" saltValue="75ylYAWznCrci5mWarw5Hg==" spinCount="100000" sheet="1" objects="1" scenarios="1"/>
  <mergeCells count="8">
    <mergeCell ref="E87:H87"/>
    <mergeCell ref="B7:C8"/>
    <mergeCell ref="J16:M16"/>
    <mergeCell ref="J5:K5"/>
    <mergeCell ref="B9:C9"/>
    <mergeCell ref="F86:H86"/>
    <mergeCell ref="E5:G5"/>
    <mergeCell ref="B5:D5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fitToWidth="0" orientation="portrait" verticalDpi="4" r:id="rId1"/>
  <headerFooter alignWithMargins="0"/>
  <colBreaks count="1" manualBreakCount="1">
    <brk id="8" min="1" max="7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ul51">
    <tabColor rgb="FF0152A1"/>
  </sheetPr>
  <dimension ref="A1:AD93"/>
  <sheetViews>
    <sheetView showGridLines="0" showZeros="0" defaultGridColor="0" colorId="55" zoomScaleNormal="100" workbookViewId="0">
      <selection activeCell="H35" sqref="H35"/>
    </sheetView>
  </sheetViews>
  <sheetFormatPr defaultRowHeight="12.45"/>
  <cols>
    <col min="1" max="1" width="10" customWidth="1"/>
    <col min="2" max="2" width="3.07421875" style="38" customWidth="1"/>
    <col min="3" max="3" width="23.3046875" customWidth="1"/>
    <col min="4" max="4" width="8" customWidth="1"/>
    <col min="5" max="5" width="3.07421875" customWidth="1"/>
    <col min="6" max="11" width="11.3046875" customWidth="1"/>
    <col min="12" max="12" width="1.53515625" customWidth="1"/>
    <col min="13" max="14" width="10.69140625" customWidth="1"/>
    <col min="15" max="15" width="16.3046875" customWidth="1"/>
    <col min="16" max="21" width="11.3046875" customWidth="1"/>
    <col min="22" max="22" width="3.84375" customWidth="1"/>
  </cols>
  <sheetData>
    <row r="1" spans="1:23">
      <c r="P1" s="388"/>
    </row>
    <row r="2" spans="1:23" ht="15.45">
      <c r="C2" s="89" t="s">
        <v>112</v>
      </c>
      <c r="G2" s="46"/>
      <c r="J2" s="58"/>
      <c r="K2" s="58"/>
      <c r="M2" s="89" t="s">
        <v>112</v>
      </c>
      <c r="N2" s="22"/>
      <c r="P2" s="389"/>
    </row>
    <row r="3" spans="1:23" ht="4.5" customHeight="1">
      <c r="B3" s="2014"/>
      <c r="C3" s="2014"/>
      <c r="G3" s="548">
        <f>'2. &amp; 7. T2 TULOSSUUN. '!G3</f>
        <v>0</v>
      </c>
      <c r="M3" s="415"/>
      <c r="N3" s="415"/>
      <c r="P3" s="389"/>
    </row>
    <row r="4" spans="1:23" ht="7.5" customHeight="1">
      <c r="B4" s="2014"/>
      <c r="C4" s="2014"/>
      <c r="H4" s="83">
        <v>0</v>
      </c>
      <c r="M4" s="1778"/>
      <c r="N4" s="1778"/>
      <c r="P4" s="390"/>
    </row>
    <row r="5" spans="1:23" s="43" customFormat="1" ht="10.199999999999999" customHeight="1">
      <c r="B5" s="46" t="s">
        <v>685</v>
      </c>
      <c r="C5" s="161"/>
      <c r="D5" s="161"/>
      <c r="E5" s="161"/>
      <c r="F5" s="161"/>
      <c r="G5" s="161"/>
      <c r="H5" s="2008"/>
      <c r="I5" s="2008"/>
      <c r="J5" s="2008"/>
      <c r="K5" s="2008"/>
      <c r="M5" s="46" t="s">
        <v>685</v>
      </c>
      <c r="N5" s="161"/>
      <c r="O5" s="161"/>
      <c r="P5" s="161"/>
      <c r="Q5" s="161"/>
      <c r="R5" s="2008"/>
      <c r="S5" s="2008"/>
      <c r="T5" s="2008"/>
      <c r="U5" s="2008"/>
    </row>
    <row r="6" spans="1:23" ht="15.75" customHeight="1">
      <c r="B6" s="1954">
        <f>'2. &amp; 7. T2 TULOSSUUN. '!B5:D5</f>
        <v>0</v>
      </c>
      <c r="C6" s="1954"/>
      <c r="D6" s="1954"/>
      <c r="E6" s="1954"/>
      <c r="F6" s="1954"/>
      <c r="G6" s="556"/>
      <c r="H6" s="2009"/>
      <c r="I6" s="2009"/>
      <c r="J6" s="2009"/>
      <c r="K6" s="2009"/>
      <c r="M6" s="1954">
        <f>B6</f>
        <v>0</v>
      </c>
      <c r="N6" s="1954"/>
      <c r="O6" s="1954"/>
      <c r="P6" s="1954"/>
      <c r="Q6" s="556"/>
      <c r="R6" s="2009"/>
      <c r="S6" s="2009"/>
      <c r="T6" s="2009"/>
      <c r="U6" s="2009"/>
    </row>
    <row r="7" spans="1:23" s="43" customFormat="1" ht="14.25" customHeight="1">
      <c r="B7" s="557" t="s">
        <v>520</v>
      </c>
      <c r="C7" s="558"/>
      <c r="D7" s="558"/>
      <c r="E7" s="558"/>
      <c r="F7" s="558"/>
      <c r="G7" s="558"/>
      <c r="H7" s="558"/>
      <c r="I7" s="558"/>
      <c r="J7" s="2010" t="s">
        <v>93</v>
      </c>
      <c r="K7" s="2010"/>
      <c r="M7" s="557" t="s">
        <v>520</v>
      </c>
      <c r="N7" s="558"/>
      <c r="O7" s="558"/>
      <c r="P7" s="558"/>
      <c r="Q7" s="558"/>
      <c r="R7" s="558"/>
      <c r="S7" s="558"/>
      <c r="T7" s="558" t="s">
        <v>93</v>
      </c>
      <c r="U7" s="558"/>
    </row>
    <row r="8" spans="1:23" ht="15" customHeight="1">
      <c r="B8" s="2021">
        <f>'1. T1 INVESTOINTISUUN.'!B9:D9</f>
        <v>0</v>
      </c>
      <c r="C8" s="2021"/>
      <c r="D8" s="2021"/>
      <c r="E8" s="2021"/>
      <c r="F8" s="2021"/>
      <c r="G8" s="556"/>
      <c r="H8" s="770"/>
      <c r="I8" s="770"/>
      <c r="J8" s="555">
        <f>'1. T1 INVESTOINTISUUN.'!E4</f>
        <v>0</v>
      </c>
      <c r="K8" s="771"/>
      <c r="M8" s="1954">
        <f>B8</f>
        <v>0</v>
      </c>
      <c r="N8" s="1954"/>
      <c r="O8" s="1954"/>
      <c r="P8" s="1954"/>
      <c r="Q8" s="556"/>
      <c r="R8" s="559">
        <f>H8</f>
        <v>0</v>
      </c>
      <c r="S8" s="559"/>
      <c r="T8" s="555">
        <f>'1. T1 INVESTOINTISUUN.'!E4</f>
        <v>0</v>
      </c>
      <c r="U8" s="559"/>
    </row>
    <row r="9" spans="1:23" ht="11.25" customHeight="1" thickBot="1">
      <c r="M9" s="489"/>
      <c r="N9" s="489"/>
      <c r="O9" s="489"/>
      <c r="P9" s="489"/>
      <c r="Q9" s="489"/>
      <c r="R9" s="489"/>
      <c r="S9" s="489"/>
      <c r="T9" s="489"/>
      <c r="U9" s="489"/>
    </row>
    <row r="10" spans="1:23" ht="12.75" customHeight="1">
      <c r="B10" s="1985" t="s">
        <v>420</v>
      </c>
      <c r="C10" s="1986"/>
      <c r="D10" s="1986"/>
      <c r="E10" s="1987"/>
      <c r="F10" s="1188" t="str">
        <f>'3. T3 TASE '!F10</f>
        <v>Tot. tilikausi</v>
      </c>
      <c r="G10" s="1188" t="str">
        <f>'6. E2 LIIKEVAIHTO '!D7</f>
        <v>Tot. tilikausi</v>
      </c>
      <c r="H10" s="1188" t="str">
        <f>'1. T1 INVESTOINTISUUN.'!D15</f>
        <v>Ennuste 1</v>
      </c>
      <c r="I10" s="1188" t="str">
        <f>'6. E2 LIIKEVAIHTO '!F7</f>
        <v>Ennuste 2</v>
      </c>
      <c r="J10" s="1188" t="str">
        <f>'6. E2 LIIKEVAIHTO '!G7</f>
        <v>Ennuste 3</v>
      </c>
      <c r="K10" s="1190" t="s">
        <v>257</v>
      </c>
      <c r="M10" s="1979" t="s">
        <v>287</v>
      </c>
      <c r="N10" s="1980"/>
      <c r="O10" s="1981"/>
      <c r="P10" s="1188" t="str">
        <f t="shared" ref="P10:T11" si="0">F10</f>
        <v>Tot. tilikausi</v>
      </c>
      <c r="Q10" s="1188" t="str">
        <f t="shared" si="0"/>
        <v>Tot. tilikausi</v>
      </c>
      <c r="R10" s="1188" t="str">
        <f t="shared" si="0"/>
        <v>Ennuste 1</v>
      </c>
      <c r="S10" s="1188" t="str">
        <f t="shared" si="0"/>
        <v>Ennuste 2</v>
      </c>
      <c r="T10" s="1188" t="str">
        <f t="shared" si="0"/>
        <v>Ennuste 3</v>
      </c>
      <c r="U10" s="1190" t="s">
        <v>257</v>
      </c>
    </row>
    <row r="11" spans="1:23" ht="12.75" customHeight="1" thickBot="1">
      <c r="B11" s="1988"/>
      <c r="C11" s="1989"/>
      <c r="D11" s="1989"/>
      <c r="E11" s="1990"/>
      <c r="F11" s="1192">
        <f>'3. T3 TASE '!F11</f>
        <v>2023</v>
      </c>
      <c r="G11" s="1239">
        <f>'6. E2 LIIKEVAIHTO '!D8</f>
        <v>2024</v>
      </c>
      <c r="H11" s="1239">
        <f>'6. E2 LIIKEVAIHTO '!E8</f>
        <v>2025</v>
      </c>
      <c r="I11" s="1239">
        <f>'6. E2 LIIKEVAIHTO '!F8</f>
        <v>2026</v>
      </c>
      <c r="J11" s="1239">
        <f>'6. E2 LIIKEVAIHTO '!G8</f>
        <v>2027</v>
      </c>
      <c r="K11" s="1240">
        <f>'2. &amp; 7. T2 TULOSSUUN. '!O8</f>
        <v>2028</v>
      </c>
      <c r="M11" s="1982"/>
      <c r="N11" s="1983"/>
      <c r="O11" s="1984"/>
      <c r="P11" s="1241">
        <f t="shared" si="0"/>
        <v>2023</v>
      </c>
      <c r="Q11" s="1241">
        <f t="shared" si="0"/>
        <v>2024</v>
      </c>
      <c r="R11" s="1241">
        <f t="shared" si="0"/>
        <v>2025</v>
      </c>
      <c r="S11" s="1241">
        <f t="shared" si="0"/>
        <v>2026</v>
      </c>
      <c r="T11" s="1241">
        <f t="shared" si="0"/>
        <v>2027</v>
      </c>
      <c r="U11" s="1242">
        <f>K11</f>
        <v>2028</v>
      </c>
      <c r="W11" s="1069"/>
    </row>
    <row r="12" spans="1:23" ht="12.75" customHeight="1" thickBot="1">
      <c r="A12" s="51"/>
      <c r="B12" s="1991"/>
      <c r="C12" s="1992"/>
      <c r="D12" s="1992"/>
      <c r="E12" s="1993"/>
      <c r="F12" s="1243" t="s">
        <v>17</v>
      </c>
      <c r="G12" s="1243" t="s">
        <v>17</v>
      </c>
      <c r="H12" s="1243" t="str">
        <f>G12</f>
        <v>Euroa</v>
      </c>
      <c r="I12" s="1243" t="str">
        <f>H12</f>
        <v>Euroa</v>
      </c>
      <c r="J12" s="1243" t="str">
        <f>I12</f>
        <v>Euroa</v>
      </c>
      <c r="K12" s="1244" t="str">
        <f>J12</f>
        <v>Euroa</v>
      </c>
      <c r="M12" s="277" t="s">
        <v>538</v>
      </c>
      <c r="N12" s="157"/>
      <c r="O12" s="157"/>
      <c r="P12" s="274"/>
      <c r="Q12" s="274"/>
      <c r="R12" s="274"/>
      <c r="S12" s="274"/>
      <c r="T12" s="274"/>
      <c r="U12" s="275"/>
    </row>
    <row r="13" spans="1:23" ht="12.75" customHeight="1">
      <c r="B13" s="2015" t="s">
        <v>346</v>
      </c>
      <c r="C13" s="2016"/>
      <c r="D13" s="2016"/>
      <c r="E13" s="2017"/>
      <c r="F13" s="724"/>
      <c r="G13" s="724"/>
      <c r="H13" s="724" t="s">
        <v>111</v>
      </c>
      <c r="I13" s="724"/>
      <c r="J13" s="724"/>
      <c r="K13" s="725"/>
      <c r="M13" s="501" t="s">
        <v>288</v>
      </c>
      <c r="N13" s="502"/>
      <c r="O13" s="502"/>
      <c r="P13" s="643">
        <f>'2. &amp; 7. T2 TULOSSUUN. '!E11</f>
        <v>0</v>
      </c>
      <c r="Q13" s="643">
        <f>'2. &amp; 7. T2 TULOSSUUN. '!G11</f>
        <v>0</v>
      </c>
      <c r="R13" s="643">
        <f>'2. &amp; 7. T2 TULOSSUUN. '!I11</f>
        <v>0</v>
      </c>
      <c r="S13" s="643">
        <f>'2. &amp; 7. T2 TULOSSUUN. '!K11</f>
        <v>0</v>
      </c>
      <c r="T13" s="643">
        <f>'2. &amp; 7. T2 TULOSSUUN. '!M11</f>
        <v>0</v>
      </c>
      <c r="U13" s="644">
        <f>'2. &amp; 7. T2 TULOSSUUN. '!O11</f>
        <v>0</v>
      </c>
    </row>
    <row r="14" spans="1:23" ht="12.75" customHeight="1">
      <c r="A14" s="51"/>
      <c r="B14" s="2018"/>
      <c r="C14" s="2019"/>
      <c r="D14" s="2019"/>
      <c r="E14" s="2020"/>
      <c r="F14" s="726"/>
      <c r="G14" s="726"/>
      <c r="H14" s="726"/>
      <c r="I14" s="726"/>
      <c r="J14" s="726"/>
      <c r="K14" s="727"/>
      <c r="M14" s="503" t="s">
        <v>289</v>
      </c>
      <c r="N14" s="504"/>
      <c r="O14" s="504"/>
      <c r="P14" s="643">
        <f>IF('2. &amp; 7. T2 TULOSSUUN. '!E33=0,0,P13/'2. &amp; 7. T2 TULOSSUUN. '!E33)</f>
        <v>0</v>
      </c>
      <c r="Q14" s="643">
        <f>IF('2. &amp; 7. T2 TULOSSUUN. '!G33=0,0,Q13/'2. &amp; 7. T2 TULOSSUUN. '!G33)</f>
        <v>0</v>
      </c>
      <c r="R14" s="643">
        <f>IF('2. &amp; 7. T2 TULOSSUUN. '!I33=0,0,R13/'2. &amp; 7. T2 TULOSSUUN. '!I33)</f>
        <v>0</v>
      </c>
      <c r="S14" s="643">
        <f>IF('2. &amp; 7. T2 TULOSSUUN. '!K33=0,0,S13/'2. &amp; 7. T2 TULOSSUUN. '!K33)</f>
        <v>0</v>
      </c>
      <c r="T14" s="643">
        <f>IF('2. &amp; 7. T2 TULOSSUUN. '!M33=0,0,T13/'2. &amp; 7. T2 TULOSSUUN. '!M33)</f>
        <v>0</v>
      </c>
      <c r="U14" s="644">
        <f>IF('2. &amp; 7. T2 TULOSSUUN. '!O33=0,0,U13/'2. &amp; 7. T2 TULOSSUUN. '!O33)</f>
        <v>0</v>
      </c>
    </row>
    <row r="15" spans="1:23" ht="12.75" customHeight="1">
      <c r="B15" s="196">
        <v>1</v>
      </c>
      <c r="C15" s="1847" t="s">
        <v>113</v>
      </c>
      <c r="D15" s="1847"/>
      <c r="E15" s="444" t="s">
        <v>89</v>
      </c>
      <c r="F15" s="416">
        <f>'2. &amp; 7. T2 TULOSSUUN. '!E26+'2. &amp; 7. T2 TULOSSUUN. '!E27-'2. &amp; 7. T2 TULOSSUUN. '!E21</f>
        <v>0</v>
      </c>
      <c r="G15" s="416">
        <f>'2. &amp; 7. T2 TULOSSUUN. '!G26+'2. &amp; 7. T2 TULOSSUUN. '!G27-'2. &amp; 7. T2 TULOSSUUN. '!G21</f>
        <v>0</v>
      </c>
      <c r="H15" s="728">
        <f>'2. &amp; 7. T2 TULOSSUUN. '!I26+'2. &amp; 7. T2 TULOSSUUN. '!I27-'2. &amp; 7. T2 TULOSSUUN. '!I21</f>
        <v>0</v>
      </c>
      <c r="I15" s="728">
        <f>'2. &amp; 7. T2 TULOSSUUN. '!K26+'2. &amp; 7. T2 TULOSSUUN. '!K27-'2. &amp; 7. T2 TULOSSUUN. '!K21</f>
        <v>0</v>
      </c>
      <c r="J15" s="728">
        <f>'2. &amp; 7. T2 TULOSSUUN. '!M26+'2. &amp; 7. T2 TULOSSUUN. '!M27-'2. &amp; 7. T2 TULOSSUUN. '!M21</f>
        <v>0</v>
      </c>
      <c r="K15" s="644">
        <f>'2. &amp; 7. T2 TULOSSUUN. '!O26+'2. &amp; 7. T2 TULOSSUUN. '!O27-'2. &amp; 7. T2 TULOSSUUN. '!O21</f>
        <v>0</v>
      </c>
      <c r="M15" s="503" t="s">
        <v>741</v>
      </c>
      <c r="N15" s="504"/>
      <c r="O15" s="504"/>
      <c r="P15" s="356">
        <f>'2. &amp; 7. T2 TULOSSUUN. '!E33</f>
        <v>1</v>
      </c>
      <c r="Q15" s="356">
        <f>'2. &amp; 7. T2 TULOSSUUN. '!G33</f>
        <v>1</v>
      </c>
      <c r="R15" s="356">
        <f>'2. &amp; 7. T2 TULOSSUUN. '!I33</f>
        <v>1</v>
      </c>
      <c r="S15" s="356">
        <f>'2. &amp; 7. T2 TULOSSUUN. '!K33</f>
        <v>1</v>
      </c>
      <c r="T15" s="356">
        <f>'2. &amp; 7. T2 TULOSSUUN. '!M33</f>
        <v>1</v>
      </c>
      <c r="U15" s="357">
        <f>'2. &amp; 7. T2 TULOSSUUN. '!O33</f>
        <v>1</v>
      </c>
    </row>
    <row r="16" spans="1:23" ht="12.75" customHeight="1">
      <c r="A16" s="51"/>
      <c r="B16" s="196">
        <v>2</v>
      </c>
      <c r="C16" s="1832" t="s">
        <v>114</v>
      </c>
      <c r="D16" s="1832"/>
      <c r="E16" s="228" t="s">
        <v>89</v>
      </c>
      <c r="F16" s="723">
        <v>0</v>
      </c>
      <c r="G16" s="723">
        <v>0</v>
      </c>
      <c r="H16" s="643">
        <f>'1. T1 INVESTOINTISUUN.'!D48+'1. T1 INVESTOINTISUUN.'!D49</f>
        <v>0</v>
      </c>
      <c r="I16" s="643">
        <f>'1. T1 INVESTOINTISUUN.'!E48+'1. T1 INVESTOINTISUUN.'!E49</f>
        <v>0</v>
      </c>
      <c r="J16" s="643">
        <f>'1. T1 INVESTOINTISUUN.'!F48+'1. T1 INVESTOINTISUUN.'!F49</f>
        <v>0</v>
      </c>
      <c r="K16" s="644">
        <f>'1. T1 INVESTOINTISUUN.'!G48+'1. T1 INVESTOINTISUUN.'!G49</f>
        <v>0</v>
      </c>
      <c r="M16" s="1955" t="s">
        <v>292</v>
      </c>
      <c r="N16" s="1956"/>
      <c r="O16" s="1957"/>
      <c r="P16" s="643">
        <f>P82</f>
        <v>0</v>
      </c>
      <c r="Q16" s="643">
        <f t="shared" ref="Q16:U16" si="1">Q82</f>
        <v>0</v>
      </c>
      <c r="R16" s="643">
        <f t="shared" si="1"/>
        <v>0</v>
      </c>
      <c r="S16" s="643">
        <f t="shared" si="1"/>
        <v>0</v>
      </c>
      <c r="T16" s="643">
        <f t="shared" si="1"/>
        <v>0</v>
      </c>
      <c r="U16" s="644">
        <f t="shared" si="1"/>
        <v>0</v>
      </c>
    </row>
    <row r="17" spans="1:21" ht="12.75" customHeight="1">
      <c r="A17" s="2"/>
      <c r="B17" s="196">
        <v>3</v>
      </c>
      <c r="C17" s="1832" t="s">
        <v>465</v>
      </c>
      <c r="D17" s="1832"/>
      <c r="E17" s="228" t="s">
        <v>89</v>
      </c>
      <c r="F17" s="723">
        <v>0</v>
      </c>
      <c r="G17" s="723">
        <v>0</v>
      </c>
      <c r="H17" s="643">
        <f>'4. T7 LAINAT '!F39+IF('3. T3 TASE '!H74-'3. T3 TASE '!G74&gt;0,'3. T3 TASE '!H74-'3. T3 TASE '!G74,0)+IF('3. T3 TASE '!H72-'3. T3 TASE '!G72&gt;0,'3. T3 TASE '!H72-'3. T3 TASE '!G72,0)</f>
        <v>0</v>
      </c>
      <c r="I17" s="643">
        <f>'4. T7 LAINAT '!I39+IF('3. T3 TASE '!I74-'3. T3 TASE '!H74&gt;0,'3. T3 TASE '!I74-'3. T3 TASE '!H74,0)+IF('3. T3 TASE '!I72-'3. T3 TASE '!H72&gt;0,'3. T3 TASE '!I72-'3. T3 TASE '!H72,0)</f>
        <v>0</v>
      </c>
      <c r="J17" s="643">
        <f>'4. T7 LAINAT '!L39+IF('3. T3 TASE '!J74-'3. T3 TASE '!I74&gt;0,'3. T3 TASE '!J74-'3. T3 TASE '!I74,0)+IF('3. T3 TASE '!J72-'3. T3 TASE '!I72&gt;0,'3. T3 TASE '!J72-'3. T3 TASE '!I72,0)</f>
        <v>0</v>
      </c>
      <c r="K17" s="644">
        <f>'4. T7 LAINAT '!O39+IF('3. T3 TASE '!K74-'3. T3 TASE '!J74&gt;0,'3. T3 TASE '!K74-'3. T3 TASE '!J74,0)+IF('3. T3 TASE '!K72-'3. T3 TASE '!J72&gt;0,'3. T3 TASE '!K72-'3. T3 TASE '!J72,0)</f>
        <v>0</v>
      </c>
      <c r="M17" s="166" t="s">
        <v>539</v>
      </c>
      <c r="N17" s="140"/>
      <c r="O17" s="140"/>
      <c r="P17" s="138"/>
      <c r="Q17" s="138"/>
      <c r="R17" s="138"/>
      <c r="S17" s="138"/>
      <c r="T17" s="142"/>
      <c r="U17" s="645"/>
    </row>
    <row r="18" spans="1:21" ht="12.75" customHeight="1">
      <c r="A18" s="51"/>
      <c r="B18" s="196">
        <v>4</v>
      </c>
      <c r="C18" s="1832" t="s">
        <v>235</v>
      </c>
      <c r="D18" s="1832"/>
      <c r="E18" s="228" t="s">
        <v>89</v>
      </c>
      <c r="F18" s="723">
        <v>0</v>
      </c>
      <c r="G18" s="723">
        <v>0</v>
      </c>
      <c r="H18" s="643">
        <f>'4. T7 LAINAT '!F41</f>
        <v>0</v>
      </c>
      <c r="I18" s="643">
        <f>'4. T7 LAINAT '!I42</f>
        <v>0</v>
      </c>
      <c r="J18" s="643">
        <f>'4. T7 LAINAT '!L43</f>
        <v>0</v>
      </c>
      <c r="K18" s="644">
        <f>'4. T7 LAINAT '!O45</f>
        <v>0</v>
      </c>
      <c r="M18" s="501" t="s">
        <v>562</v>
      </c>
      <c r="N18" s="502"/>
      <c r="O18" s="502"/>
      <c r="P18" s="643">
        <f>'2. &amp; 7. T2 TULOSSUUN. '!E20</f>
        <v>0</v>
      </c>
      <c r="Q18" s="643">
        <f>'2. &amp; 7. T2 TULOSSUUN. '!G20</f>
        <v>0</v>
      </c>
      <c r="R18" s="643">
        <f>'2. &amp; 7. T2 TULOSSUUN. '!I20</f>
        <v>0</v>
      </c>
      <c r="S18" s="643">
        <f>'2. &amp; 7. T2 TULOSSUUN. '!K20</f>
        <v>0</v>
      </c>
      <c r="T18" s="643">
        <f>'2. &amp; 7. T2 TULOSSUUN. '!M20</f>
        <v>0</v>
      </c>
      <c r="U18" s="644">
        <f>'2. &amp; 7. T2 TULOSSUUN. '!O20</f>
        <v>0</v>
      </c>
    </row>
    <row r="19" spans="1:21" ht="12.75" customHeight="1">
      <c r="B19" s="196">
        <v>5</v>
      </c>
      <c r="C19" s="1832" t="s">
        <v>133</v>
      </c>
      <c r="D19" s="1832"/>
      <c r="E19" s="228" t="s">
        <v>89</v>
      </c>
      <c r="F19" s="723">
        <v>0</v>
      </c>
      <c r="G19" s="723">
        <v>0</v>
      </c>
      <c r="H19" s="643">
        <f>IF('3. T3 TASE '!H78-'3. T3 TASE '!G78&gt;0,'3. T3 TASE '!H78-'3. T3 TASE '!G78,0)+IF('3. T3 TASE '!H79-'3. T3 TASE '!G79&gt;0,'3. T3 TASE '!H79-'3. T3 TASE '!G79,0)</f>
        <v>0</v>
      </c>
      <c r="I19" s="643">
        <f>IF('3. T3 TASE '!I78-'3. T3 TASE '!H78&gt;0,'3. T3 TASE '!I78-'3. T3 TASE '!H78,0)+IF('3. T3 TASE '!I79-'3. T3 TASE '!H79&gt;0,'3. T3 TASE '!I79-'3. T3 TASE '!H79,0)</f>
        <v>0</v>
      </c>
      <c r="J19" s="643">
        <f>IF('3. T3 TASE '!J78-'3. T3 TASE '!I78&gt;0,'3. T3 TASE '!J78-'3. T3 TASE '!I78,0)+IF('3. T3 TASE '!J79-'3. T3 TASE '!I79&gt;0,'3. T3 TASE '!J79-'3. T3 TASE '!I79,0)</f>
        <v>0</v>
      </c>
      <c r="K19" s="644">
        <f>IF('3. T3 TASE '!K78-'3. T3 TASE '!J78&gt;0,'3. T3 TASE '!K78-'3. T3 TASE '!J78,0)+IF('3. T3 TASE '!K79-'3. T3 TASE '!J79&gt;0,'3. T3 TASE '!K79-'3. T3 TASE '!J79,0)</f>
        <v>0</v>
      </c>
      <c r="M19" s="1955" t="s">
        <v>293</v>
      </c>
      <c r="N19" s="1956"/>
      <c r="O19" s="1957"/>
      <c r="P19" s="646">
        <f>'2. &amp; 7. T2 TULOSSUUN. '!F20/100</f>
        <v>0</v>
      </c>
      <c r="Q19" s="646">
        <f>'2. &amp; 7. T2 TULOSSUUN. '!H20/100</f>
        <v>0</v>
      </c>
      <c r="R19" s="646">
        <f>'2. &amp; 7. T2 TULOSSUUN. '!J20/100</f>
        <v>0</v>
      </c>
      <c r="S19" s="646">
        <f>'2. &amp; 7. T2 TULOSSUUN. '!L20/100</f>
        <v>0</v>
      </c>
      <c r="T19" s="646">
        <f>'2. &amp; 7. T2 TULOSSUUN. '!N20/100</f>
        <v>0</v>
      </c>
      <c r="U19" s="647">
        <f>'2. &amp; 7. T2 TULOSSUUN. '!P20/100</f>
        <v>0</v>
      </c>
    </row>
    <row r="20" spans="1:21" ht="25.95" customHeight="1">
      <c r="B20" s="196">
        <v>6</v>
      </c>
      <c r="C20" s="2012" t="s">
        <v>750</v>
      </c>
      <c r="D20" s="2012"/>
      <c r="E20" s="2012"/>
      <c r="F20" s="2012"/>
      <c r="G20" s="2013"/>
      <c r="H20" s="643">
        <f>'AT1 Avustus, alv-laskenta '!C49+'1. T1 INVESTOINTISUUN.'!D51+'3. T3 TASE '!H36+'3. T3 TASE '!H16+'3. T3 TASE '!H21+'3. T3 TASE '!H24+'3. T3 TASE '!H28+'3. T3 TASE '!H32+'3. T3 TASE '!H70</f>
        <v>0</v>
      </c>
      <c r="I20" s="643">
        <f>'AT1 Avustus, alv-laskenta '!D49+'1. T1 INVESTOINTISUUN.'!E51+'3. T3 TASE '!I36+'3. T3 TASE '!I16+'3. T3 TASE '!I21+'3. T3 TASE '!I24+'3. T3 TASE '!I28+'3. T3 TASE '!I32+'3. T3 TASE '!I70</f>
        <v>0</v>
      </c>
      <c r="J20" s="643">
        <f>'AT1 Avustus, alv-laskenta '!E49+'1. T1 INVESTOINTISUUN.'!F51+'3. T3 TASE '!J36+'3. T3 TASE '!J16+'3. T3 TASE '!J21+'3. T3 TASE '!J24+'3. T3 TASE '!J28+'3. T3 TASE '!J32+'3. T3 TASE '!J70</f>
        <v>0</v>
      </c>
      <c r="K20" s="644">
        <f>'AT1 Avustus, alv-laskenta '!F49+'1. T1 INVESTOINTISUUN.'!G51+'3. T3 TASE '!K36+'3. T3 TASE '!K16+'3. T3 TASE '!K21+'3. T3 TASE '!K24+'3. T3 TASE '!K28+'3. T3 TASE '!K32+'3. T3 TASE '!K70</f>
        <v>0</v>
      </c>
      <c r="M20" s="509" t="s">
        <v>558</v>
      </c>
      <c r="P20" s="772">
        <f>'2. &amp; 7. T2 TULOSSUUN. '!E22</f>
        <v>0</v>
      </c>
      <c r="Q20" s="772">
        <f>'2. &amp; 7. T2 TULOSSUUN. '!G22</f>
        <v>0</v>
      </c>
      <c r="R20" s="772">
        <f>'2. &amp; 7. T2 TULOSSUUN. '!I22</f>
        <v>0</v>
      </c>
      <c r="S20" s="772">
        <f>'2. &amp; 7. T2 TULOSSUUN. '!K22</f>
        <v>0</v>
      </c>
      <c r="T20" s="772">
        <f>'2. &amp; 7. T2 TULOSSUUN. '!M22</f>
        <v>0</v>
      </c>
      <c r="U20" s="773">
        <f>'2. &amp; 7. T2 TULOSSUUN. '!O22</f>
        <v>0</v>
      </c>
    </row>
    <row r="21" spans="1:21" ht="13.5" customHeight="1" thickBot="1">
      <c r="B21" s="336">
        <v>7</v>
      </c>
      <c r="C21" s="490" t="s">
        <v>18</v>
      </c>
      <c r="D21" s="355"/>
      <c r="E21" s="508"/>
      <c r="F21" s="729">
        <v>0</v>
      </c>
      <c r="G21" s="729">
        <v>0</v>
      </c>
      <c r="H21" s="730">
        <f t="shared" ref="H21:K21" si="2">SUM(H15:H20)</f>
        <v>0</v>
      </c>
      <c r="I21" s="730">
        <f t="shared" si="2"/>
        <v>0</v>
      </c>
      <c r="J21" s="730">
        <f t="shared" si="2"/>
        <v>0</v>
      </c>
      <c r="K21" s="731">
        <f t="shared" si="2"/>
        <v>0</v>
      </c>
      <c r="M21" s="1955" t="s">
        <v>557</v>
      </c>
      <c r="N21" s="1956"/>
      <c r="O21" s="1957"/>
      <c r="P21" s="648">
        <f>'2. &amp; 7. T2 TULOSSUUN. '!F22/100</f>
        <v>0</v>
      </c>
      <c r="Q21" s="648">
        <f>'2. &amp; 7. T2 TULOSSUUN. '!H22/100</f>
        <v>0</v>
      </c>
      <c r="R21" s="648">
        <f>'2. &amp; 7. T2 TULOSSUUN. '!J22/100</f>
        <v>0</v>
      </c>
      <c r="S21" s="648">
        <f>'2. &amp; 7. T2 TULOSSUUN. '!L22/100</f>
        <v>0</v>
      </c>
      <c r="T21" s="648">
        <f>'2. &amp; 7. T2 TULOSSUUN. '!N22/100</f>
        <v>0</v>
      </c>
      <c r="U21" s="649">
        <f>'2. &amp; 7. T2 TULOSSUUN. '!P22/100</f>
        <v>0</v>
      </c>
    </row>
    <row r="22" spans="1:21" ht="13.5" customHeight="1" thickBot="1">
      <c r="B22" s="281"/>
      <c r="C22" s="282"/>
      <c r="D22" s="283"/>
      <c r="E22" s="283"/>
      <c r="F22" s="281"/>
      <c r="G22" s="732"/>
      <c r="H22" s="733"/>
      <c r="I22" s="733"/>
      <c r="J22" s="733"/>
      <c r="K22" s="734"/>
      <c r="M22" s="1964" t="s">
        <v>666</v>
      </c>
      <c r="N22" s="1965"/>
      <c r="O22" s="1966"/>
      <c r="P22" s="652">
        <f>IF('2. &amp; 7. T2 TULOSSUUN. '!E14=0,0,IF(P21&gt;10%,"Hyvä",IF(P21&lt;5%,"Heikko","Tyydyttävä")))</f>
        <v>0</v>
      </c>
      <c r="Q22" s="652">
        <f>IF(Q21=0,0,IF(Q21&gt;10%,"Hyvä",IF(Q21&lt;5%,"Heikko","Tyydyttävä")))</f>
        <v>0</v>
      </c>
      <c r="R22" s="652">
        <f t="shared" ref="R22:U22" si="3">IF(R21=0,0,IF(R21&gt;10%,"Hyvä",IF(R21&lt;5%,"Heikko","Tyydyttävä")))</f>
        <v>0</v>
      </c>
      <c r="S22" s="652">
        <f t="shared" si="3"/>
        <v>0</v>
      </c>
      <c r="T22" s="652">
        <f t="shared" si="3"/>
        <v>0</v>
      </c>
      <c r="U22" s="1034">
        <f t="shared" si="3"/>
        <v>0</v>
      </c>
    </row>
    <row r="23" spans="1:21" ht="12.75" customHeight="1">
      <c r="B23" s="685" t="s">
        <v>345</v>
      </c>
      <c r="C23" s="452"/>
      <c r="D23" s="451"/>
      <c r="E23" s="158"/>
      <c r="F23" s="735"/>
      <c r="G23" s="735"/>
      <c r="H23" s="736"/>
      <c r="I23" s="736"/>
      <c r="J23" s="736"/>
      <c r="K23" s="737"/>
      <c r="M23" s="1686" t="s">
        <v>294</v>
      </c>
      <c r="N23" s="1687"/>
      <c r="O23" s="1687"/>
      <c r="P23" s="643">
        <f>'2. &amp; 7. T2 TULOSSUUN. '!E31</f>
        <v>0</v>
      </c>
      <c r="Q23" s="643">
        <f>'2. &amp; 7. T2 TULOSSUUN. '!G31</f>
        <v>0</v>
      </c>
      <c r="R23" s="643">
        <f>'2. &amp; 7. T2 TULOSSUUN. '!I31</f>
        <v>0</v>
      </c>
      <c r="S23" s="643">
        <f>'2. &amp; 7. T2 TULOSSUUN. '!K31</f>
        <v>0</v>
      </c>
      <c r="T23" s="643">
        <f>'2. &amp; 7. T2 TULOSSUUN. '!M31</f>
        <v>0</v>
      </c>
      <c r="U23" s="644">
        <f>'2. &amp; 7. T2 TULOSSUUN. '!O31</f>
        <v>0</v>
      </c>
    </row>
    <row r="24" spans="1:21" ht="12.75" customHeight="1">
      <c r="B24" s="196">
        <v>8</v>
      </c>
      <c r="C24" s="1847" t="s">
        <v>138</v>
      </c>
      <c r="D24" s="1847"/>
      <c r="E24" s="359" t="s">
        <v>89</v>
      </c>
      <c r="F24" s="416"/>
      <c r="G24" s="416"/>
      <c r="H24" s="728">
        <f>'AT1 Avustus, alv-laskenta '!C4</f>
        <v>0</v>
      </c>
      <c r="I24" s="728">
        <f>'AT1 Avustus, alv-laskenta '!D4</f>
        <v>0</v>
      </c>
      <c r="J24" s="728">
        <f>'AT1 Avustus, alv-laskenta '!E4</f>
        <v>0</v>
      </c>
      <c r="K24" s="1479">
        <f>'AT1 Avustus, alv-laskenta '!F4</f>
        <v>0</v>
      </c>
      <c r="M24" s="1686" t="s">
        <v>295</v>
      </c>
      <c r="N24" s="1687"/>
      <c r="O24" s="1687"/>
      <c r="P24" s="648">
        <f>'2. &amp; 7. T2 TULOSSUUN. '!F31/100</f>
        <v>0</v>
      </c>
      <c r="Q24" s="648">
        <f>'2. &amp; 7. T2 TULOSSUUN. '!H31/100</f>
        <v>0</v>
      </c>
      <c r="R24" s="648">
        <f>'2. &amp; 7. T2 TULOSSUUN. '!J31/100</f>
        <v>0</v>
      </c>
      <c r="S24" s="648">
        <f>'2. &amp; 7. T2 TULOSSUUN. '!L31/100</f>
        <v>0</v>
      </c>
      <c r="T24" s="648">
        <f>'2. &amp; 7. T2 TULOSSUUN. '!N31/100</f>
        <v>0</v>
      </c>
      <c r="U24" s="649">
        <f>'2. &amp; 7. T2 TULOSSUUN. '!P31/100</f>
        <v>0</v>
      </c>
    </row>
    <row r="25" spans="1:21" ht="12.75" customHeight="1">
      <c r="B25" s="196">
        <f>B24+1</f>
        <v>9</v>
      </c>
      <c r="C25" s="1832" t="s">
        <v>139</v>
      </c>
      <c r="D25" s="1832"/>
      <c r="E25" s="228" t="s">
        <v>89</v>
      </c>
      <c r="F25" s="988"/>
      <c r="G25" s="988"/>
      <c r="H25" s="643">
        <f>'AT1 Avustus, alv-laskenta '!C10+'AT1 Avustus, alv-laskenta '!C15</f>
        <v>0</v>
      </c>
      <c r="I25" s="643">
        <f>'AT1 Avustus, alv-laskenta '!D10+'AT1 Avustus, alv-laskenta '!D15</f>
        <v>0</v>
      </c>
      <c r="J25" s="643">
        <f>'AT1 Avustus, alv-laskenta '!E10+'AT1 Avustus, alv-laskenta '!E15</f>
        <v>0</v>
      </c>
      <c r="K25" s="644">
        <f>'AT1 Avustus, alv-laskenta '!F10+'AT1 Avustus, alv-laskenta '!F15</f>
        <v>0</v>
      </c>
      <c r="M25" s="1958" t="s">
        <v>559</v>
      </c>
      <c r="N25" s="1959"/>
      <c r="O25" s="1960"/>
      <c r="P25" s="648">
        <f>IF(P16=0,0,(P23-'2. &amp; 7. T2 TULOSSUUN. '!E27-'2. &amp; 7. T2 TULOSSUUN. '!E25)/'8. T4 RAHOITUSSUUN. '!P16)</f>
        <v>0</v>
      </c>
      <c r="Q25" s="648">
        <f>IF(Q16=0,0,(Q23-'2. &amp; 7. T2 TULOSSUUN. '!G27-'2. &amp; 7. T2 TULOSSUUN. '!G25)/'8. T4 RAHOITUSSUUN. '!Q16)</f>
        <v>0</v>
      </c>
      <c r="R25" s="648">
        <f>IF(R16=0,0,(R23-'2. &amp; 7. T2 TULOSSUUN. '!I27-'2. &amp; 7. T2 TULOSSUUN. '!I25)/'8. T4 RAHOITUSSUUN. '!R16)</f>
        <v>0</v>
      </c>
      <c r="S25" s="648">
        <f>IF(S16=0,0,(S23-'2. &amp; 7. T2 TULOSSUUN. '!K27-'2. &amp; 7. T2 TULOSSUUN. '!K25)/'8. T4 RAHOITUSSUUN. '!S16)</f>
        <v>0</v>
      </c>
      <c r="T25" s="648">
        <f>IF(T16=0,0,(T23-'2. &amp; 7. T2 TULOSSUUN. '!M27-'2. &amp; 7. T2 TULOSSUUN. '!M25)/'8. T4 RAHOITUSSUUN. '!T16)</f>
        <v>0</v>
      </c>
      <c r="U25" s="649">
        <f>IF(U16=0,0,(U23-'2. &amp; 7. T2 TULOSSUUN. '!O27-'2. &amp; 7. T2 TULOSSUUN. '!O25)/'8. T4 RAHOITUSSUUN. '!U16)</f>
        <v>0</v>
      </c>
    </row>
    <row r="26" spans="1:21" ht="12.75" customHeight="1">
      <c r="B26" s="196">
        <f t="shared" ref="B26:B43" si="4">B25+1</f>
        <v>10</v>
      </c>
      <c r="C26" s="1832" t="s">
        <v>115</v>
      </c>
      <c r="D26" s="1832"/>
      <c r="E26" s="228" t="s">
        <v>89</v>
      </c>
      <c r="F26" s="988"/>
      <c r="G26" s="988"/>
      <c r="H26" s="643">
        <f>'AT1 Avustus, alv-laskenta '!C23+'AT1 Avustus, alv-laskenta '!C30</f>
        <v>0</v>
      </c>
      <c r="I26" s="643">
        <f>'AT1 Avustus, alv-laskenta '!D23+'AT1 Avustus, alv-laskenta '!D30</f>
        <v>0</v>
      </c>
      <c r="J26" s="643">
        <f>'AT1 Avustus, alv-laskenta '!E23+'AT1 Avustus, alv-laskenta '!E30</f>
        <v>0</v>
      </c>
      <c r="K26" s="644">
        <f>'AT1 Avustus, alv-laskenta '!F23+'AT1 Avustus, alv-laskenta '!F30</f>
        <v>0</v>
      </c>
      <c r="M26" s="1688" t="s">
        <v>540</v>
      </c>
      <c r="N26" s="1689"/>
      <c r="O26" s="1690"/>
      <c r="P26" s="138"/>
      <c r="Q26" s="138"/>
      <c r="R26" s="138"/>
      <c r="S26" s="142"/>
      <c r="T26" s="142"/>
      <c r="U26" s="645"/>
    </row>
    <row r="27" spans="1:21" ht="12.75" customHeight="1">
      <c r="B27" s="196">
        <f t="shared" si="4"/>
        <v>11</v>
      </c>
      <c r="C27" s="1832" t="s">
        <v>118</v>
      </c>
      <c r="D27" s="1832"/>
      <c r="E27" s="228" t="s">
        <v>89</v>
      </c>
      <c r="F27" s="988"/>
      <c r="G27" s="988"/>
      <c r="H27" s="643">
        <f>'AT1 Avustus, alv-laskenta '!C36+'AT1 Avustus, alv-laskenta '!C43</f>
        <v>0</v>
      </c>
      <c r="I27" s="643">
        <f>'AT1 Avustus, alv-laskenta '!D36+'AT1 Avustus, alv-laskenta '!D43</f>
        <v>0</v>
      </c>
      <c r="J27" s="643">
        <f>'AT1 Avustus, alv-laskenta '!E36+'AT1 Avustus, alv-laskenta '!E43</f>
        <v>0</v>
      </c>
      <c r="K27" s="644">
        <f>'AT1 Avustus, alv-laskenta '!F36+'AT1 Avustus, alv-laskenta '!F43</f>
        <v>0</v>
      </c>
      <c r="M27" s="1961" t="s">
        <v>296</v>
      </c>
      <c r="N27" s="1962"/>
      <c r="O27" s="1963"/>
      <c r="P27" s="650">
        <f>IF('3. T3 TASE '!F75=0,0,('3. T3 TASE '!F38-'3. T3 TASE '!F39)/'3. T3 TASE '!F75)</f>
        <v>0</v>
      </c>
      <c r="Q27" s="650">
        <f>IF('3. T3 TASE '!G75=0,0,('3. T3 TASE '!G38-'3. T3 TASE '!G39)/'3. T3 TASE '!G75)</f>
        <v>0</v>
      </c>
      <c r="R27" s="650">
        <f>IF('3. T3 TASE '!H75=0,0,('3. T3 TASE '!H38-'3. T3 TASE '!H39)/'3. T3 TASE '!H75)</f>
        <v>0</v>
      </c>
      <c r="S27" s="650">
        <f>IF('3. T3 TASE '!I75=0,0,('3. T3 TASE '!I38-'3. T3 TASE '!I39)/'3. T3 TASE '!I75)</f>
        <v>0</v>
      </c>
      <c r="T27" s="650">
        <f>IF('3. T3 TASE '!J75=0,0,('3. T3 TASE '!J38-'3. T3 TASE '!J39)/'3. T3 TASE '!J75)</f>
        <v>0</v>
      </c>
      <c r="U27" s="651">
        <f>IF('3. T3 TASE '!K75=0,0,('3. T3 TASE '!K38-'3. T3 TASE '!K39)/'3. T3 TASE '!K75)</f>
        <v>0</v>
      </c>
    </row>
    <row r="28" spans="1:21" ht="12.75" customHeight="1">
      <c r="B28" s="196">
        <f t="shared" si="4"/>
        <v>12</v>
      </c>
      <c r="C28" s="1832" t="s">
        <v>476</v>
      </c>
      <c r="D28" s="1832"/>
      <c r="E28" s="343" t="s">
        <v>96</v>
      </c>
      <c r="F28" s="988"/>
      <c r="G28" s="988"/>
      <c r="H28" s="643">
        <f>H61</f>
        <v>0</v>
      </c>
      <c r="I28" s="643">
        <f>I61</f>
        <v>0</v>
      </c>
      <c r="J28" s="643">
        <f>J61</f>
        <v>0</v>
      </c>
      <c r="K28" s="644">
        <f>K61</f>
        <v>0</v>
      </c>
      <c r="M28" s="1964" t="s">
        <v>666</v>
      </c>
      <c r="N28" s="1965"/>
      <c r="O28" s="1966"/>
      <c r="P28" s="652">
        <f>IF('3. T3 TASE '!F75=0,0,IF(P27&gt;1,"Hyvä",IF(P27&lt;0.5,"Heikko","Tyydyttävä")))</f>
        <v>0</v>
      </c>
      <c r="Q28" s="652">
        <f>IF('3. T3 TASE '!G75=0,0,IF(Q27&gt;1,"Hyvä",IF(Q27&lt;0.5,"Heikko","Tyydyttävä")))</f>
        <v>0</v>
      </c>
      <c r="R28" s="652">
        <f>IF('3. T3 TASE '!H75=0,0,IF(R27&gt;1,"Hyvä",IF(R27&lt;0.5,"Heikko","Tyydyttävä")))</f>
        <v>0</v>
      </c>
      <c r="S28" s="652">
        <f>IF('3. T3 TASE '!I75=0,0,IF(S27&gt;1,"Hyvä",IF(S27&lt;0.5,"Heikko","Tyydyttävä")))</f>
        <v>0</v>
      </c>
      <c r="T28" s="652">
        <f>IF('3. T3 TASE '!J75=0,0,IF(T27&gt;1,"Hyvä",IF(T27&lt;0.5,"Heikko","Tyydyttävä")))</f>
        <v>0</v>
      </c>
      <c r="U28" s="1034">
        <f>IF('3. T3 TASE '!K75=0,0,IF(U27&gt;1,"Hyvä",IF(U27&lt;0.5,"Heikko","Tyydyttävä")))</f>
        <v>0</v>
      </c>
    </row>
    <row r="29" spans="1:21" ht="12.75" customHeight="1">
      <c r="B29" s="196">
        <f t="shared" si="4"/>
        <v>13</v>
      </c>
      <c r="C29" s="1832" t="s">
        <v>120</v>
      </c>
      <c r="D29" s="1832"/>
      <c r="E29" s="228" t="s">
        <v>89</v>
      </c>
      <c r="F29" s="723"/>
      <c r="G29" s="723"/>
      <c r="H29" s="643">
        <f>'3. T3 TASE '!H48-'3. T3 TASE '!G48</f>
        <v>0</v>
      </c>
      <c r="I29" s="643">
        <f>'3. T3 TASE '!I48-'3. T3 TASE '!H48</f>
        <v>0</v>
      </c>
      <c r="J29" s="643">
        <f>'3. T3 TASE '!J48-'3. T3 TASE '!I48</f>
        <v>0</v>
      </c>
      <c r="K29" s="644">
        <f>'3. T3 TASE '!K48-'3. T3 TASE '!J48</f>
        <v>0</v>
      </c>
      <c r="M29" s="1958" t="s">
        <v>297</v>
      </c>
      <c r="N29" s="1959"/>
      <c r="O29" s="1960"/>
      <c r="P29" s="653">
        <f>IF('3. T3 TASE '!F75=0,0,'3. T3 TASE '!F38/'3. T3 TASE '!F75)</f>
        <v>0</v>
      </c>
      <c r="Q29" s="653">
        <f>IF('3. T3 TASE '!G75=0,0,'3. T3 TASE '!G38/'3. T3 TASE '!G75)</f>
        <v>0</v>
      </c>
      <c r="R29" s="653">
        <f>IF('3. T3 TASE '!H75=0,0,'3. T3 TASE '!H38/'3. T3 TASE '!H75)</f>
        <v>0</v>
      </c>
      <c r="S29" s="653">
        <f>IF('3. T3 TASE '!I75=0,0,'3. T3 TASE '!I38/'3. T3 TASE '!I75)</f>
        <v>0</v>
      </c>
      <c r="T29" s="653">
        <f>IF('3. T3 TASE '!J75=0,0,'3. T3 TASE '!J38/'3. T3 TASE '!J75)</f>
        <v>0</v>
      </c>
      <c r="U29" s="654">
        <f>IF('3. T3 TASE '!K75=0,0,'3. T3 TASE '!K38/'3. T3 TASE '!K75)</f>
        <v>0</v>
      </c>
    </row>
    <row r="30" spans="1:21" ht="12.75" customHeight="1">
      <c r="B30" s="196">
        <f t="shared" si="4"/>
        <v>14</v>
      </c>
      <c r="C30" s="1976" t="s">
        <v>464</v>
      </c>
      <c r="D30" s="1976"/>
      <c r="E30" s="228" t="s">
        <v>89</v>
      </c>
      <c r="F30" s="988"/>
      <c r="G30" s="988"/>
      <c r="H30" s="643">
        <f>'4. T7 LAINAT '!F18+'4. T7 LAINAT '!G39</f>
        <v>0</v>
      </c>
      <c r="I30" s="643">
        <f>'4. T7 LAINAT '!I18+'4. T7 LAINAT '!J39</f>
        <v>0</v>
      </c>
      <c r="J30" s="643">
        <f>'4. T7 LAINAT '!L18+'4. T7 LAINAT '!M39</f>
        <v>0</v>
      </c>
      <c r="K30" s="644">
        <f>'4. T7 LAINAT '!O18+'4. T7 LAINAT '!P39</f>
        <v>0</v>
      </c>
      <c r="M30" s="1964" t="s">
        <v>323</v>
      </c>
      <c r="N30" s="1965"/>
      <c r="O30" s="1966"/>
      <c r="P30" s="652">
        <f>IF('3. T3 TASE '!F75=0,0,IF(P29&gt;2,"Hyvä",IF(P29&lt;1,"Heikko","Tyydyttävä")))</f>
        <v>0</v>
      </c>
      <c r="Q30" s="652">
        <f>IF('3. T3 TASE '!G75=0,0,IF(Q29&gt;2,"Hyvä",IF(Q29&lt;1,"Heikko","Tyydyttävä")))</f>
        <v>0</v>
      </c>
      <c r="R30" s="652">
        <f>IF('3. T3 TASE '!H75=0,0,IF(R29&gt;2,"Hyvä",IF(R29&lt;1,"Heikko","Tyydyttävä")))</f>
        <v>0</v>
      </c>
      <c r="S30" s="652">
        <f>IF('3. T3 TASE '!I75=0,0,IF(S29&gt;2,"Hyvä",IF(S29&lt;1,"Heikko","Tyydyttävä")))</f>
        <v>0</v>
      </c>
      <c r="T30" s="652">
        <f>IF('3. T3 TASE '!J75=0,0,IF(T29&gt;2,"Hyvä",IF(T29&lt;1,"Heikko","Tyydyttävä")))</f>
        <v>0</v>
      </c>
      <c r="U30" s="1034">
        <f>IF('3. T3 TASE '!K75=0,0,IF(U29&gt;2,"Hyvä",IF(U29&lt;1,"Heikko","Tyydyttävä")))</f>
        <v>0</v>
      </c>
    </row>
    <row r="31" spans="1:21" ht="12.75" customHeight="1">
      <c r="B31" s="196">
        <f t="shared" si="4"/>
        <v>15</v>
      </c>
      <c r="C31" s="531" t="s">
        <v>484</v>
      </c>
      <c r="D31" s="531"/>
      <c r="E31" s="228" t="s">
        <v>89</v>
      </c>
      <c r="F31" s="988"/>
      <c r="G31" s="988"/>
      <c r="H31" s="643">
        <f>-IF('3. T3 TASE '!H61-'3. T3 TASE '!G61&lt;0,'3. T3 TASE '!H61-'3. T3 TASE '!G61,0)</f>
        <v>0</v>
      </c>
      <c r="I31" s="643">
        <f>-IF('3. T3 TASE '!I61-'3. T3 TASE '!H61&lt;0,'3. T3 TASE '!I61-'3. T3 TASE '!H61,0)</f>
        <v>0</v>
      </c>
      <c r="J31" s="643">
        <f>-IF('3. T3 TASE '!J61-'3. T3 TASE '!I61&lt;0,'3. T3 TASE '!J61-'3. T3 TASE '!I61,0)</f>
        <v>0</v>
      </c>
      <c r="K31" s="644">
        <f>-IF('3. T3 TASE '!K61-'3. T3 TASE '!J61&lt;0,'3. T3 TASE '!K61-'3. T3 TASE '!J61,0)</f>
        <v>0</v>
      </c>
      <c r="M31" s="1958" t="s">
        <v>419</v>
      </c>
      <c r="N31" s="1959"/>
      <c r="O31" s="1960"/>
      <c r="P31" s="655"/>
      <c r="Q31" s="1066">
        <f>IF(G15=0,0,('3. T3 TASE '!G67/'8. T4 RAHOITUSSUUN. '!G15))</f>
        <v>0</v>
      </c>
      <c r="R31" s="650">
        <f>IF(H15=0,0,('AT2 Lainat,sotum., alv-osto'!N14+'AT2 Lainat,sotum., alv-osto'!N28)/'8. T4 RAHOITUSSUUN. '!H15)</f>
        <v>0</v>
      </c>
      <c r="S31" s="650">
        <f>IF(I15=0,0,('AT2 Lainat,sotum., alv-osto'!T14+'AT2 Lainat,sotum., alv-osto'!T28)/'8. T4 RAHOITUSSUUN. '!I15)</f>
        <v>0</v>
      </c>
      <c r="T31" s="650">
        <f>IF(J15=0,0,('AT2 Lainat,sotum., alv-osto'!Z14+'AT2 Lainat,sotum., alv-osto'!Z28)/'8. T4 RAHOITUSSUUN. '!J15)</f>
        <v>0</v>
      </c>
      <c r="U31" s="651">
        <f>IF(K15=0,0,('AT2 Lainat,sotum., alv-osto'!AF14+'AT2 Lainat,sotum., alv-osto'!AF28)/'8. T4 RAHOITUSSUUN. '!K15)</f>
        <v>0</v>
      </c>
    </row>
    <row r="32" spans="1:21" ht="12.75" customHeight="1">
      <c r="B32" s="196">
        <f t="shared" si="4"/>
        <v>16</v>
      </c>
      <c r="C32" s="531" t="s">
        <v>463</v>
      </c>
      <c r="D32" s="531"/>
      <c r="E32" s="228" t="s">
        <v>89</v>
      </c>
      <c r="F32" s="988"/>
      <c r="G32" s="988"/>
      <c r="H32" s="643">
        <f>-IF('3. T3 TASE '!H69-'3. T3 TASE '!G69&lt;0,'3. T3 TASE '!H69-'3. T3 TASE '!G69+'3. T3 TASE '!H70,0)</f>
        <v>0</v>
      </c>
      <c r="I32" s="643">
        <f>-IF('3. T3 TASE '!I69-'3. T3 TASE '!H69&lt;0,'3. T3 TASE '!I69-'3. T3 TASE '!H69+'3. T3 TASE '!I70,0)</f>
        <v>0</v>
      </c>
      <c r="J32" s="643">
        <f>-IF('3. T3 TASE '!J69-'3. T3 TASE '!I69&lt;0,'3. T3 TASE '!J69-'3. T3 TASE '!I69+'3. T3 TASE '!J70,0)</f>
        <v>0</v>
      </c>
      <c r="K32" s="644">
        <f>-IF('3. T3 TASE '!K69-'3. T3 TASE '!J69&lt;0,'3. T3 TASE '!K69-'3. T3 TASE '!J69+'3. T3 TASE '!K70,0)</f>
        <v>0</v>
      </c>
      <c r="M32" s="1958" t="s">
        <v>314</v>
      </c>
      <c r="N32" s="1959"/>
      <c r="O32" s="1960"/>
      <c r="P32" s="656"/>
      <c r="Q32" s="653">
        <f>IF('2. &amp; 7. T2 TULOSSUUN. '!G25+'3. T3 TASE '!G77=0,0,(G15-'2. &amp; 7. T2 TULOSSUUN. '!G25)/(-'2. &amp; 7. T2 TULOSSUUN. '!G25+'3. T3 TASE '!G77))</f>
        <v>0</v>
      </c>
      <c r="R32" s="653">
        <f>IF(-'2. &amp; 7. T2 TULOSSUUN. '!I25+'4. T7 LAINAT '!F18+'4. T7 LAINAT '!G39=0,0,(H15-'2. &amp; 7. T2 TULOSSUUN. '!I25)/(-'2. &amp; 7. T2 TULOSSUUN. '!I25+'4. T7 LAINAT '!F18+'4. T7 LAINAT '!G39))</f>
        <v>0</v>
      </c>
      <c r="S32" s="653">
        <f>IF(-'2. &amp; 7. T2 TULOSSUUN. '!K25+'4. T7 LAINAT '!I18+'4. T7 LAINAT '!J39=0,0,(I15-'2. &amp; 7. T2 TULOSSUUN. '!K25)/(-'2. &amp; 7. T2 TULOSSUUN. '!K25+'4. T7 LAINAT '!I18+'4. T7 LAINAT '!J39))</f>
        <v>0</v>
      </c>
      <c r="T32" s="653">
        <f>IF(-'2. &amp; 7. T2 TULOSSUUN. '!M25+'4. T7 LAINAT '!L18+'4. T7 LAINAT '!M39=0,0,(J15-'2. &amp; 7. T2 TULOSSUUN. '!M25)/(-'2. &amp; 7. T2 TULOSSUUN. '!M25+'4. T7 LAINAT '!L18+'4. T7 LAINAT '!M39))</f>
        <v>0</v>
      </c>
      <c r="U32" s="654">
        <f>IF(-'2. &amp; 7. T2 TULOSSUUN. '!O25+'4. T7 LAINAT '!O18+'4. T7 LAINAT '!P39=0,0,(-'2. &amp; 7. T2 TULOSSUUN. '!O25+'8. T4 RAHOITUSSUUN. '!K15)/(-'2. &amp; 7. T2 TULOSSUUN. '!O25+'4. T7 LAINAT '!O18+'4. T7 LAINAT '!P39))</f>
        <v>0</v>
      </c>
    </row>
    <row r="33" spans="2:23" ht="12.75" customHeight="1">
      <c r="B33" s="196">
        <f t="shared" si="4"/>
        <v>17</v>
      </c>
      <c r="C33" s="1976" t="s">
        <v>490</v>
      </c>
      <c r="D33" s="1976"/>
      <c r="E33" s="228" t="s">
        <v>89</v>
      </c>
      <c r="F33" s="988"/>
      <c r="G33" s="988"/>
      <c r="H33" s="643">
        <f>-IF('3. T3 TASE '!H72-'3. T3 TASE '!G72&lt;0,'3. T3 TASE '!H72-'3. T3 TASE '!G72,0)</f>
        <v>0</v>
      </c>
      <c r="I33" s="643">
        <f>-IF('3. T3 TASE '!I72-'3. T3 TASE '!H72&lt;0,'3. T3 TASE '!I72-'3. T3 TASE '!H72,0)</f>
        <v>0</v>
      </c>
      <c r="J33" s="643">
        <f>-IF('3. T3 TASE '!J72-'3. T3 TASE '!I72&lt;0,'3. T3 TASE '!J72-'3. T3 TASE '!I72,0)</f>
        <v>0</v>
      </c>
      <c r="K33" s="644">
        <f>-IF('3. T3 TASE '!K72-'3. T3 TASE '!J72&lt;0,'3. T3 TASE '!K72-'3. T3 TASE '!J72,0)</f>
        <v>0</v>
      </c>
      <c r="M33" s="1964" t="s">
        <v>666</v>
      </c>
      <c r="N33" s="1965"/>
      <c r="O33" s="1966"/>
      <c r="P33" s="657"/>
      <c r="Q33" s="652">
        <f>IF('2. &amp; 7. T2 TULOSSUUN. '!G25+'3. T3 TASE '!G77=0,0,IF(Q32&gt;2,"Hyvä",IF(Q32&lt;1,"Heikko","Tyydyttävä")))</f>
        <v>0</v>
      </c>
      <c r="R33" s="652">
        <f>IF('2. &amp; 7. T2 TULOSSUUN. '!I25+'4. T7 LAINAT '!F18+'4. T7 LAINAT '!G39=0,0,IF(R32&gt;2,"Hyvä",IF(R32&lt;1,"Heikko","Tyydyttävä")))</f>
        <v>0</v>
      </c>
      <c r="S33" s="652">
        <f>IF('2. &amp; 7. T2 TULOSSUUN. '!K25+'4. T7 LAINAT '!I18+'4. T7 LAINAT '!J39=0,0,IF(S32&gt;2,"Hyvä",IF(S32&lt;1,"Heikko","Tyydyttävä")))</f>
        <v>0</v>
      </c>
      <c r="T33" s="652">
        <f>IF('2. &amp; 7. T2 TULOSSUUN. '!M25+'4. T7 LAINAT '!L18+'4. T7 LAINAT '!M39=0,0,IF(T32&gt;2,"Hyvä",IF(T32&lt;1,"Heikko","Tyydyttävä")))</f>
        <v>0</v>
      </c>
      <c r="U33" s="1034">
        <f>IF('2. &amp; 7. T2 TULOSSUUN. '!O25+'4. T7 LAINAT '!O18+'4. T7 LAINAT '!P39=0,0,IF(U32&gt;2,"Hyvä",IF(U32&lt;1,"Heikko","Tyydyttävä")))</f>
        <v>0</v>
      </c>
    </row>
    <row r="34" spans="2:23" ht="12.75" customHeight="1">
      <c r="B34" s="196">
        <f t="shared" si="4"/>
        <v>18</v>
      </c>
      <c r="C34" s="1976" t="s">
        <v>466</v>
      </c>
      <c r="D34" s="1976"/>
      <c r="E34" s="228" t="s">
        <v>89</v>
      </c>
      <c r="F34" s="988"/>
      <c r="G34" s="988"/>
      <c r="H34" s="643">
        <f>-IF('3. T3 TASE '!H74-'3. T3 TASE '!G74&lt;0,'3. T3 TASE '!H74-'3. T3 TASE '!G74,0)</f>
        <v>0</v>
      </c>
      <c r="I34" s="643">
        <f>-IF('3. T3 TASE '!I74-'3. T3 TASE '!H74&lt;0,'3. T3 TASE '!I74-'3. T3 TASE '!H74,0)</f>
        <v>0</v>
      </c>
      <c r="J34" s="643">
        <f>-IF('3. T3 TASE '!J74-'3. T3 TASE '!I74&lt;0,'3. T3 TASE '!J74-'3. T3 TASE '!I74,0)</f>
        <v>0</v>
      </c>
      <c r="K34" s="644">
        <f>-IF('3. T3 TASE '!K74-'3. T3 TASE '!J74&lt;0,'3. T3 TASE '!K74-'3. T3 TASE '!J74,0)</f>
        <v>0</v>
      </c>
      <c r="M34" s="166" t="s">
        <v>541</v>
      </c>
      <c r="N34" s="140"/>
      <c r="O34" s="140"/>
      <c r="P34" s="142"/>
      <c r="Q34" s="142"/>
      <c r="R34" s="142"/>
      <c r="S34" s="142"/>
      <c r="T34" s="142"/>
      <c r="U34" s="645"/>
    </row>
    <row r="35" spans="2:23" ht="12.75" customHeight="1">
      <c r="B35" s="196">
        <f t="shared" si="4"/>
        <v>19</v>
      </c>
      <c r="C35" s="1832" t="s">
        <v>757</v>
      </c>
      <c r="D35" s="1832"/>
      <c r="E35" s="343" t="s">
        <v>96</v>
      </c>
      <c r="F35" s="988"/>
      <c r="G35" s="988"/>
      <c r="H35" s="663">
        <v>0</v>
      </c>
      <c r="I35" s="663">
        <v>0</v>
      </c>
      <c r="J35" s="663">
        <v>0</v>
      </c>
      <c r="K35" s="664">
        <v>0</v>
      </c>
      <c r="M35" s="1973" t="s">
        <v>299</v>
      </c>
      <c r="N35" s="1974"/>
      <c r="O35" s="1975"/>
      <c r="P35" s="648">
        <f>IF('3. T3 TASE '!F98=0,0,IF('3. T3 TASE '!F98&lt;0,0,'3. T3 TASE '!F56/('3. T3 TASE '!F98-'3. T3 TASE '!F96)))</f>
        <v>0</v>
      </c>
      <c r="Q35" s="648">
        <f>IF('3. T3 TASE '!G98=0,0,IF('3. T3 TASE '!G98&lt;0,0,'3. T3 TASE '!G56/('3. T3 TASE '!G98-'3. T3 TASE '!G96)))</f>
        <v>0</v>
      </c>
      <c r="R35" s="648">
        <f>IF('3. T3 TASE '!H98=0,0,IF('3. T3 TASE '!H98&lt;0,0,'3. T3 TASE '!H56/('3. T3 TASE '!H98-'3. T3 TASE '!H96)))</f>
        <v>0</v>
      </c>
      <c r="S35" s="648">
        <f>IF('3. T3 TASE '!I98=0,0,IF('3. T3 TASE '!I98&lt;0,0,'3. T3 TASE '!I56/('3. T3 TASE '!I98-'3. T3 TASE '!I96)))</f>
        <v>0</v>
      </c>
      <c r="T35" s="648">
        <f>IF('3. T3 TASE '!J98=0,0,IF('3. T3 TASE '!J98&lt;0,0,'3. T3 TASE '!J56/('3. T3 TASE '!J98-'3. T3 TASE '!J96)))</f>
        <v>0</v>
      </c>
      <c r="U35" s="649">
        <f>IF('3. T3 TASE '!K98=0,0,IF('3. T3 TASE '!K98&lt;0,0,'3. T3 TASE '!K56/('3. T3 TASE '!K98-'3. T3 TASE '!K96)))</f>
        <v>0</v>
      </c>
    </row>
    <row r="36" spans="2:23" ht="12.75" customHeight="1">
      <c r="B36" s="196">
        <f t="shared" si="4"/>
        <v>20</v>
      </c>
      <c r="C36" s="1832" t="s">
        <v>234</v>
      </c>
      <c r="D36" s="1832"/>
      <c r="E36" s="228" t="s">
        <v>89</v>
      </c>
      <c r="F36" s="988"/>
      <c r="G36" s="988"/>
      <c r="H36" s="643">
        <f>'4. T7 LAINAT '!$F$19+'4. T7 LAINAT '!G45</f>
        <v>0</v>
      </c>
      <c r="I36" s="643">
        <f>'4. T7 LAINAT '!I19+'4. T7 LAINAT '!J45</f>
        <v>0</v>
      </c>
      <c r="J36" s="643">
        <f>'4. T7 LAINAT '!L19+'4. T7 LAINAT '!M45</f>
        <v>0</v>
      </c>
      <c r="K36" s="644">
        <f>'4. T7 LAINAT '!O19+'4. T7 LAINAT '!P45</f>
        <v>0</v>
      </c>
      <c r="M36" s="1964" t="s">
        <v>666</v>
      </c>
      <c r="N36" s="1965"/>
      <c r="O36" s="1966"/>
      <c r="P36" s="652">
        <f>IF('3. T3 TASE '!F98=0,0,IF(P35&gt;40%,"Hyvä",IF(P35&lt;20%,"Heikko","Tyydyttävä")))</f>
        <v>0</v>
      </c>
      <c r="Q36" s="652">
        <f>IF('3. T3 TASE '!G98=0,0,IF(Q35&gt;40%,"Hyvä",IF(Q35&lt;20%,"Heikko","Tyydyttävä")))</f>
        <v>0</v>
      </c>
      <c r="R36" s="652">
        <f>IF('3. T3 TASE '!H98=0,0,IF(R35&gt;40%,"Hyvä",IF(R35&lt;20%,"Heikko","Tyydyttävä")))</f>
        <v>0</v>
      </c>
      <c r="S36" s="652">
        <f>IF('3. T3 TASE '!I98=0,0,IF(S35&gt;40%,"Hyvä",IF(S35&lt;20%,"Heikko","Tyydyttävä")))</f>
        <v>0</v>
      </c>
      <c r="T36" s="652">
        <f>IF('3. T3 TASE '!J98=0,0,IF(T35&gt;40%,"Hyvä",IF(T35&lt;20%,"Heikko","Tyydyttävä")))</f>
        <v>0</v>
      </c>
      <c r="U36" s="1034">
        <f>IF('3. T3 TASE '!K98=0,0,IF(U35&gt;40%,"Hyvä",IF(U35&lt;20%,"Heikko","Tyydyttävä")))</f>
        <v>0</v>
      </c>
    </row>
    <row r="37" spans="2:23" ht="12.75" customHeight="1">
      <c r="B37" s="196">
        <f t="shared" si="4"/>
        <v>21</v>
      </c>
      <c r="C37" s="1832" t="s">
        <v>341</v>
      </c>
      <c r="D37" s="1832"/>
      <c r="E37" s="343" t="s">
        <v>96</v>
      </c>
      <c r="F37" s="988"/>
      <c r="G37" s="988"/>
      <c r="H37" s="643">
        <f>'3. T3 TASE '!H84+'3. T3 TASE '!H91-'3. T3 TASE '!G84-'3. T3 TASE '!G91</f>
        <v>0</v>
      </c>
      <c r="I37" s="643">
        <f>'3. T3 TASE '!I84+'3. T3 TASE '!I91-'3. T3 TASE '!H84-'3. T3 TASE '!H91</f>
        <v>0</v>
      </c>
      <c r="J37" s="643">
        <f>'3. T3 TASE '!J84+'3. T3 TASE '!J91-'3. T3 TASE '!I84-'3. T3 TASE '!I91</f>
        <v>0</v>
      </c>
      <c r="K37" s="644">
        <f>'3. T3 TASE '!K84+'3. T3 TASE '!K91-'3. T3 TASE '!J84-'3. T3 TASE '!J91</f>
        <v>0</v>
      </c>
      <c r="M37" s="1955" t="s">
        <v>485</v>
      </c>
      <c r="N37" s="1956"/>
      <c r="O37" s="1957"/>
      <c r="P37" s="658">
        <f>IF(P80=0,0,(P86-P87)/P76)</f>
        <v>0</v>
      </c>
      <c r="Q37" s="658">
        <f t="shared" ref="Q37:U37" si="5">IF(Q80=0,0,(Q86-Q87)/Q76)</f>
        <v>0</v>
      </c>
      <c r="R37" s="1097">
        <f t="shared" si="5"/>
        <v>0</v>
      </c>
      <c r="S37" s="1097">
        <f t="shared" si="5"/>
        <v>0</v>
      </c>
      <c r="T37" s="1097">
        <f t="shared" si="5"/>
        <v>0</v>
      </c>
      <c r="U37" s="1104">
        <f t="shared" si="5"/>
        <v>0</v>
      </c>
    </row>
    <row r="38" spans="2:23" ht="12.75" customHeight="1">
      <c r="B38" s="196">
        <f t="shared" si="4"/>
        <v>22</v>
      </c>
      <c r="C38" s="1832" t="s">
        <v>121</v>
      </c>
      <c r="D38" s="1832"/>
      <c r="E38" s="228" t="s">
        <v>89</v>
      </c>
      <c r="F38" s="723"/>
      <c r="G38" s="723"/>
      <c r="H38" s="643">
        <f>-IF('3. T3 TASE '!H78-'3. T3 TASE '!G78&lt;0,'3. T3 TASE '!H78-'3. T3 TASE '!G78,0)-IF('3. T3 TASE '!H79-'3. T3 TASE '!G79&lt;0,'3. T3 TASE '!H79-'3. T3 TASE '!G79,0)</f>
        <v>0</v>
      </c>
      <c r="I38" s="643">
        <f>-IF('3. T3 TASE '!I78-'3. T3 TASE '!H78&lt;0,'3. T3 TASE '!I78-'3. T3 TASE '!H78,0)-IF('3. T3 TASE '!I79-'3. T3 TASE '!H79&lt;0,'3. T3 TASE '!I79-'3. T3 TASE '!H79,0)</f>
        <v>0</v>
      </c>
      <c r="J38" s="643">
        <f>-IF('3. T3 TASE '!J78-'3. T3 TASE '!I78&lt;0,'3. T3 TASE '!J78-'3. T3 TASE '!I78,0)-IF('3. T3 TASE '!J79-'3. T3 TASE '!I79&lt;0,'3. T3 TASE '!J79-'3. T3 TASE '!I79,0)</f>
        <v>0</v>
      </c>
      <c r="K38" s="644">
        <f>-IF('3. T3 TASE '!K78-'3. T3 TASE '!J78&lt;0,'3. T3 TASE '!K78-'3. T3 TASE '!J78,0)-IF('3. T3 TASE '!K79-'3. T3 TASE '!J79&lt;0,'3. T3 TASE '!K79-'3. T3 TASE '!J79,0)</f>
        <v>0</v>
      </c>
      <c r="M38" s="381"/>
      <c r="N38" s="1033" t="s">
        <v>323</v>
      </c>
      <c r="O38" s="380"/>
      <c r="P38" s="652" t="str">
        <f>IF('3. T3 TASE '!F98=0,"",IF('3. T3 TASE '!F56&lt;0,"Heikko",IF(P37&lt;0,"Nettovelaton",IF(P37&gt;1,"","Hyvä"))))</f>
        <v/>
      </c>
      <c r="Q38" s="652" t="str">
        <f>IF('3. T3 TASE '!G98=0,"",IF('3. T3 TASE '!G56&lt;0,"Heikko",IF(Q37&lt;0,"Nettovelaton",IF(Q37&gt;1,"","Hyvä"))))</f>
        <v/>
      </c>
      <c r="R38" s="652" t="str">
        <f>IF('3. T3 TASE '!H98=0,"",IF('3. T3 TASE '!H56&lt;0,"Heikko",IF(R37&lt;0,"Nettovelaton",IF(R37&gt;1,"","Hyvä"))))</f>
        <v/>
      </c>
      <c r="S38" s="652" t="str">
        <f>IF('3. T3 TASE '!I98=0,"",IF('3. T3 TASE '!I56&lt;0,"Heikko",IF(S37&lt;0,"Nettovelaton",IF(S37&gt;1,"","Hyvä"))))</f>
        <v/>
      </c>
      <c r="T38" s="652" t="str">
        <f>IF('3. T3 TASE '!J98=0,"",IF('3. T3 TASE '!J56&lt;0,"Heikko",IF(T37&lt;0,"Nettovelaton",IF(T37&gt;1,"","Hyvä"))))</f>
        <v/>
      </c>
      <c r="U38" s="1034" t="str">
        <f>IF('3. T3 TASE '!K98=0,"",IF('3. T3 TASE '!K56&lt;0,"Heikko",IF(U37&lt;0,"Nettovelaton",IF(U37&gt;1,"","Hyvä"))))</f>
        <v/>
      </c>
      <c r="W38" s="315"/>
    </row>
    <row r="39" spans="2:23" ht="12.75" customHeight="1">
      <c r="B39" s="196">
        <f t="shared" si="4"/>
        <v>23</v>
      </c>
      <c r="C39" s="1832" t="s">
        <v>725</v>
      </c>
      <c r="D39" s="1832"/>
      <c r="E39" s="228" t="s">
        <v>89</v>
      </c>
      <c r="F39" s="988"/>
      <c r="G39" s="988"/>
      <c r="H39" s="663">
        <f>R50</f>
        <v>0</v>
      </c>
      <c r="I39" s="663">
        <f>S50</f>
        <v>0</v>
      </c>
      <c r="J39" s="663">
        <f>T50</f>
        <v>0</v>
      </c>
      <c r="K39" s="664">
        <f>U50</f>
        <v>0</v>
      </c>
      <c r="M39" s="354" t="s">
        <v>542</v>
      </c>
      <c r="N39" s="128"/>
      <c r="O39" s="128"/>
      <c r="P39" s="134"/>
      <c r="Q39" s="134"/>
      <c r="R39" s="134"/>
      <c r="S39" s="134"/>
      <c r="T39" s="134"/>
      <c r="U39" s="659"/>
    </row>
    <row r="40" spans="2:23" ht="12.75" customHeight="1">
      <c r="B40" s="196">
        <f t="shared" si="4"/>
        <v>24</v>
      </c>
      <c r="C40" s="1832" t="s">
        <v>208</v>
      </c>
      <c r="D40" s="1832"/>
      <c r="E40" s="343" t="s">
        <v>89</v>
      </c>
      <c r="F40" s="723"/>
      <c r="G40" s="723"/>
      <c r="H40" s="643">
        <f>'3. T3 TASE '!H35</f>
        <v>0</v>
      </c>
      <c r="I40" s="643">
        <f>'3. T3 TASE '!I35</f>
        <v>0</v>
      </c>
      <c r="J40" s="643">
        <f>'3. T3 TASE '!J35</f>
        <v>0</v>
      </c>
      <c r="K40" s="644">
        <f>'3. T3 TASE '!K35</f>
        <v>0</v>
      </c>
      <c r="M40" s="501" t="s">
        <v>315</v>
      </c>
      <c r="N40" s="502"/>
      <c r="O40" s="502"/>
      <c r="P40" s="656"/>
      <c r="Q40" s="656"/>
      <c r="R40" s="660">
        <f>('5. E1 KUSTANNUKSET '!F11+'5. E1 KUSTANNUKSET '!F32-'5. E1 KUSTANNUKSET '!F38+'5. E1 KUSTANNUKSET '!F39)/'2. &amp; 7. T2 TULOSSUUN. '!I33</f>
        <v>0</v>
      </c>
      <c r="S40" s="660">
        <f>('5. E1 KUSTANNUKSET '!H11+'5. E1 KUSTANNUKSET '!H32-'5. E1 KUSTANNUKSET '!H38+'5. E1 KUSTANNUKSET '!H39)/'2. &amp; 7. T2 TULOSSUUN. '!K33</f>
        <v>0</v>
      </c>
      <c r="T40" s="660">
        <f>('5. E1 KUSTANNUKSET '!J11+'5. E1 KUSTANNUKSET '!J32-'5. E1 KUSTANNUKSET '!J38+'5. E1 KUSTANNUKSET '!J39)/'2. &amp; 7. T2 TULOSSUUN. '!M33</f>
        <v>0</v>
      </c>
      <c r="U40" s="661">
        <f>('5. E1 KUSTANNUKSET '!L11+'5. E1 KUSTANNUKSET '!L32-'5. E1 KUSTANNUKSET '!L38+'5. E1 KUSTANNUKSET '!L39)/'2. &amp; 7. T2 TULOSSUUN. '!O33</f>
        <v>0</v>
      </c>
    </row>
    <row r="41" spans="2:23" ht="12.75" customHeight="1">
      <c r="B41" s="196">
        <f t="shared" si="4"/>
        <v>25</v>
      </c>
      <c r="C41" s="329" t="s">
        <v>18</v>
      </c>
      <c r="D41" s="322"/>
      <c r="E41" s="456"/>
      <c r="F41" s="988"/>
      <c r="G41" s="988"/>
      <c r="H41" s="643">
        <f>H24+H25+H26+H27+H28+H29+H30+H36-H37+H38+H39+H40+H35+H31+H32+H33+H34</f>
        <v>0</v>
      </c>
      <c r="I41" s="643">
        <f>I24+I25+I26+I27+I28+I29+I30+I36-I37+I38+I39+I40+I35+I31+I32+I33+I34</f>
        <v>0</v>
      </c>
      <c r="J41" s="643">
        <f>J24+J25+J26+J27+J28+J29+J30+J36-J37+J38+J39+J40+J35+J31+J32+J33+J34</f>
        <v>0</v>
      </c>
      <c r="K41" s="644">
        <f>K24+K25+K26+K27+K28+K29+K30+K36-K37+K38+K39+K40+K35+K31+K32+K33+K34</f>
        <v>0</v>
      </c>
      <c r="M41" s="503" t="s">
        <v>316</v>
      </c>
      <c r="N41" s="504"/>
      <c r="O41" s="504"/>
      <c r="P41" s="662">
        <v>0</v>
      </c>
      <c r="Q41" s="656"/>
      <c r="R41" s="643">
        <f>R40+('5. E1 KUSTANNUKSET '!E38+'5. E1 KUSTANNUKSET '!E46)/'2. &amp; 7. T2 TULOSSUUN. '!I33</f>
        <v>0</v>
      </c>
      <c r="S41" s="643">
        <f>S40+('5. E1 KUSTANNUKSET '!F38+'5. E1 KUSTANNUKSET '!F46)/'2. &amp; 7. T2 TULOSSUUN. '!K33</f>
        <v>0</v>
      </c>
      <c r="T41" s="643">
        <f>T40+('5. E1 KUSTANNUKSET '!G38+'5. E1 KUSTANNUKSET '!G46)/'2. &amp; 7. T2 TULOSSUUN. '!M33</f>
        <v>0</v>
      </c>
      <c r="U41" s="644">
        <f>U40+('5. E1 KUSTANNUKSET '!H38+'5. E1 KUSTANNUKSET '!H46)/'2. &amp; 7. T2 TULOSSUUN. '!O33</f>
        <v>0</v>
      </c>
    </row>
    <row r="42" spans="2:23" ht="12.75" customHeight="1" thickBot="1">
      <c r="B42" s="344">
        <f t="shared" si="4"/>
        <v>26</v>
      </c>
      <c r="C42" s="457" t="s">
        <v>469</v>
      </c>
      <c r="D42" s="457"/>
      <c r="E42" s="458"/>
      <c r="F42" s="738"/>
      <c r="G42" s="738"/>
      <c r="H42" s="739">
        <f>H21-H41</f>
        <v>0</v>
      </c>
      <c r="I42" s="739">
        <f>I21-I41</f>
        <v>0</v>
      </c>
      <c r="J42" s="739">
        <f>J21-J41</f>
        <v>0</v>
      </c>
      <c r="K42" s="740">
        <f>K21-K41</f>
        <v>0</v>
      </c>
      <c r="M42" s="509" t="s">
        <v>423</v>
      </c>
      <c r="P42" s="769">
        <f>IF('2. &amp; 7. T2 TULOSSUUN. '!E14=0,0,1.77*100*F15/'2. &amp; 7. T2 TULOSSUUN. '!E14+14.14*P27+0.54*P35)</f>
        <v>0</v>
      </c>
      <c r="Q42" s="769">
        <f>IF('2. &amp; 7. T2 TULOSSUUN. '!G14=0,0,1.77*100*G15/'2. &amp; 7. T2 TULOSSUUN. '!G14+14.14*Q27+0.54*Q35)</f>
        <v>0</v>
      </c>
      <c r="R42" s="769">
        <f>IF('2. &amp; 7. T2 TULOSSUUN. '!I14=0,0,1.77*100*H15/'2. &amp; 7. T2 TULOSSUUN. '!I14+14.14*R27+0.54*R35)</f>
        <v>0</v>
      </c>
      <c r="S42" s="769">
        <f>IF('2. &amp; 7. T2 TULOSSUUN. '!K14=0,0,1.77*100*I15/'2. &amp; 7. T2 TULOSSUUN. '!K14+14.14*S27+0.54*S35)</f>
        <v>0</v>
      </c>
      <c r="T42" s="769">
        <f>IF('2. &amp; 7. T2 TULOSSUUN. '!M14=0,0,1.77*100*J15/'2. &amp; 7. T2 TULOSSUUN. '!M14+14.14*T27+0.54*T35)</f>
        <v>0</v>
      </c>
      <c r="U42" s="1051">
        <f>IF('2. &amp; 7. T2 TULOSSUUN. '!O14=0,0,1.77*100*K15/'2. &amp; 7. T2 TULOSSUUN. '!O14+14.14*U27+0.54*U35)</f>
        <v>0</v>
      </c>
    </row>
    <row r="43" spans="2:23" ht="12.75" customHeight="1" thickBot="1">
      <c r="B43" s="196">
        <f t="shared" si="4"/>
        <v>27</v>
      </c>
      <c r="C43" s="360" t="s">
        <v>116</v>
      </c>
      <c r="D43" s="453">
        <v>0</v>
      </c>
      <c r="E43" s="361"/>
      <c r="F43" s="741">
        <f>'3. T3 TASE '!F49</f>
        <v>0</v>
      </c>
      <c r="G43" s="741">
        <f>'3. T3 TASE '!G49</f>
        <v>0</v>
      </c>
      <c r="H43" s="741">
        <f>H42+G43</f>
        <v>0</v>
      </c>
      <c r="I43" s="741">
        <f>I42+H43</f>
        <v>0</v>
      </c>
      <c r="J43" s="741">
        <f>J42+I43</f>
        <v>0</v>
      </c>
      <c r="K43" s="742">
        <f>K42+J43</f>
        <v>0</v>
      </c>
      <c r="M43" s="1964" t="s">
        <v>666</v>
      </c>
      <c r="N43" s="1965"/>
      <c r="O43" s="1966"/>
      <c r="P43" s="652">
        <f>IF('2. &amp; 7. T2 TULOSSUUN. '!E14=0,0,IF(P42&gt;28,"Hyvä",IF(P42&lt;18,"Heikko","Tyydyttävä")))</f>
        <v>0</v>
      </c>
      <c r="Q43" s="652">
        <f>IF('2. &amp; 7. T2 TULOSSUUN. '!G14=0,0,IF(Q42&gt;28,"Hyvä",IF(Q42&lt;18,"Heikko","Tyydyttävä")))</f>
        <v>0</v>
      </c>
      <c r="R43" s="652">
        <f>IF('2. &amp; 7. T2 TULOSSUUN. '!I14=0,0,IF(R42&gt;28,"Hyvä",IF(R42&lt;18,"Heikko","Tyydyttävä")))</f>
        <v>0</v>
      </c>
      <c r="S43" s="652">
        <f>IF('2. &amp; 7. T2 TULOSSUUN. '!K14=0,0,IF(S42&gt;28,"Hyvä",IF(S42&lt;18,"Heikko","Tyydyttävä")))</f>
        <v>0</v>
      </c>
      <c r="T43" s="652">
        <f>IF('2. &amp; 7. T2 TULOSSUUN. '!M14=0,0,IF(T42&gt;28,"Hyvä",IF(T42&lt;18,"Heikko","Tyydyttävä")))</f>
        <v>0</v>
      </c>
      <c r="U43" s="1034">
        <f>IF('2. &amp; 7. T2 TULOSSUUN. '!O14=0,0,IF(U42&gt;28,"Hyvä",IF(U42&lt;18,"Heikko","Tyydyttävä")))</f>
        <v>0</v>
      </c>
    </row>
    <row r="44" spans="2:23" ht="16.95" customHeight="1" thickBot="1">
      <c r="B44" s="81"/>
      <c r="C44" s="1997" t="s">
        <v>417</v>
      </c>
      <c r="D44" s="1997"/>
      <c r="E44" s="1998"/>
      <c r="F44" s="1049">
        <v>0</v>
      </c>
      <c r="G44" s="1049">
        <f>IF('5. E1 KUSTANNUKSET '!D45=0,0,G43/'5. E1 KUSTANNUKSET '!D45*365)</f>
        <v>0</v>
      </c>
      <c r="H44" s="1049">
        <f>IF('5. E1 KUSTANNUKSET '!F45=0,0,H43/'5. E1 KUSTANNUKSET '!F45*365)</f>
        <v>0</v>
      </c>
      <c r="I44" s="1049">
        <f>IF('5. E1 KUSTANNUKSET '!H45=0,0,I43/'5. E1 KUSTANNUKSET '!H45*365)</f>
        <v>0</v>
      </c>
      <c r="J44" s="1049">
        <f>IF('5. E1 KUSTANNUKSET '!J45=0,0,J43/'5. E1 KUSTANNUKSET '!J45*365)</f>
        <v>0</v>
      </c>
      <c r="K44" s="1050">
        <f>IF('5. E1 KUSTANNUKSET '!L45=0,0,K43/'5. E1 KUSTANNUKSET '!L45*365)</f>
        <v>0</v>
      </c>
      <c r="M44" s="358" t="s">
        <v>543</v>
      </c>
      <c r="N44" s="362"/>
      <c r="O44" s="362"/>
      <c r="P44" s="1249">
        <f>'8. T4 RAHOITUSSUUN. '!F11</f>
        <v>2023</v>
      </c>
      <c r="Q44" s="1249">
        <f>'8. T4 RAHOITUSSUUN. '!G11</f>
        <v>2024</v>
      </c>
      <c r="R44" s="1249">
        <f>'8. T4 RAHOITUSSUUN. '!H11</f>
        <v>2025</v>
      </c>
      <c r="S44" s="1249">
        <f>'8. T4 RAHOITUSSUUN. '!I11</f>
        <v>2026</v>
      </c>
      <c r="T44" s="1249">
        <f>'8. T4 RAHOITUSSUUN. '!J11</f>
        <v>2027</v>
      </c>
      <c r="U44" s="1250">
        <f>'8. T4 RAHOITUSSUUN. '!K11</f>
        <v>2028</v>
      </c>
    </row>
    <row r="45" spans="2:23" ht="13.2" customHeight="1" thickBot="1">
      <c r="B45" s="245"/>
      <c r="C45" s="51"/>
      <c r="D45" s="51"/>
      <c r="E45" s="51"/>
      <c r="F45" s="51"/>
      <c r="G45" s="278"/>
      <c r="H45" s="353"/>
      <c r="I45" s="353"/>
      <c r="J45" s="353"/>
      <c r="K45" s="353"/>
      <c r="L45" s="2"/>
      <c r="M45" s="501" t="s">
        <v>285</v>
      </c>
      <c r="N45" s="318"/>
      <c r="O45" s="318"/>
      <c r="P45" s="643">
        <f>'3. T3 TASE '!F98</f>
        <v>0</v>
      </c>
      <c r="Q45" s="643">
        <f>'3. T3 TASE '!G98</f>
        <v>0</v>
      </c>
      <c r="R45" s="643">
        <f>'3. T3 TASE '!H98</f>
        <v>0</v>
      </c>
      <c r="S45" s="643">
        <f>'3. T3 TASE '!I98</f>
        <v>0</v>
      </c>
      <c r="T45" s="643">
        <f>'3. T3 TASE '!J98</f>
        <v>0</v>
      </c>
      <c r="U45" s="644">
        <f>'3. T3 TASE '!K98</f>
        <v>0</v>
      </c>
    </row>
    <row r="46" spans="2:23" ht="12.75" customHeight="1">
      <c r="B46" s="1999" t="s">
        <v>347</v>
      </c>
      <c r="C46" s="2000"/>
      <c r="D46" s="2000"/>
      <c r="E46" s="2001"/>
      <c r="F46" s="1245" t="str">
        <f t="shared" ref="F46:K46" si="6">F10</f>
        <v>Tot. tilikausi</v>
      </c>
      <c r="G46" s="1245" t="str">
        <f t="shared" si="6"/>
        <v>Tot. tilikausi</v>
      </c>
      <c r="H46" s="1246" t="str">
        <f t="shared" si="6"/>
        <v>Ennuste 1</v>
      </c>
      <c r="I46" s="1246" t="str">
        <f t="shared" si="6"/>
        <v>Ennuste 2</v>
      </c>
      <c r="J46" s="1246" t="str">
        <f t="shared" si="6"/>
        <v>Ennuste 3</v>
      </c>
      <c r="K46" s="1247" t="str">
        <f t="shared" si="6"/>
        <v>Ennuste 4</v>
      </c>
      <c r="M46" s="503" t="s">
        <v>450</v>
      </c>
      <c r="N46" s="319"/>
      <c r="O46" s="319"/>
      <c r="P46" s="643">
        <f>-('3. T3 TASE '!F67+'3. T3 TASE '!F75)</f>
        <v>0</v>
      </c>
      <c r="Q46" s="643">
        <f>-('3. T3 TASE '!G67+'3. T3 TASE '!G75)</f>
        <v>0</v>
      </c>
      <c r="R46" s="643">
        <f>-('3. T3 TASE '!H67+'3. T3 TASE '!H75)</f>
        <v>0</v>
      </c>
      <c r="S46" s="643">
        <f>-('3. T3 TASE '!I67+'3. T3 TASE '!I75)</f>
        <v>0</v>
      </c>
      <c r="T46" s="643">
        <f>-('3. T3 TASE '!J67+'3. T3 TASE '!J75)</f>
        <v>0</v>
      </c>
      <c r="U46" s="644">
        <f>-('3. T3 TASE '!K67+'3. T3 TASE '!K75)</f>
        <v>0</v>
      </c>
    </row>
    <row r="47" spans="2:23" ht="12.75" customHeight="1">
      <c r="B47" s="2002"/>
      <c r="C47" s="2003"/>
      <c r="D47" s="2003"/>
      <c r="E47" s="2004"/>
      <c r="F47" s="1248">
        <f t="shared" ref="F47:K47" si="7">F11</f>
        <v>2023</v>
      </c>
      <c r="G47" s="1248">
        <f t="shared" si="7"/>
        <v>2024</v>
      </c>
      <c r="H47" s="1239">
        <f t="shared" si="7"/>
        <v>2025</v>
      </c>
      <c r="I47" s="1239">
        <f t="shared" si="7"/>
        <v>2026</v>
      </c>
      <c r="J47" s="1239">
        <f t="shared" si="7"/>
        <v>2027</v>
      </c>
      <c r="K47" s="1240">
        <f t="shared" si="7"/>
        <v>2028</v>
      </c>
      <c r="M47" s="503" t="s">
        <v>451</v>
      </c>
      <c r="N47" s="504"/>
      <c r="O47" s="504"/>
      <c r="P47" s="663">
        <v>0</v>
      </c>
      <c r="Q47" s="663">
        <v>0</v>
      </c>
      <c r="R47" s="663">
        <v>0</v>
      </c>
      <c r="S47" s="663">
        <v>0</v>
      </c>
      <c r="T47" s="663">
        <v>0</v>
      </c>
      <c r="U47" s="664">
        <v>0</v>
      </c>
    </row>
    <row r="48" spans="2:23" ht="12.75" customHeight="1" thickBot="1">
      <c r="B48" s="2005"/>
      <c r="C48" s="2006"/>
      <c r="D48" s="2006"/>
      <c r="E48" s="2007"/>
      <c r="F48" s="1243" t="s">
        <v>17</v>
      </c>
      <c r="G48" s="1243" t="s">
        <v>17</v>
      </c>
      <c r="H48" s="1243" t="str">
        <f>G48</f>
        <v>Euroa</v>
      </c>
      <c r="I48" s="1243" t="str">
        <f>H48</f>
        <v>Euroa</v>
      </c>
      <c r="J48" s="1243" t="str">
        <f>I48</f>
        <v>Euroa</v>
      </c>
      <c r="K48" s="1244" t="str">
        <f>J48</f>
        <v>Euroa</v>
      </c>
      <c r="M48" s="503" t="s">
        <v>452</v>
      </c>
      <c r="N48" s="504"/>
      <c r="O48" s="504"/>
      <c r="P48" s="663">
        <v>0</v>
      </c>
      <c r="Q48" s="663">
        <v>0</v>
      </c>
      <c r="R48" s="663">
        <v>0</v>
      </c>
      <c r="S48" s="663">
        <v>0</v>
      </c>
      <c r="T48" s="663">
        <v>0</v>
      </c>
      <c r="U48" s="664">
        <v>0</v>
      </c>
    </row>
    <row r="49" spans="1:30" ht="12.75" customHeight="1">
      <c r="B49" s="196">
        <v>28</v>
      </c>
      <c r="C49" s="1847" t="s">
        <v>117</v>
      </c>
      <c r="D49" s="1847"/>
      <c r="E49" s="1662" t="s">
        <v>89</v>
      </c>
      <c r="F49" s="665">
        <f>'3. T3 TASE '!F39</f>
        <v>0</v>
      </c>
      <c r="G49" s="665">
        <f>'3. T3 TASE '!G39</f>
        <v>0</v>
      </c>
      <c r="H49" s="665">
        <f>IF('2. &amp; 7. T2 TULOSSUUN. '!I15=0,0,'2. &amp; 7. T2 TULOSSUUN. '!I11*'8. T4 RAHOITUSSUUN. '!H50)</f>
        <v>0</v>
      </c>
      <c r="I49" s="1639">
        <f>IF('2. &amp; 7. T2 TULOSSUUN. '!K15=0,0,'2. &amp; 7. T2 TULOSSUUN. '!K11*'8. T4 RAHOITUSSUUN. '!I50)</f>
        <v>0</v>
      </c>
      <c r="J49" s="1676">
        <f>IF('2. &amp; 7. T2 TULOSSUUN. '!M15=0,0,'2. &amp; 7. T2 TULOSSUUN. '!M11*'8. T4 RAHOITUSSUUN. '!J50)</f>
        <v>0</v>
      </c>
      <c r="K49" s="1677">
        <f>IF('2. &amp; 7. T2 TULOSSUUN. '!O15=0,0,'2. &amp; 7. T2 TULOSSUUN. '!O11*'8. T4 RAHOITUSSUUN. '!K50)</f>
        <v>0</v>
      </c>
      <c r="M49" s="503" t="s">
        <v>284</v>
      </c>
      <c r="N49" s="319"/>
      <c r="O49" s="319"/>
      <c r="P49" s="665">
        <f t="shared" ref="P49:U49" si="8">P45+P46-P47-P48</f>
        <v>0</v>
      </c>
      <c r="Q49" s="665">
        <f t="shared" si="8"/>
        <v>0</v>
      </c>
      <c r="R49" s="665">
        <f t="shared" si="8"/>
        <v>0</v>
      </c>
      <c r="S49" s="665">
        <f t="shared" si="8"/>
        <v>0</v>
      </c>
      <c r="T49" s="665">
        <f t="shared" si="8"/>
        <v>0</v>
      </c>
      <c r="U49" s="666">
        <f t="shared" si="8"/>
        <v>0</v>
      </c>
    </row>
    <row r="50" spans="1:30" ht="12.75" customHeight="1">
      <c r="B50" s="196"/>
      <c r="C50" s="1994" t="s">
        <v>616</v>
      </c>
      <c r="D50" s="1995"/>
      <c r="E50" s="763"/>
      <c r="F50" s="954">
        <f>IF('2. &amp; 7. T2 TULOSSUUN. '!E11=0,0,F49/'2. &amp; 7. T2 TULOSSUUN. '!E11)</f>
        <v>0</v>
      </c>
      <c r="G50" s="954">
        <f>IF('2. &amp; 7. T2 TULOSSUUN. '!G11=0,0,G49/'2. &amp; 7. T2 TULOSSUUN. '!G11)</f>
        <v>0</v>
      </c>
      <c r="H50" s="1018">
        <f>G50</f>
        <v>0</v>
      </c>
      <c r="I50" s="1641">
        <f t="shared" ref="I50:K50" si="9">H50</f>
        <v>0</v>
      </c>
      <c r="J50" s="1641">
        <f>I50</f>
        <v>0</v>
      </c>
      <c r="K50" s="1642">
        <f t="shared" si="9"/>
        <v>0</v>
      </c>
      <c r="M50" s="497" t="s">
        <v>411</v>
      </c>
      <c r="N50" s="498"/>
      <c r="O50" s="498"/>
      <c r="P50" s="656"/>
      <c r="Q50" s="656"/>
      <c r="R50" s="663">
        <f>IF(8%*Q49&lt;0,0,8%*Q49)</f>
        <v>0</v>
      </c>
      <c r="S50" s="663">
        <f>IF(8%*R49&lt;0,0,8%*R49)</f>
        <v>0</v>
      </c>
      <c r="T50" s="663">
        <f>IF(8%*S49&lt;0,0,8%*S49)</f>
        <v>0</v>
      </c>
      <c r="U50" s="664">
        <f>IF(8%*T49&lt;0,0,8%*T49)</f>
        <v>0</v>
      </c>
    </row>
    <row r="51" spans="1:30" ht="12.75" customHeight="1">
      <c r="B51" s="196">
        <v>29</v>
      </c>
      <c r="C51" s="1996" t="s">
        <v>140</v>
      </c>
      <c r="D51" s="1996"/>
      <c r="E51" s="1663" t="s">
        <v>89</v>
      </c>
      <c r="F51" s="643">
        <f>'3. T3 TASE '!F42</f>
        <v>0</v>
      </c>
      <c r="G51" s="643">
        <f>'3. T3 TASE '!G42</f>
        <v>0</v>
      </c>
      <c r="H51" s="643">
        <f>H52*'2. &amp; 7. T2 TULOSSUUN. '!I11/365</f>
        <v>0</v>
      </c>
      <c r="I51" s="643">
        <f>I52*'2. &amp; 7. T2 TULOSSUUN. '!K11/365</f>
        <v>0</v>
      </c>
      <c r="J51" s="643">
        <f>J52*'2. &amp; 7. T2 TULOSSUUN. '!M11/365</f>
        <v>0</v>
      </c>
      <c r="K51" s="944">
        <f>K52*'2. &amp; 7. T2 TULOSSUUN. '!O11/365</f>
        <v>0</v>
      </c>
      <c r="L51" s="764"/>
      <c r="M51" s="1967" t="s">
        <v>410</v>
      </c>
      <c r="N51" s="1968"/>
      <c r="O51" s="1969"/>
      <c r="P51" s="662"/>
      <c r="Q51" s="662">
        <v>0</v>
      </c>
      <c r="R51" s="1029">
        <f>IF(R50=0,0,R50/Q49)</f>
        <v>0</v>
      </c>
      <c r="S51" s="1029">
        <f>IF(S50=0,0,S50/R49)</f>
        <v>0</v>
      </c>
      <c r="T51" s="1029">
        <f>IF(T50=0,0,T50/S49)</f>
        <v>0</v>
      </c>
      <c r="U51" s="1030">
        <f>IF(U50=0,0,U50/T49)</f>
        <v>0</v>
      </c>
    </row>
    <row r="52" spans="1:30" ht="12.75" customHeight="1">
      <c r="B52" s="196"/>
      <c r="C52" s="1994" t="s">
        <v>281</v>
      </c>
      <c r="D52" s="1995"/>
      <c r="E52" s="762"/>
      <c r="F52" s="1023">
        <f>IF('2. &amp; 7. T2 TULOSSUUN. '!E11=0,0,365*F51/'2. &amp; 7. T2 TULOSSUUN. '!E11)</f>
        <v>0</v>
      </c>
      <c r="G52" s="1023">
        <f>IF('2. &amp; 7. T2 TULOSSUUN. '!G11=0,0,365*G51/'2. &amp; 7. T2 TULOSSUUN. '!G11)</f>
        <v>0</v>
      </c>
      <c r="H52" s="1024">
        <f>G52</f>
        <v>0</v>
      </c>
      <c r="I52" s="1024">
        <f>H52</f>
        <v>0</v>
      </c>
      <c r="J52" s="1024">
        <f>I52</f>
        <v>0</v>
      </c>
      <c r="K52" s="1025">
        <f>J52</f>
        <v>0</v>
      </c>
      <c r="L52" s="764"/>
      <c r="M52" s="1970" t="s">
        <v>560</v>
      </c>
      <c r="N52" s="1971"/>
      <c r="O52" s="1972"/>
      <c r="P52" s="662"/>
      <c r="Q52" s="662">
        <v>0</v>
      </c>
      <c r="R52" s="1029">
        <f>IF(R50=0,0,R50/'2. &amp; 7. T2 TULOSSUUN. '!I31)</f>
        <v>0</v>
      </c>
      <c r="S52" s="1029">
        <f>IF(S50=0,0,S50/'2. &amp; 7. T2 TULOSSUUN. '!K31)</f>
        <v>0</v>
      </c>
      <c r="T52" s="1029">
        <f>IF(T50=0,0,T50/'2. &amp; 7. T2 TULOSSUUN. '!M31)</f>
        <v>0</v>
      </c>
      <c r="U52" s="1030">
        <f>IF(U50=0,0,U50/'2. &amp; 7. T2 TULOSSUUN. '!O31)</f>
        <v>0</v>
      </c>
    </row>
    <row r="53" spans="1:30" ht="12.75" customHeight="1">
      <c r="B53" s="196">
        <v>30</v>
      </c>
      <c r="C53" s="1996" t="s">
        <v>278</v>
      </c>
      <c r="D53" s="1996"/>
      <c r="E53" s="1663" t="s">
        <v>89</v>
      </c>
      <c r="F53" s="643">
        <f>'3. T3 TASE '!F46+'3. T3 TASE '!F47</f>
        <v>0</v>
      </c>
      <c r="G53" s="643">
        <f>'3. T3 TASE '!G46+'3. T3 TASE '!G47</f>
        <v>0</v>
      </c>
      <c r="H53" s="643">
        <f>'3. T3 TASE '!H46+'3. T3 TASE '!H47</f>
        <v>0</v>
      </c>
      <c r="I53" s="643">
        <f>'3. T3 TASE '!I46+'3. T3 TASE '!I47</f>
        <v>0</v>
      </c>
      <c r="J53" s="643">
        <f>'3. T3 TASE '!J46+'3. T3 TASE '!J47</f>
        <v>0</v>
      </c>
      <c r="K53" s="644">
        <f>'3. T3 TASE '!K46+'3. T3 TASE '!K47</f>
        <v>0</v>
      </c>
      <c r="M53" s="1657"/>
      <c r="N53" s="167"/>
      <c r="O53" s="167"/>
      <c r="P53" s="167"/>
      <c r="Q53" s="167"/>
      <c r="R53" s="167"/>
      <c r="S53" s="167"/>
      <c r="T53" s="167"/>
      <c r="U53" s="1658"/>
    </row>
    <row r="54" spans="1:30" ht="12.75" customHeight="1">
      <c r="B54" s="196">
        <v>31</v>
      </c>
      <c r="C54" s="1996" t="s">
        <v>141</v>
      </c>
      <c r="D54" s="1996"/>
      <c r="E54" s="1663" t="s">
        <v>89</v>
      </c>
      <c r="F54" s="643">
        <f>'3. T3 TASE '!F44</f>
        <v>0</v>
      </c>
      <c r="G54" s="643">
        <f>'3. T3 TASE '!G44</f>
        <v>0</v>
      </c>
      <c r="H54" s="643">
        <f>H55*'2. &amp; 7. T2 TULOSSUUN. '!I11</f>
        <v>0</v>
      </c>
      <c r="I54" s="643">
        <f>I55*'2. &amp; 7. T2 TULOSSUUN. '!K11</f>
        <v>0</v>
      </c>
      <c r="J54" s="643">
        <f>J55*'2. &amp; 7. T2 TULOSSUUN. '!M11</f>
        <v>0</v>
      </c>
      <c r="K54" s="644">
        <f>K55*'2. &amp; 7. T2 TULOSSUUN. '!O11</f>
        <v>0</v>
      </c>
      <c r="M54" s="1657"/>
      <c r="N54" s="167"/>
      <c r="O54" s="167">
        <v>0</v>
      </c>
      <c r="P54" s="167"/>
      <c r="Q54" s="167"/>
      <c r="R54" s="167"/>
      <c r="S54" s="167"/>
      <c r="T54" s="167"/>
      <c r="U54" s="1658"/>
    </row>
    <row r="55" spans="1:30" ht="12.75" customHeight="1">
      <c r="B55" s="196"/>
      <c r="C55" s="1994" t="s">
        <v>441</v>
      </c>
      <c r="D55" s="1995"/>
      <c r="E55" s="762"/>
      <c r="F55" s="954">
        <f>IF('2. &amp; 7. T2 TULOSSUUN. '!E11=0,0,F54/'2. &amp; 7. T2 TULOSSUUN. '!E11)</f>
        <v>0</v>
      </c>
      <c r="G55" s="954">
        <f>IF('2. &amp; 7. T2 TULOSSUUN. '!G11=0,0,G54/'2. &amp; 7. T2 TULOSSUUN. '!G11)</f>
        <v>0</v>
      </c>
      <c r="H55" s="1018">
        <f>G55</f>
        <v>0</v>
      </c>
      <c r="I55" s="1018">
        <f>H55</f>
        <v>0</v>
      </c>
      <c r="J55" s="1018">
        <f>I55</f>
        <v>0</v>
      </c>
      <c r="K55" s="1020">
        <f>J55</f>
        <v>0</v>
      </c>
      <c r="M55" s="1657"/>
      <c r="N55" s="167"/>
      <c r="O55" s="167"/>
      <c r="P55" s="167"/>
      <c r="Q55" s="167"/>
      <c r="R55" s="167"/>
      <c r="S55" s="167"/>
      <c r="T55" s="167"/>
      <c r="U55" s="1658"/>
    </row>
    <row r="56" spans="1:30" ht="12.75" customHeight="1">
      <c r="B56" s="196">
        <v>32</v>
      </c>
      <c r="C56" s="1832" t="s">
        <v>142</v>
      </c>
      <c r="D56" s="1832"/>
      <c r="E56" s="1664" t="s">
        <v>418</v>
      </c>
      <c r="F56" s="643">
        <f>'3. T3 TASE '!F81</f>
        <v>0</v>
      </c>
      <c r="G56" s="643">
        <f>'3. T3 TASE '!G81</f>
        <v>0</v>
      </c>
      <c r="H56" s="643">
        <f>IF('2. &amp; 7. T2 TULOSSUUN. '!I11=0,0,-H57*('2. &amp; 7. T2 TULOSSUUN. '!I15+'2. &amp; 7. T2 TULOSSUUN. '!I16+'2. &amp; 7. T2 TULOSSUUN. '!I18)/365)</f>
        <v>0</v>
      </c>
      <c r="I56" s="643">
        <f>IF('2. &amp; 7. T2 TULOSSUUN. '!K11=0,0,-I57*('2. &amp; 7. T2 TULOSSUUN. '!K15+'2. &amp; 7. T2 TULOSSUUN. '!K16+'2. &amp; 7. T2 TULOSSUUN. '!K18)/365)</f>
        <v>0</v>
      </c>
      <c r="J56" s="643">
        <f>IF('2. &amp; 7. T2 TULOSSUUN. '!M11=0,0,-J57*('2. &amp; 7. T2 TULOSSUUN. '!M15+'2. &amp; 7. T2 TULOSSUUN. '!M16+'2. &amp; 7. T2 TULOSSUUN. '!M18)/365)</f>
        <v>0</v>
      </c>
      <c r="K56" s="644">
        <f>IF('2. &amp; 7. T2 TULOSSUUN. '!O11=0,0,-K57*('2. &amp; 7. T2 TULOSSUUN. '!O15+'2. &amp; 7. T2 TULOSSUUN. '!O16+'2. &amp; 7. T2 TULOSSUUN. '!O18)/365)</f>
        <v>0</v>
      </c>
      <c r="M56" s="1657"/>
      <c r="N56" s="167"/>
      <c r="O56" s="167"/>
      <c r="P56" s="167"/>
      <c r="Q56" s="167"/>
      <c r="R56" s="167"/>
      <c r="S56" s="167"/>
      <c r="T56" s="167"/>
      <c r="U56" s="1658"/>
    </row>
    <row r="57" spans="1:30" ht="12.75" customHeight="1">
      <c r="B57" s="196"/>
      <c r="C57" s="1994" t="s">
        <v>433</v>
      </c>
      <c r="D57" s="1995"/>
      <c r="E57" s="762"/>
      <c r="F57" s="1023">
        <f>-IF('2. &amp; 7. T2 TULOSSUUN. '!E15+'2. &amp; 7. T2 TULOSSUUN. '!E16+'2. &amp; 7. T2 TULOSSUUN. '!E18=0,0,365*F56/('2. &amp; 7. T2 TULOSSUUN. '!E15+'2. &amp; 7. T2 TULOSSUUN. '!E16+'2. &amp; 7. T2 TULOSSUUN. '!E18))</f>
        <v>0</v>
      </c>
      <c r="G57" s="1023">
        <f>-IF('2. &amp; 7. T2 TULOSSUUN. '!G15+'2. &amp; 7. T2 TULOSSUUN. '!G16+'2. &amp; 7. T2 TULOSSUUN. '!G18=0,0,365*G56/('2. &amp; 7. T2 TULOSSUUN. '!G15+'2. &amp; 7. T2 TULOSSUUN. '!G16+'2. &amp; 7. T2 TULOSSUUN. '!G18))</f>
        <v>0</v>
      </c>
      <c r="H57" s="1024">
        <f>G57</f>
        <v>0</v>
      </c>
      <c r="I57" s="1024">
        <f>H57</f>
        <v>0</v>
      </c>
      <c r="J57" s="1024">
        <f>I57</f>
        <v>0</v>
      </c>
      <c r="K57" s="1025">
        <f>J57</f>
        <v>0</v>
      </c>
      <c r="M57" s="1657"/>
      <c r="N57" s="167"/>
      <c r="O57" s="167"/>
      <c r="P57" s="167"/>
      <c r="Q57" s="167"/>
      <c r="R57" s="167"/>
      <c r="S57" s="167"/>
      <c r="T57" s="167"/>
      <c r="U57" s="1658"/>
    </row>
    <row r="58" spans="1:30" ht="12.75" customHeight="1">
      <c r="B58" s="196">
        <v>33</v>
      </c>
      <c r="C58" s="1832" t="s">
        <v>143</v>
      </c>
      <c r="D58" s="1832"/>
      <c r="E58" s="1664" t="s">
        <v>418</v>
      </c>
      <c r="F58" s="643">
        <f>'3. T3 TASE '!F96</f>
        <v>0</v>
      </c>
      <c r="G58" s="643">
        <f>'3. T3 TASE '!G96</f>
        <v>0</v>
      </c>
      <c r="H58" s="643">
        <f>H59*'2. &amp; 7. T2 TULOSSUUN. '!I11</f>
        <v>0</v>
      </c>
      <c r="I58" s="643">
        <f>I59*'2. &amp; 7. T2 TULOSSUUN. '!K11</f>
        <v>0</v>
      </c>
      <c r="J58" s="643">
        <f>J59*'2. &amp; 7. T2 TULOSSUUN. '!M11</f>
        <v>0</v>
      </c>
      <c r="K58" s="644">
        <f>K59*'2. &amp; 7. T2 TULOSSUUN. '!O11</f>
        <v>0</v>
      </c>
      <c r="M58" s="1657"/>
      <c r="N58" s="167"/>
      <c r="O58" s="167"/>
      <c r="P58" s="167"/>
      <c r="Q58" s="167"/>
      <c r="R58" s="167"/>
      <c r="S58" s="167"/>
      <c r="T58" s="167"/>
      <c r="U58" s="1658"/>
    </row>
    <row r="59" spans="1:30" ht="12.75" customHeight="1">
      <c r="B59" s="196"/>
      <c r="C59" s="1994" t="s">
        <v>440</v>
      </c>
      <c r="D59" s="1995"/>
      <c r="E59" s="762"/>
      <c r="F59" s="1026">
        <f>IF('2. &amp; 7. T2 TULOSSUUN. '!E11=0,0,F58/'2. &amp; 7. T2 TULOSSUUN. '!E11)</f>
        <v>0</v>
      </c>
      <c r="G59" s="1026">
        <f>IF('2. &amp; 7. T2 TULOSSUUN. '!G11=0,0,G58/'2. &amp; 7. T2 TULOSSUUN. '!G11)</f>
        <v>0</v>
      </c>
      <c r="H59" s="1027">
        <f>G59</f>
        <v>0</v>
      </c>
      <c r="I59" s="1027">
        <f>H59</f>
        <v>0</v>
      </c>
      <c r="J59" s="1027">
        <f>I59</f>
        <v>0</v>
      </c>
      <c r="K59" s="1028">
        <f>J59</f>
        <v>0</v>
      </c>
      <c r="M59" s="1657"/>
      <c r="N59" s="167"/>
      <c r="O59" s="167"/>
      <c r="P59" s="167"/>
      <c r="Q59" s="167"/>
      <c r="R59" s="167"/>
      <c r="S59" s="167"/>
      <c r="T59" s="167"/>
      <c r="U59" s="1658"/>
    </row>
    <row r="60" spans="1:30" ht="12.75" customHeight="1">
      <c r="B60" s="196">
        <v>34</v>
      </c>
      <c r="C60" s="1832" t="s">
        <v>144</v>
      </c>
      <c r="D60" s="1832"/>
      <c r="E60" s="507" t="s">
        <v>145</v>
      </c>
      <c r="F60" s="643">
        <f t="shared" ref="F60:K60" si="10">F49+F51+F54-F56-F58+F53</f>
        <v>0</v>
      </c>
      <c r="G60" s="643">
        <f t="shared" si="10"/>
        <v>0</v>
      </c>
      <c r="H60" s="643">
        <f t="shared" si="10"/>
        <v>0</v>
      </c>
      <c r="I60" s="643">
        <f t="shared" si="10"/>
        <v>0</v>
      </c>
      <c r="J60" s="643">
        <f t="shared" si="10"/>
        <v>0</v>
      </c>
      <c r="K60" s="644">
        <f t="shared" si="10"/>
        <v>0</v>
      </c>
      <c r="M60" s="1657"/>
      <c r="N60" s="167"/>
      <c r="O60" s="167"/>
      <c r="P60" s="167"/>
      <c r="Q60" s="167"/>
      <c r="R60" s="167"/>
      <c r="S60" s="167"/>
      <c r="T60" s="167"/>
      <c r="U60" s="1658"/>
    </row>
    <row r="61" spans="1:30" ht="12.75" customHeight="1" thickBot="1">
      <c r="B61" s="344">
        <v>35</v>
      </c>
      <c r="C61" s="1978" t="s">
        <v>119</v>
      </c>
      <c r="D61" s="1978"/>
      <c r="E61" s="1665" t="s">
        <v>96</v>
      </c>
      <c r="F61" s="743"/>
      <c r="G61" s="739">
        <f>G60-F60</f>
        <v>0</v>
      </c>
      <c r="H61" s="739">
        <f>IF(G60=0,0,H60-G60)</f>
        <v>0</v>
      </c>
      <c r="I61" s="739">
        <f>I60-H60</f>
        <v>0</v>
      </c>
      <c r="J61" s="739">
        <f>J60-I60</f>
        <v>0</v>
      </c>
      <c r="K61" s="740">
        <f>K60-J60</f>
        <v>0</v>
      </c>
      <c r="M61" s="1659"/>
      <c r="N61" s="1660"/>
      <c r="O61" s="1660"/>
      <c r="P61" s="1660"/>
      <c r="Q61" s="1660"/>
      <c r="R61" s="1660"/>
      <c r="S61" s="1660"/>
      <c r="T61" s="1660"/>
      <c r="U61" s="1661"/>
    </row>
    <row r="62" spans="1:30" ht="12.75" customHeight="1">
      <c r="A62" s="128"/>
      <c r="B62" s="129"/>
      <c r="C62" s="315"/>
      <c r="D62" s="315"/>
      <c r="E62" s="146"/>
      <c r="F62" s="990"/>
      <c r="G62" s="990"/>
      <c r="H62" s="990"/>
      <c r="I62" s="990"/>
      <c r="J62" s="990"/>
      <c r="K62" s="991"/>
      <c r="L62" s="128"/>
      <c r="M62" s="806"/>
      <c r="N62" s="806"/>
      <c r="O62" s="806"/>
      <c r="P62" s="806"/>
      <c r="Q62" s="806"/>
      <c r="R62" s="806"/>
      <c r="S62" s="806"/>
      <c r="T62" s="806"/>
      <c r="U62" s="806"/>
      <c r="V62" s="128"/>
      <c r="W62" s="128"/>
      <c r="X62" s="128"/>
      <c r="Y62" s="128"/>
      <c r="Z62" s="128"/>
      <c r="AA62" s="128"/>
      <c r="AB62" s="128"/>
      <c r="AC62" s="128"/>
      <c r="AD62" s="128"/>
    </row>
    <row r="63" spans="1:30" ht="12.75" customHeight="1">
      <c r="A63" s="128"/>
      <c r="B63" s="260" t="s">
        <v>342</v>
      </c>
      <c r="C63" s="128"/>
      <c r="D63" s="128"/>
      <c r="E63" s="128"/>
      <c r="F63" s="128"/>
      <c r="G63" s="128"/>
      <c r="H63" s="128"/>
      <c r="I63" s="1830" t="str">
        <f>OHJE!I5</f>
        <v>Yritystulkin tarjoaa</v>
      </c>
      <c r="J63" s="1830"/>
      <c r="K63" s="1830"/>
      <c r="L63" s="128"/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</row>
    <row r="64" spans="1:30" ht="12.75" customHeight="1">
      <c r="A64" s="128"/>
      <c r="B64" s="260" t="str">
        <f>OHJE!G24</f>
        <v>YT22 Toimivan yrityksen tulossuunnitelma</v>
      </c>
      <c r="C64" s="128"/>
      <c r="D64" s="128"/>
      <c r="E64" s="128"/>
      <c r="F64" s="128"/>
      <c r="G64" s="2011" t="str">
        <f>OHJE!H7</f>
        <v>Invest Lapua</v>
      </c>
      <c r="H64" s="2011"/>
      <c r="I64" s="2011"/>
      <c r="J64" s="2011"/>
      <c r="K64" s="2011"/>
      <c r="L64" s="128"/>
      <c r="M64" s="128"/>
      <c r="N64" s="128"/>
      <c r="O64" s="128"/>
      <c r="P64" s="128"/>
      <c r="Q64" s="128"/>
      <c r="R64" s="1977" t="str">
        <f>OHJE!G24</f>
        <v>YT22 Toimivan yrityksen tulossuunnitelma</v>
      </c>
      <c r="S64" s="1977"/>
      <c r="T64" s="1977"/>
      <c r="U64" s="1977"/>
      <c r="V64" s="128"/>
      <c r="W64" s="128"/>
      <c r="X64" s="128"/>
      <c r="Y64" s="128"/>
      <c r="Z64" s="128"/>
      <c r="AA64" s="128"/>
      <c r="AB64" s="128"/>
      <c r="AC64" s="128"/>
      <c r="AD64" s="128"/>
    </row>
    <row r="65" spans="1:30">
      <c r="A65" s="128"/>
      <c r="B65" s="1930"/>
      <c r="C65" s="1930"/>
      <c r="D65" s="1930"/>
      <c r="E65" s="1930"/>
      <c r="F65" s="128"/>
      <c r="G65" s="977"/>
      <c r="H65" s="977"/>
      <c r="I65" s="977"/>
      <c r="J65" s="977"/>
      <c r="K65" s="977"/>
      <c r="L65" s="128"/>
      <c r="M65" s="128"/>
      <c r="N65" s="128"/>
      <c r="O65" s="128"/>
      <c r="P65" s="128"/>
      <c r="Q65" s="128"/>
      <c r="R65" s="128"/>
      <c r="S65" s="128"/>
      <c r="T65" s="128"/>
      <c r="U65" s="1640"/>
      <c r="V65" s="128"/>
      <c r="W65" s="128"/>
      <c r="X65" s="128"/>
      <c r="Y65" s="128"/>
      <c r="Z65" s="128"/>
      <c r="AA65" s="128"/>
      <c r="AB65" s="128"/>
      <c r="AC65" s="128"/>
      <c r="AD65" s="128"/>
    </row>
    <row r="66" spans="1:30">
      <c r="A66" s="128"/>
      <c r="B66" s="134"/>
      <c r="C66" s="128"/>
      <c r="D66" s="128"/>
      <c r="E66" s="128"/>
      <c r="F66" s="128"/>
      <c r="G66" s="128"/>
      <c r="H66" s="128"/>
      <c r="I66" s="128"/>
      <c r="J66" s="128"/>
      <c r="K66" s="128"/>
      <c r="L66" s="128"/>
      <c r="M66" s="1647"/>
      <c r="N66" s="140"/>
      <c r="O66" s="140"/>
      <c r="P66" s="140"/>
      <c r="Q66" s="128"/>
      <c r="R66" s="128"/>
      <c r="S66" s="128"/>
      <c r="T66" s="128"/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</row>
    <row r="67" spans="1:30">
      <c r="A67" s="128"/>
      <c r="B67" s="1648" t="s">
        <v>332</v>
      </c>
      <c r="C67" s="128"/>
      <c r="D67" s="128"/>
      <c r="E67" s="128"/>
      <c r="F67" s="128"/>
      <c r="G67" s="128"/>
      <c r="H67" s="128"/>
      <c r="I67" s="128"/>
      <c r="J67" s="128"/>
      <c r="K67" s="128"/>
      <c r="L67" s="128"/>
      <c r="M67" s="140"/>
      <c r="N67" s="140"/>
      <c r="O67" s="140"/>
      <c r="P67" s="140"/>
      <c r="Q67" s="128"/>
      <c r="R67" s="128"/>
      <c r="S67" s="128"/>
      <c r="T67" s="128"/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</row>
    <row r="68" spans="1:30">
      <c r="A68" s="128"/>
      <c r="B68" s="397" t="s">
        <v>333</v>
      </c>
      <c r="C68" s="128"/>
      <c r="D68" s="128"/>
      <c r="E68" s="128"/>
      <c r="F68" s="128"/>
      <c r="G68" s="128"/>
      <c r="H68" s="128"/>
      <c r="I68" s="128"/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</row>
    <row r="69" spans="1:30">
      <c r="A69" s="128"/>
      <c r="B69" s="397" t="s">
        <v>334</v>
      </c>
      <c r="C69" s="128"/>
      <c r="D69" s="128"/>
      <c r="E69" s="128"/>
      <c r="F69" s="128"/>
      <c r="G69" s="128"/>
      <c r="H69" s="128"/>
      <c r="I69" s="128"/>
      <c r="J69" s="128"/>
      <c r="K69" s="128"/>
      <c r="L69" s="128"/>
      <c r="M69" s="128"/>
      <c r="N69" s="128"/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</row>
    <row r="70" spans="1:30">
      <c r="A70" s="128"/>
      <c r="B70" s="134"/>
      <c r="C70" s="128"/>
      <c r="D70" s="128"/>
      <c r="E70" s="128"/>
      <c r="F70" s="128"/>
      <c r="G70" s="128"/>
      <c r="H70" s="128"/>
      <c r="I70" s="128"/>
      <c r="J70" s="128"/>
      <c r="K70" s="128"/>
      <c r="L70" s="128"/>
      <c r="M70" s="128"/>
      <c r="N70" s="128"/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</row>
    <row r="71" spans="1:30" hidden="1">
      <c r="A71" s="128"/>
      <c r="B71" s="134"/>
      <c r="C71" s="128"/>
      <c r="D71" s="128"/>
      <c r="E71" s="128"/>
      <c r="F71" s="128"/>
      <c r="G71" s="128"/>
      <c r="H71" s="128"/>
      <c r="I71" s="128"/>
      <c r="J71" s="128"/>
      <c r="K71" s="128"/>
      <c r="L71" s="128"/>
      <c r="M71" s="128"/>
      <c r="N71" s="128"/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</row>
    <row r="72" spans="1:30" hidden="1">
      <c r="A72" s="128"/>
      <c r="B72" s="134"/>
      <c r="C72" s="128"/>
      <c r="D72" s="128"/>
      <c r="E72" s="128"/>
      <c r="F72" s="128"/>
      <c r="G72" s="128"/>
      <c r="H72" s="128"/>
      <c r="I72" s="128"/>
      <c r="J72" s="128"/>
      <c r="K72" s="128"/>
      <c r="L72" s="128"/>
      <c r="M72" s="1093" t="s">
        <v>636</v>
      </c>
      <c r="N72" s="130"/>
      <c r="O72" s="130"/>
      <c r="P72" s="1096">
        <f>P11</f>
        <v>2023</v>
      </c>
      <c r="Q72" s="1096">
        <f>Q11</f>
        <v>2024</v>
      </c>
      <c r="R72" s="1105" t="s">
        <v>110</v>
      </c>
      <c r="S72" s="1105" t="s">
        <v>98</v>
      </c>
      <c r="T72" s="1105" t="s">
        <v>100</v>
      </c>
      <c r="U72" s="1105" t="s">
        <v>257</v>
      </c>
      <c r="V72" s="128"/>
      <c r="W72" s="128"/>
      <c r="X72" s="128"/>
      <c r="Y72" s="128"/>
      <c r="Z72" s="128"/>
      <c r="AA72" s="128"/>
      <c r="AB72" s="128"/>
      <c r="AC72" s="128"/>
      <c r="AD72" s="128"/>
    </row>
    <row r="73" spans="1:30" hidden="1">
      <c r="A73" s="128"/>
      <c r="B73" s="134"/>
      <c r="C73" s="128"/>
      <c r="D73" s="128"/>
      <c r="E73" s="128"/>
      <c r="F73" s="128"/>
      <c r="G73" s="128"/>
      <c r="H73" s="128"/>
      <c r="I73" s="128"/>
      <c r="J73" s="128"/>
      <c r="K73" s="128"/>
      <c r="L73" s="128"/>
      <c r="M73" s="1094" t="s">
        <v>637</v>
      </c>
      <c r="N73" s="1094"/>
      <c r="O73" s="1094"/>
      <c r="P73" s="1106"/>
      <c r="Q73" s="1106"/>
      <c r="R73" s="1106"/>
      <c r="S73" s="1106"/>
      <c r="T73" s="1106"/>
      <c r="U73" s="1107"/>
      <c r="V73" s="128"/>
      <c r="W73" s="128"/>
      <c r="X73" s="128"/>
      <c r="Y73" s="128"/>
      <c r="Z73" s="128"/>
      <c r="AA73" s="128"/>
      <c r="AB73" s="128"/>
      <c r="AC73" s="128"/>
      <c r="AD73" s="128"/>
    </row>
    <row r="74" spans="1:30" hidden="1">
      <c r="A74" s="128"/>
      <c r="B74" s="134"/>
      <c r="C74" s="128"/>
      <c r="D74" s="128"/>
      <c r="E74" s="128"/>
      <c r="F74" s="128"/>
      <c r="G74" s="128"/>
      <c r="H74" s="128"/>
      <c r="I74" s="128"/>
      <c r="J74" s="128"/>
      <c r="K74" s="128"/>
      <c r="L74" s="128"/>
      <c r="M74" s="1094" t="s">
        <v>638</v>
      </c>
      <c r="N74" s="1094"/>
      <c r="O74" s="1094"/>
      <c r="P74" s="660">
        <f>P20+'2. &amp; 7. T2 TULOSSUUN. '!E24+'2. &amp; 7. T2 TULOSSUUN. '!E25+'2. &amp; 7. T2 TULOSSUUN. '!E27</f>
        <v>0</v>
      </c>
      <c r="Q74" s="660">
        <f>Q20+'2. &amp; 7. T2 TULOSSUUN. '!G24+'2. &amp; 7. T2 TULOSSUUN. '!G25+'2. &amp; 7. T2 TULOSSUUN. '!G27</f>
        <v>0</v>
      </c>
      <c r="R74" s="660">
        <f>R20+'2. &amp; 7. T2 TULOSSUUN. '!I24+'2. &amp; 7. T2 TULOSSUUN. '!I25+'2. &amp; 7. T2 TULOSSUUN. '!I27</f>
        <v>0</v>
      </c>
      <c r="S74" s="660">
        <f>S20+'2. &amp; 7. T2 TULOSSUUN. '!K24+'2. &amp; 7. T2 TULOSSUUN. '!K25+'2. &amp; 7. T2 TULOSSUUN. '!K27</f>
        <v>0</v>
      </c>
      <c r="T74" s="660">
        <f>T20+'2. &amp; 7. T2 TULOSSUUN. '!M24+'2. &amp; 7. T2 TULOSSUUN. '!M25+'2. &amp; 7. T2 TULOSSUUN. '!M27</f>
        <v>0</v>
      </c>
      <c r="U74" s="660">
        <f>U20+'2. &amp; 7. T2 TULOSSUUN. '!O24+'2. &amp; 7. T2 TULOSSUUN. '!O25+'2. &amp; 7. T2 TULOSSUUN. '!O27</f>
        <v>0</v>
      </c>
      <c r="V74" s="128"/>
      <c r="W74" s="128"/>
      <c r="X74" s="128"/>
      <c r="Y74" s="128"/>
      <c r="Z74" s="128"/>
      <c r="AA74" s="128"/>
      <c r="AB74" s="128"/>
      <c r="AC74" s="128"/>
      <c r="AD74" s="128"/>
    </row>
    <row r="75" spans="1:30" hidden="1">
      <c r="A75" s="128"/>
      <c r="B75" s="134"/>
      <c r="C75" s="128"/>
      <c r="D75" s="128"/>
      <c r="E75" s="128"/>
      <c r="F75" s="128"/>
      <c r="G75" s="128"/>
      <c r="H75" s="128"/>
      <c r="I75" s="128"/>
      <c r="J75" s="128"/>
      <c r="K75" s="128"/>
      <c r="L75" s="128"/>
      <c r="M75" s="1094" t="s">
        <v>639</v>
      </c>
      <c r="N75" s="1094"/>
      <c r="O75" s="1094"/>
      <c r="P75" s="660">
        <v>0</v>
      </c>
      <c r="Q75" s="660">
        <f>P76</f>
        <v>0</v>
      </c>
      <c r="R75" s="660">
        <f>Q76</f>
        <v>0</v>
      </c>
      <c r="S75" s="660">
        <f>R76</f>
        <v>0</v>
      </c>
      <c r="T75" s="660">
        <f>S76</f>
        <v>0</v>
      </c>
      <c r="U75" s="660">
        <f>T76</f>
        <v>0</v>
      </c>
      <c r="V75" s="128"/>
      <c r="W75" s="128"/>
      <c r="X75" s="128"/>
      <c r="Y75" s="128"/>
      <c r="Z75" s="128"/>
      <c r="AA75" s="128"/>
      <c r="AB75" s="128"/>
      <c r="AC75" s="128"/>
      <c r="AD75" s="128"/>
    </row>
    <row r="76" spans="1:30" hidden="1">
      <c r="A76" s="128"/>
      <c r="B76" s="134"/>
      <c r="C76" s="128"/>
      <c r="D76" s="128"/>
      <c r="E76" s="128"/>
      <c r="F76" s="128"/>
      <c r="G76" s="128"/>
      <c r="H76" s="128"/>
      <c r="I76" s="128"/>
      <c r="J76" s="128"/>
      <c r="K76" s="128"/>
      <c r="L76" s="128"/>
      <c r="M76" s="1094" t="s">
        <v>640</v>
      </c>
      <c r="N76" s="1094"/>
      <c r="O76" s="1094"/>
      <c r="P76" s="660">
        <f>'3. T3 TASE '!F56</f>
        <v>0</v>
      </c>
      <c r="Q76" s="660">
        <f>'3. T3 TASE '!G56</f>
        <v>0</v>
      </c>
      <c r="R76" s="660">
        <f>'3. T3 TASE '!H56</f>
        <v>0</v>
      </c>
      <c r="S76" s="660">
        <f>'3. T3 TASE '!I56</f>
        <v>0</v>
      </c>
      <c r="T76" s="660">
        <f>'3. T3 TASE '!J56</f>
        <v>0</v>
      </c>
      <c r="U76" s="660">
        <f>'3. T3 TASE '!K56</f>
        <v>0</v>
      </c>
      <c r="V76" s="128"/>
      <c r="W76" s="128"/>
      <c r="X76" s="128"/>
      <c r="Y76" s="128"/>
      <c r="Z76" s="128"/>
      <c r="AA76" s="128"/>
      <c r="AB76" s="128"/>
      <c r="AC76" s="128"/>
      <c r="AD76" s="128"/>
    </row>
    <row r="77" spans="1:30" hidden="1">
      <c r="A77" s="128"/>
      <c r="B77" s="134"/>
      <c r="C77" s="128"/>
      <c r="D77" s="128"/>
      <c r="E77" s="128"/>
      <c r="F77" s="128"/>
      <c r="G77" s="128"/>
      <c r="H77" s="128"/>
      <c r="I77" s="128"/>
      <c r="J77" s="128"/>
      <c r="K77" s="128"/>
      <c r="L77" s="128"/>
      <c r="M77" s="1094" t="s">
        <v>641</v>
      </c>
      <c r="N77" s="1094"/>
      <c r="O77" s="1094"/>
      <c r="P77" s="660">
        <f t="shared" ref="P77:U77" si="11">(P75+P76)/2</f>
        <v>0</v>
      </c>
      <c r="Q77" s="660">
        <f t="shared" si="11"/>
        <v>0</v>
      </c>
      <c r="R77" s="660">
        <f t="shared" si="11"/>
        <v>0</v>
      </c>
      <c r="S77" s="660">
        <f t="shared" si="11"/>
        <v>0</v>
      </c>
      <c r="T77" s="660">
        <f t="shared" si="11"/>
        <v>0</v>
      </c>
      <c r="U77" s="660">
        <f t="shared" si="11"/>
        <v>0</v>
      </c>
      <c r="V77" s="128"/>
      <c r="W77" s="128"/>
      <c r="X77" s="128"/>
      <c r="Y77" s="128"/>
      <c r="Z77" s="128"/>
      <c r="AA77" s="128"/>
      <c r="AB77" s="128"/>
      <c r="AC77" s="128"/>
      <c r="AD77" s="128"/>
    </row>
    <row r="78" spans="1:30" hidden="1">
      <c r="A78" s="128"/>
      <c r="B78" s="134"/>
      <c r="C78" s="128"/>
      <c r="D78" s="128"/>
      <c r="E78" s="128"/>
      <c r="F78" s="128"/>
      <c r="G78" s="128"/>
      <c r="H78" s="128"/>
      <c r="I78" s="128"/>
      <c r="J78" s="128"/>
      <c r="K78" s="128"/>
      <c r="L78" s="128"/>
      <c r="M78" s="130"/>
      <c r="N78" s="130"/>
      <c r="O78" s="130"/>
      <c r="P78" s="660"/>
      <c r="Q78" s="660"/>
      <c r="R78" s="660"/>
      <c r="S78" s="660"/>
      <c r="T78" s="660"/>
      <c r="U78" s="660"/>
      <c r="V78" s="128"/>
      <c r="W78" s="128"/>
      <c r="X78" s="128"/>
      <c r="Y78" s="128"/>
      <c r="Z78" s="128"/>
      <c r="AA78" s="128"/>
      <c r="AB78" s="128"/>
      <c r="AC78" s="128"/>
      <c r="AD78" s="128"/>
    </row>
    <row r="79" spans="1:30" hidden="1">
      <c r="A79" s="128"/>
      <c r="B79" s="134"/>
      <c r="C79" s="128"/>
      <c r="D79" s="128"/>
      <c r="E79" s="128"/>
      <c r="F79" s="128"/>
      <c r="G79" s="128"/>
      <c r="H79" s="128"/>
      <c r="I79" s="128"/>
      <c r="J79" s="128"/>
      <c r="K79" s="128"/>
      <c r="L79" s="128"/>
      <c r="M79" s="1094" t="s">
        <v>642</v>
      </c>
      <c r="N79" s="1094"/>
      <c r="O79" s="1094"/>
      <c r="P79" s="660"/>
      <c r="Q79" s="660">
        <f>P80</f>
        <v>0</v>
      </c>
      <c r="R79" s="660">
        <f>Q80</f>
        <v>0</v>
      </c>
      <c r="S79" s="660">
        <f>R80</f>
        <v>0</v>
      </c>
      <c r="T79" s="660">
        <f>S80</f>
        <v>0</v>
      </c>
      <c r="U79" s="660">
        <f>T80</f>
        <v>0</v>
      </c>
      <c r="V79" s="128"/>
      <c r="W79" s="128"/>
      <c r="X79" s="128"/>
      <c r="Y79" s="128"/>
      <c r="Z79" s="128"/>
      <c r="AA79" s="128"/>
      <c r="AB79" s="128"/>
      <c r="AC79" s="128"/>
      <c r="AD79" s="128"/>
    </row>
    <row r="80" spans="1:30" hidden="1">
      <c r="A80" s="128"/>
      <c r="B80" s="134"/>
      <c r="C80" s="128"/>
      <c r="D80" s="128"/>
      <c r="E80" s="128"/>
      <c r="F80" s="128"/>
      <c r="G80" s="128"/>
      <c r="H80" s="128"/>
      <c r="I80" s="128"/>
      <c r="J80" s="128"/>
      <c r="K80" s="128"/>
      <c r="L80" s="128"/>
      <c r="M80" s="1094" t="s">
        <v>643</v>
      </c>
      <c r="N80" s="1094"/>
      <c r="O80" s="1094"/>
      <c r="P80" s="660">
        <f>'3. T3 TASE '!F67+'3. T3 TASE '!F76+'3. T3 TASE '!F79+'3. T3 TASE '!F83</f>
        <v>0</v>
      </c>
      <c r="Q80" s="660">
        <f>'3. T3 TASE '!G67+'3. T3 TASE '!G76+'3. T3 TASE '!G79+'3. T3 TASE '!G83</f>
        <v>0</v>
      </c>
      <c r="R80" s="660">
        <f>'3. T3 TASE '!H67+'3. T3 TASE '!H76+'3. T3 TASE '!H79+'3. T3 TASE '!H83</f>
        <v>0</v>
      </c>
      <c r="S80" s="660">
        <f>'3. T3 TASE '!I67+'3. T3 TASE '!I76+'3. T3 TASE '!I79+'3. T3 TASE '!I83</f>
        <v>0</v>
      </c>
      <c r="T80" s="660">
        <f>'3. T3 TASE '!J67+'3. T3 TASE '!J76+'3. T3 TASE '!J79+'3. T3 TASE '!J83</f>
        <v>0</v>
      </c>
      <c r="U80" s="660">
        <f>'3. T3 TASE '!K67+'3. T3 TASE '!K76+'3. T3 TASE '!K79+'3. T3 TASE '!K83</f>
        <v>0</v>
      </c>
      <c r="V80" s="128"/>
      <c r="W80" s="128"/>
      <c r="X80" s="128"/>
      <c r="Y80" s="128"/>
      <c r="Z80" s="128"/>
      <c r="AA80" s="128"/>
      <c r="AB80" s="128"/>
      <c r="AC80" s="128"/>
      <c r="AD80" s="128"/>
    </row>
    <row r="81" spans="1:30" hidden="1">
      <c r="A81" s="128"/>
      <c r="B81" s="134"/>
      <c r="C81" s="128"/>
      <c r="D81" s="128"/>
      <c r="E81" s="128"/>
      <c r="F81" s="128"/>
      <c r="G81" s="128"/>
      <c r="H81" s="128"/>
      <c r="I81" s="128"/>
      <c r="J81" s="128"/>
      <c r="K81" s="128"/>
      <c r="L81" s="128"/>
      <c r="M81" s="1094" t="s">
        <v>644</v>
      </c>
      <c r="N81" s="1094"/>
      <c r="O81" s="1094"/>
      <c r="P81" s="660">
        <f t="shared" ref="P81:T81" si="12">(P79+P80)/2</f>
        <v>0</v>
      </c>
      <c r="Q81" s="660">
        <f t="shared" si="12"/>
        <v>0</v>
      </c>
      <c r="R81" s="660">
        <f t="shared" si="12"/>
        <v>0</v>
      </c>
      <c r="S81" s="660">
        <f t="shared" si="12"/>
        <v>0</v>
      </c>
      <c r="T81" s="660">
        <f t="shared" si="12"/>
        <v>0</v>
      </c>
      <c r="U81" s="660">
        <f>(U79+U80)/2</f>
        <v>0</v>
      </c>
      <c r="V81" s="128"/>
      <c r="W81" s="128"/>
      <c r="X81" s="128"/>
      <c r="Y81" s="128"/>
      <c r="Z81" s="128"/>
      <c r="AA81" s="128"/>
      <c r="AB81" s="128"/>
      <c r="AC81" s="128"/>
      <c r="AD81" s="128"/>
    </row>
    <row r="82" spans="1:30" hidden="1">
      <c r="A82" s="128"/>
      <c r="B82" s="134"/>
      <c r="C82" s="128"/>
      <c r="D82" s="128"/>
      <c r="E82" s="128"/>
      <c r="F82" s="128"/>
      <c r="G82" s="128"/>
      <c r="H82" s="128"/>
      <c r="I82" s="128"/>
      <c r="J82" s="128"/>
      <c r="K82" s="128"/>
      <c r="L82" s="128"/>
      <c r="M82" s="1108" t="s">
        <v>645</v>
      </c>
      <c r="N82" s="1108"/>
      <c r="O82" s="1109"/>
      <c r="P82" s="756">
        <f t="shared" ref="P82:U82" si="13">IF(P77&lt;0,P81,P77+P81)</f>
        <v>0</v>
      </c>
      <c r="Q82" s="756">
        <f t="shared" si="13"/>
        <v>0</v>
      </c>
      <c r="R82" s="756">
        <f t="shared" si="13"/>
        <v>0</v>
      </c>
      <c r="S82" s="756">
        <f t="shared" si="13"/>
        <v>0</v>
      </c>
      <c r="T82" s="756">
        <f t="shared" si="13"/>
        <v>0</v>
      </c>
      <c r="U82" s="756">
        <f t="shared" si="13"/>
        <v>0</v>
      </c>
      <c r="V82" s="128"/>
      <c r="W82" s="128"/>
      <c r="X82" s="128"/>
      <c r="Y82" s="128"/>
      <c r="Z82" s="128"/>
      <c r="AA82" s="128"/>
      <c r="AB82" s="128"/>
      <c r="AC82" s="128"/>
      <c r="AD82" s="128"/>
    </row>
    <row r="83" spans="1:30" hidden="1">
      <c r="A83" s="128"/>
      <c r="B83" s="134"/>
      <c r="C83" s="128"/>
      <c r="D83" s="128"/>
      <c r="E83" s="128"/>
      <c r="F83" s="128"/>
      <c r="G83" s="128"/>
      <c r="H83" s="128"/>
      <c r="I83" s="128"/>
      <c r="J83" s="128"/>
      <c r="K83" s="128"/>
      <c r="L83" s="128"/>
      <c r="M83" s="128"/>
      <c r="N83" s="128"/>
      <c r="O83" s="128"/>
      <c r="P83" s="1649"/>
      <c r="Q83" s="1649"/>
      <c r="R83" s="1649"/>
      <c r="S83" s="1649"/>
      <c r="T83" s="1649"/>
      <c r="U83" s="1649"/>
      <c r="V83" s="128"/>
      <c r="W83" s="128"/>
      <c r="X83" s="128"/>
      <c r="Y83" s="128"/>
      <c r="Z83" s="128"/>
      <c r="AA83" s="128"/>
      <c r="AB83" s="128"/>
      <c r="AC83" s="128"/>
      <c r="AD83" s="128"/>
    </row>
    <row r="84" spans="1:30" hidden="1">
      <c r="A84" s="128"/>
      <c r="B84" s="134"/>
      <c r="C84" s="128"/>
      <c r="D84" s="128"/>
      <c r="E84" s="128"/>
      <c r="F84" s="128"/>
      <c r="G84" s="128"/>
      <c r="H84" s="128"/>
      <c r="I84" s="128"/>
      <c r="J84" s="128"/>
      <c r="K84" s="128"/>
      <c r="L84" s="128"/>
      <c r="M84" s="1095" t="s">
        <v>646</v>
      </c>
      <c r="N84" s="1650"/>
      <c r="O84" s="1650"/>
      <c r="P84" s="1651"/>
      <c r="Q84" s="1651"/>
      <c r="R84" s="1651"/>
      <c r="S84" s="1651"/>
      <c r="T84" s="1651"/>
      <c r="U84" s="1651"/>
      <c r="V84" s="128"/>
      <c r="W84" s="128"/>
      <c r="X84" s="128"/>
      <c r="Y84" s="128"/>
      <c r="Z84" s="128"/>
      <c r="AA84" s="128"/>
      <c r="AB84" s="128"/>
      <c r="AC84" s="128"/>
      <c r="AD84" s="128"/>
    </row>
    <row r="85" spans="1:30" hidden="1">
      <c r="A85" s="128"/>
      <c r="B85" s="134"/>
      <c r="C85" s="128"/>
      <c r="D85" s="128"/>
      <c r="E85" s="128"/>
      <c r="F85" s="128"/>
      <c r="G85" s="128"/>
      <c r="H85" s="128"/>
      <c r="I85" s="128"/>
      <c r="J85" s="128"/>
      <c r="K85" s="128"/>
      <c r="L85" s="128"/>
      <c r="M85" s="1111" t="s">
        <v>657</v>
      </c>
      <c r="N85" s="1111"/>
      <c r="O85" s="1111"/>
      <c r="P85" s="1652"/>
      <c r="Q85" s="1652"/>
      <c r="R85" s="1652"/>
      <c r="S85" s="1652"/>
      <c r="T85" s="1652"/>
      <c r="U85" s="1652"/>
      <c r="V85" s="128"/>
      <c r="W85" s="128"/>
      <c r="X85" s="128"/>
      <c r="Y85" s="128"/>
      <c r="Z85" s="128"/>
      <c r="AA85" s="128"/>
      <c r="AB85" s="128"/>
      <c r="AC85" s="128"/>
      <c r="AD85" s="128"/>
    </row>
    <row r="86" spans="1:30" hidden="1">
      <c r="A86" s="128"/>
      <c r="B86" s="134"/>
      <c r="C86" s="128"/>
      <c r="D86" s="128"/>
      <c r="E86" s="128"/>
      <c r="F86" s="128"/>
      <c r="G86" s="128"/>
      <c r="H86" s="128"/>
      <c r="I86" s="128"/>
      <c r="J86" s="128"/>
      <c r="K86" s="128"/>
      <c r="L86" s="128"/>
      <c r="M86" s="1653" t="s">
        <v>647</v>
      </c>
      <c r="N86" s="1653"/>
      <c r="O86" s="1654"/>
      <c r="P86" s="660">
        <f>P80-'3. T3 TASE '!F96</f>
        <v>0</v>
      </c>
      <c r="Q86" s="660">
        <f>Q80-'3. T3 TASE '!G96</f>
        <v>0</v>
      </c>
      <c r="R86" s="660">
        <f>R80-'3. T3 TASE '!H96</f>
        <v>0</v>
      </c>
      <c r="S86" s="660">
        <f>S80-'3. T3 TASE '!I96</f>
        <v>0</v>
      </c>
      <c r="T86" s="660">
        <f>T80-'3. T3 TASE '!J96</f>
        <v>0</v>
      </c>
      <c r="U86" s="660">
        <f>U80-'3. T3 TASE '!K96</f>
        <v>0</v>
      </c>
      <c r="V86" s="128"/>
      <c r="W86" s="128"/>
      <c r="X86" s="128"/>
      <c r="Y86" s="128"/>
      <c r="Z86" s="128"/>
      <c r="AA86" s="128"/>
      <c r="AB86" s="128"/>
      <c r="AC86" s="128"/>
      <c r="AD86" s="128"/>
    </row>
    <row r="87" spans="1:30" hidden="1">
      <c r="A87" s="128"/>
      <c r="B87" s="134"/>
      <c r="C87" s="128"/>
      <c r="D87" s="128"/>
      <c r="E87" s="128"/>
      <c r="F87" s="128"/>
      <c r="G87" s="128"/>
      <c r="H87" s="128"/>
      <c r="I87" s="128"/>
      <c r="J87" s="128"/>
      <c r="K87" s="128"/>
      <c r="L87" s="128"/>
      <c r="M87" s="1094" t="s">
        <v>648</v>
      </c>
      <c r="N87" s="1655"/>
      <c r="O87" s="1656"/>
      <c r="P87" s="660">
        <f>'3. T3 TASE '!F48+'3. T3 TASE '!F49</f>
        <v>0</v>
      </c>
      <c r="Q87" s="660">
        <f>'3. T3 TASE '!G48+'3. T3 TASE '!G49</f>
        <v>0</v>
      </c>
      <c r="R87" s="660">
        <f>'3. T3 TASE '!H48+'3. T3 TASE '!H49</f>
        <v>0</v>
      </c>
      <c r="S87" s="660">
        <f>'3. T3 TASE '!I48+'3. T3 TASE '!I49</f>
        <v>0</v>
      </c>
      <c r="T87" s="660">
        <f>'3. T3 TASE '!J48+'3. T3 TASE '!J49</f>
        <v>0</v>
      </c>
      <c r="U87" s="660">
        <f>'3. T3 TASE '!K48+'3. T3 TASE '!K49</f>
        <v>0</v>
      </c>
      <c r="V87" s="128"/>
      <c r="W87" s="128"/>
      <c r="X87" s="128"/>
      <c r="Y87" s="128"/>
      <c r="Z87" s="128"/>
      <c r="AA87" s="128"/>
      <c r="AB87" s="128"/>
      <c r="AC87" s="128"/>
      <c r="AD87" s="128"/>
    </row>
    <row r="88" spans="1:30" hidden="1">
      <c r="A88" s="128"/>
      <c r="B88" s="134"/>
      <c r="C88" s="128"/>
      <c r="D88" s="128"/>
      <c r="E88" s="128"/>
      <c r="F88" s="128"/>
      <c r="G88" s="128"/>
      <c r="H88" s="128"/>
      <c r="I88" s="128"/>
      <c r="J88" s="128"/>
      <c r="K88" s="128"/>
      <c r="L88" s="128"/>
      <c r="M88" s="128"/>
      <c r="N88" s="128"/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</row>
    <row r="89" spans="1:30">
      <c r="A89" s="128"/>
      <c r="B89" s="134"/>
      <c r="C89" s="128"/>
      <c r="D89" s="128"/>
      <c r="E89" s="128"/>
      <c r="F89" s="128"/>
      <c r="G89" s="128"/>
      <c r="H89" s="128"/>
      <c r="I89" s="128"/>
      <c r="J89" s="128"/>
      <c r="K89" s="128"/>
      <c r="L89" s="128"/>
      <c r="M89" s="128"/>
      <c r="N89" s="128"/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</row>
    <row r="90" spans="1:30">
      <c r="A90" s="128"/>
      <c r="B90" s="134"/>
      <c r="C90" s="128"/>
      <c r="D90" s="128"/>
      <c r="E90" s="128"/>
      <c r="F90" s="128"/>
      <c r="G90" s="128"/>
      <c r="H90" s="128"/>
      <c r="I90" s="128"/>
      <c r="J90" s="128"/>
      <c r="K90" s="128"/>
      <c r="L90" s="128"/>
      <c r="M90" s="128"/>
      <c r="N90" s="128"/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</row>
    <row r="91" spans="1:30">
      <c r="A91" s="128"/>
      <c r="B91" s="134"/>
      <c r="C91" s="128"/>
      <c r="D91" s="128"/>
      <c r="E91" s="128"/>
      <c r="F91" s="128"/>
      <c r="G91" s="128"/>
      <c r="H91" s="128"/>
      <c r="I91" s="128"/>
      <c r="J91" s="128"/>
      <c r="K91" s="128"/>
      <c r="L91" s="128"/>
      <c r="M91" s="128"/>
      <c r="N91" s="128"/>
      <c r="O91" s="128"/>
      <c r="P91" s="128"/>
      <c r="Q91" s="128"/>
      <c r="R91" s="128"/>
      <c r="S91" s="128"/>
      <c r="T91" s="128"/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</row>
    <row r="92" spans="1:30">
      <c r="A92" s="128"/>
      <c r="B92" s="134"/>
      <c r="C92" s="128"/>
      <c r="D92" s="128"/>
      <c r="E92" s="128"/>
      <c r="F92" s="128"/>
      <c r="G92" s="128"/>
      <c r="H92" s="128"/>
      <c r="I92" s="128"/>
      <c r="J92" s="128"/>
      <c r="K92" s="128"/>
      <c r="L92" s="128"/>
      <c r="M92" s="128"/>
      <c r="N92" s="128"/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</row>
    <row r="93" spans="1:30">
      <c r="A93" s="128"/>
      <c r="B93" s="134"/>
      <c r="C93" s="128"/>
      <c r="D93" s="128"/>
      <c r="E93" s="128"/>
      <c r="F93" s="128"/>
      <c r="G93" s="128"/>
      <c r="H93" s="128"/>
      <c r="I93" s="128"/>
      <c r="J93" s="128"/>
      <c r="K93" s="128"/>
      <c r="L93" s="128"/>
      <c r="M93" s="128"/>
      <c r="N93" s="128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</row>
  </sheetData>
  <sheetProtection algorithmName="SHA-512" hashValue="1cwNB4hb17Xx8WRdWSw7rUalRtT+jSJDcgRoIK60v4sDLAOaLDIg5KDbxXMOKA8y4qRXPTrBqofuK8rX76I12Q==" saltValue="grK8HbvlBZt15YYiz89srQ==" spinCount="100000" sheet="1" objects="1" scenarios="1" selectLockedCells="1"/>
  <mergeCells count="72">
    <mergeCell ref="B3:C4"/>
    <mergeCell ref="C18:D18"/>
    <mergeCell ref="C24:D24"/>
    <mergeCell ref="C19:D19"/>
    <mergeCell ref="B13:E14"/>
    <mergeCell ref="C17:D17"/>
    <mergeCell ref="C16:D16"/>
    <mergeCell ref="C15:D15"/>
    <mergeCell ref="B8:F8"/>
    <mergeCell ref="B6:F6"/>
    <mergeCell ref="J7:K7"/>
    <mergeCell ref="M8:P8"/>
    <mergeCell ref="G64:K64"/>
    <mergeCell ref="C20:G20"/>
    <mergeCell ref="C26:D26"/>
    <mergeCell ref="C25:D25"/>
    <mergeCell ref="C34:D34"/>
    <mergeCell ref="C33:D33"/>
    <mergeCell ref="C54:D54"/>
    <mergeCell ref="C55:D55"/>
    <mergeCell ref="C38:D38"/>
    <mergeCell ref="C27:D27"/>
    <mergeCell ref="C49:D49"/>
    <mergeCell ref="C40:D40"/>
    <mergeCell ref="C39:D39"/>
    <mergeCell ref="C37:D37"/>
    <mergeCell ref="M6:P6"/>
    <mergeCell ref="M4:N4"/>
    <mergeCell ref="R5:U5"/>
    <mergeCell ref="R6:U6"/>
    <mergeCell ref="H5:K5"/>
    <mergeCell ref="H6:K6"/>
    <mergeCell ref="B65:E65"/>
    <mergeCell ref="R64:U64"/>
    <mergeCell ref="C61:D61"/>
    <mergeCell ref="M10:O11"/>
    <mergeCell ref="B10:E12"/>
    <mergeCell ref="C56:D56"/>
    <mergeCell ref="C57:D57"/>
    <mergeCell ref="C58:D58"/>
    <mergeCell ref="C59:D59"/>
    <mergeCell ref="C60:D60"/>
    <mergeCell ref="C51:D51"/>
    <mergeCell ref="C52:D52"/>
    <mergeCell ref="C53:D53"/>
    <mergeCell ref="C50:D50"/>
    <mergeCell ref="C44:E44"/>
    <mergeCell ref="B46:E48"/>
    <mergeCell ref="C36:D36"/>
    <mergeCell ref="C35:D35"/>
    <mergeCell ref="M35:O35"/>
    <mergeCell ref="M37:O37"/>
    <mergeCell ref="C28:D28"/>
    <mergeCell ref="C29:D29"/>
    <mergeCell ref="C30:D30"/>
    <mergeCell ref="M36:O36"/>
    <mergeCell ref="M33:O33"/>
    <mergeCell ref="M30:O30"/>
    <mergeCell ref="M28:O28"/>
    <mergeCell ref="M29:O29"/>
    <mergeCell ref="M31:O31"/>
    <mergeCell ref="M32:O32"/>
    <mergeCell ref="I63:K63"/>
    <mergeCell ref="M16:O16"/>
    <mergeCell ref="M19:O19"/>
    <mergeCell ref="M21:O21"/>
    <mergeCell ref="M25:O25"/>
    <mergeCell ref="M27:O27"/>
    <mergeCell ref="M22:O22"/>
    <mergeCell ref="M43:O43"/>
    <mergeCell ref="M51:O51"/>
    <mergeCell ref="M52:O52"/>
  </mergeCells>
  <conditionalFormatting sqref="P22:U22">
    <cfRule type="containsText" dxfId="49" priority="21" operator="containsText" text="Tyydyttävä">
      <formula>NOT(ISERROR(SEARCH("Tyydyttävä",P22)))</formula>
    </cfRule>
    <cfRule type="containsText" dxfId="48" priority="22" operator="containsText" text="Hyvä">
      <formula>NOT(ISERROR(SEARCH("Hyvä",P22)))</formula>
    </cfRule>
    <cfRule type="containsText" dxfId="47" priority="23" operator="containsText" text="Heikko">
      <formula>NOT(ISERROR(SEARCH("Heikko",P22)))</formula>
    </cfRule>
  </conditionalFormatting>
  <conditionalFormatting sqref="P28:U28">
    <cfRule type="containsText" dxfId="46" priority="18" operator="containsText" text="Tyydyttävä">
      <formula>NOT(ISERROR(SEARCH("Tyydyttävä",P28)))</formula>
    </cfRule>
    <cfRule type="containsText" dxfId="45" priority="19" operator="containsText" text="Hyvä">
      <formula>NOT(ISERROR(SEARCH("Hyvä",P28)))</formula>
    </cfRule>
    <cfRule type="containsText" dxfId="44" priority="20" operator="containsText" text="Heikko">
      <formula>NOT(ISERROR(SEARCH("Heikko",P28)))</formula>
    </cfRule>
  </conditionalFormatting>
  <conditionalFormatting sqref="P30:U30">
    <cfRule type="containsText" dxfId="43" priority="15" operator="containsText" text="Hyvä">
      <formula>NOT(ISERROR(SEARCH("Hyvä",P30)))</formula>
    </cfRule>
    <cfRule type="containsText" dxfId="42" priority="16" operator="containsText" text="Tyydyttävä">
      <formula>NOT(ISERROR(SEARCH("Tyydyttävä",P30)))</formula>
    </cfRule>
    <cfRule type="containsText" dxfId="41" priority="17" operator="containsText" text="Heikko">
      <formula>NOT(ISERROR(SEARCH("Heikko",P30)))</formula>
    </cfRule>
  </conditionalFormatting>
  <conditionalFormatting sqref="P36:U36">
    <cfRule type="containsText" dxfId="40" priority="3" operator="containsText" text="Tyydyttävä">
      <formula>NOT(ISERROR(SEARCH("Tyydyttävä",P36)))</formula>
    </cfRule>
    <cfRule type="containsText" dxfId="39" priority="9" operator="containsText" text="Hyvä">
      <formula>NOT(ISERROR(SEARCH("Hyvä",P36)))</formula>
    </cfRule>
    <cfRule type="containsText" dxfId="38" priority="11" operator="containsText" text="Heikko">
      <formula>NOT(ISERROR(SEARCH("Heikko",P36)))</formula>
    </cfRule>
  </conditionalFormatting>
  <conditionalFormatting sqref="P38:U38">
    <cfRule type="containsText" dxfId="37" priority="1" operator="containsText" text="Hyvä">
      <formula>NOT(ISERROR(SEARCH("Hyvä",P38)))</formula>
    </cfRule>
    <cfRule type="containsText" dxfId="36" priority="2" operator="containsText" text="Nettovelaton">
      <formula>NOT(ISERROR(SEARCH("Nettovelaton",P38)))</formula>
    </cfRule>
    <cfRule type="containsText" dxfId="35" priority="5" operator="containsText" text="Heikko">
      <formula>NOT(ISERROR(SEARCH("Heikko",P38)))</formula>
    </cfRule>
  </conditionalFormatting>
  <conditionalFormatting sqref="P43:U43">
    <cfRule type="containsText" dxfId="34" priority="6" operator="containsText" text="Hyvä">
      <formula>NOT(ISERROR(SEARCH("Hyvä",P43)))</formula>
    </cfRule>
    <cfRule type="containsText" dxfId="33" priority="7" operator="containsText" text="Tyydyttävä">
      <formula>NOT(ISERROR(SEARCH("Tyydyttävä",P43)))</formula>
    </cfRule>
    <cfRule type="containsText" dxfId="32" priority="8" operator="containsText" text="Heikko">
      <formula>NOT(ISERROR(SEARCH("Heikko",P43)))</formula>
    </cfRule>
  </conditionalFormatting>
  <conditionalFormatting sqref="Q33:U33">
    <cfRule type="containsText" dxfId="31" priority="12" operator="containsText" text="Hyvä">
      <formula>NOT(ISERROR(SEARCH("Hyvä",Q33)))</formula>
    </cfRule>
    <cfRule type="containsText" dxfId="30" priority="13" operator="containsText" text="Tyydyttävä">
      <formula>NOT(ISERROR(SEARCH("Tyydyttävä",Q33)))</formula>
    </cfRule>
    <cfRule type="containsText" dxfId="29" priority="14" operator="containsText" text="Heikko">
      <formula>NOT(ISERROR(SEARCH("Heikko",Q33)))</formula>
    </cfRule>
  </conditionalFormatting>
  <printOptions horizontalCentered="1"/>
  <pageMargins left="0.25" right="0.25" top="0.75" bottom="0.75" header="0.3" footer="0.3"/>
  <pageSetup paperSize="9" scale="90" orientation="portrait" verticalDpi="4" r:id="rId1"/>
  <colBreaks count="1" manualBreakCount="1">
    <brk id="11" min="1" max="63" man="1"/>
  </colBreaks>
  <ignoredErrors>
    <ignoredError sqref="H39:K39" unlockedFormula="1"/>
    <ignoredError sqref="H49" 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15</vt:i4>
      </vt:variant>
      <vt:variant>
        <vt:lpstr>Nimetyt alueet</vt:lpstr>
      </vt:variant>
      <vt:variant>
        <vt:i4>27</vt:i4>
      </vt:variant>
    </vt:vector>
  </HeadingPairs>
  <TitlesOfParts>
    <vt:vector size="42" baseType="lpstr">
      <vt:lpstr>OHJE</vt:lpstr>
      <vt:lpstr>1. T1 INVESTOINTISUUN.</vt:lpstr>
      <vt:lpstr>2. &amp; 7. T2 TULOSSUUN. </vt:lpstr>
      <vt:lpstr>Kaavio</vt:lpstr>
      <vt:lpstr>3. T3 TASE </vt:lpstr>
      <vt:lpstr>4. T7 LAINAT </vt:lpstr>
      <vt:lpstr>5. E1 KUSTANNUKSET </vt:lpstr>
      <vt:lpstr>6. E2 LIIKEVAIHTO </vt:lpstr>
      <vt:lpstr>8. T4 RAHOITUSSUUN. </vt:lpstr>
      <vt:lpstr>AT T5 Kassa</vt:lpstr>
      <vt:lpstr>9. T5 KASSABUDJETTI  </vt:lpstr>
      <vt:lpstr>Tulostussivu</vt:lpstr>
      <vt:lpstr>Päiväkirja</vt:lpstr>
      <vt:lpstr>AT1 Avustus, alv-laskenta </vt:lpstr>
      <vt:lpstr>AT2 Lainat,sotum., alv-osto</vt:lpstr>
      <vt:lpstr>_3_2010</vt:lpstr>
      <vt:lpstr>_3_2012</vt:lpstr>
      <vt:lpstr>'5. E1 KUSTANNUKSET '!Teksti37</vt:lpstr>
      <vt:lpstr>'5. E1 KUSTANNUKSET '!Teksti38</vt:lpstr>
      <vt:lpstr>'5. E1 KUSTANNUKSET '!Teksti39</vt:lpstr>
      <vt:lpstr>'1. T1 INVESTOINTISUUN.'!Tulostusalue</vt:lpstr>
      <vt:lpstr>'2. &amp; 7. T2 TULOSSUUN. '!Tulostusalue</vt:lpstr>
      <vt:lpstr>'3. T3 TASE '!Tulostusalue</vt:lpstr>
      <vt:lpstr>'4. T7 LAINAT '!Tulostusalue</vt:lpstr>
      <vt:lpstr>'5. E1 KUSTANNUKSET '!Tulostusalue</vt:lpstr>
      <vt:lpstr>'6. E2 LIIKEVAIHTO '!Tulostusalue</vt:lpstr>
      <vt:lpstr>'8. T4 RAHOITUSSUUN. '!Tulostusalue</vt:lpstr>
      <vt:lpstr>'9. T5 KASSABUDJETTI  '!Tulostusalue</vt:lpstr>
      <vt:lpstr>OHJE!Tulostusalue</vt:lpstr>
      <vt:lpstr>Tulostussivu!Tulostusalue</vt:lpstr>
      <vt:lpstr>'3. T3 TASE '!Tulostusotsikot</vt:lpstr>
      <vt:lpstr>'5. E1 KUSTANNUKSET '!Tulostusotsikot</vt:lpstr>
      <vt:lpstr>'5. E1 KUSTANNUKSET '!Yritystulkki</vt:lpstr>
      <vt:lpstr>'1. T1 INVESTOINTISUUN.'!YT</vt:lpstr>
      <vt:lpstr>'2. &amp; 7. T2 TULOSSUUN. '!YT</vt:lpstr>
      <vt:lpstr>'3. T3 TASE '!YT</vt:lpstr>
      <vt:lpstr>'4. T7 LAINAT '!YT</vt:lpstr>
      <vt:lpstr>'5. E1 KUSTANNUKSET '!YT</vt:lpstr>
      <vt:lpstr>'6. E2 LIIKEVAIHTO '!YT</vt:lpstr>
      <vt:lpstr>'8. T4 RAHOITUSSUUN. '!YT</vt:lpstr>
      <vt:lpstr>'9. T5 KASSABUDJETTI  '!YT</vt:lpstr>
      <vt:lpstr>Tulostussivu!YT</vt:lpstr>
    </vt:vector>
  </TitlesOfParts>
  <Company>Yritystulkki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YT22 Toimivan yrityksen tulossuunnitelma</dc:title>
  <dc:creator>Yritystulkki</dc:creator>
  <cp:keywords>YT22</cp:keywords>
  <cp:lastModifiedBy>Yritystulkki</cp:lastModifiedBy>
  <cp:lastPrinted>2024-03-05T06:05:48Z</cp:lastPrinted>
  <dcterms:created xsi:type="dcterms:W3CDTF">2006-08-01T10:09:48Z</dcterms:created>
  <dcterms:modified xsi:type="dcterms:W3CDTF">2024-03-05T07:52:48Z</dcterms:modified>
</cp:coreProperties>
</file>