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showInkAnnotation="0" codeName="TämäTyökirja"/>
  <mc:AlternateContent xmlns:mc="http://schemas.openxmlformats.org/markup-compatibility/2006">
    <mc:Choice Requires="x15">
      <x15ac:absPath xmlns:x15ac="http://schemas.microsoft.com/office/spreadsheetml/2010/11/ac" url="C:\Users\Henri\Dropbox\Yritystulkki\Päivitykset 2026\YT22 TOUKO 260521\"/>
    </mc:Choice>
  </mc:AlternateContent>
  <xr:revisionPtr revIDLastSave="0" documentId="13_ncr:1_{02B616AF-5701-4B23-98A4-87A01BABE3FE}" xr6:coauthVersionLast="47" xr6:coauthVersionMax="47" xr10:uidLastSave="{00000000-0000-0000-0000-000000000000}"/>
  <workbookProtection workbookAlgorithmName="SHA-512" workbookHashValue="NkHNdIbqbGbtjYnsIq9xr5g8c7wheif5+gKz2F35tPl2FezR3P4gXJO11Or1D/aPe+RMIOOyTJaZyxwv0AWoKA==" workbookSaltValue="xF8/QSwcncvhJQyB4Ft1+w==" workbookSpinCount="100000" lockStructure="1"/>
  <bookViews>
    <workbookView xWindow="17895" yWindow="0" windowWidth="34605" windowHeight="20985" xr2:uid="{549B42B4-C8C9-462E-B52E-3B01AF4503E1}"/>
  </bookViews>
  <sheets>
    <sheet name="OHJE" sheetId="31" r:id="rId1"/>
    <sheet name="1. T1 INVESTOINTISUUN." sheetId="26" r:id="rId2"/>
    <sheet name="2. &amp; 7. T2 TULOSSUUN. " sheetId="20" r:id="rId3"/>
    <sheet name="Kaavio" sheetId="34" state="hidden" r:id="rId4"/>
    <sheet name="3. T3 TASE " sheetId="32" r:id="rId5"/>
    <sheet name="4. T7 LAINAT " sheetId="28" r:id="rId6"/>
    <sheet name="5. E1 KUSTANNUKSET " sheetId="1" r:id="rId7"/>
    <sheet name="6. E2 LIIKEVAIHTO " sheetId="2" r:id="rId8"/>
    <sheet name="8. T4 RAHOITUSSUUN. " sheetId="27" r:id="rId9"/>
    <sheet name="9. T5 KASSABUDJETTI  " sheetId="30" r:id="rId10"/>
    <sheet name="AT T5 Kassa" sheetId="33" state="hidden" r:id="rId11"/>
    <sheet name="Tulostussivu" sheetId="35" r:id="rId12"/>
    <sheet name="AT1 Avustus, alv-laskenta " sheetId="22" state="hidden" r:id="rId13"/>
    <sheet name="AT2 Lainat,sotum., alv-osto" sheetId="29" state="hidden" r:id="rId14"/>
  </sheets>
  <definedNames>
    <definedName name="_3_2010">'5. E1 KUSTANNUKSET '!$D$8</definedName>
    <definedName name="_3_2012">'5. E1 KUSTANNUKSET '!$H$8</definedName>
    <definedName name="Rahapalkat__TyEL_työntekijät">'5. E1 KUSTANNUKSET '!#REF!</definedName>
    <definedName name="Teksti37" localSheetId="6">'5. E1 KUSTANNUKSET '!$F$6</definedName>
    <definedName name="Teksti38" localSheetId="6">'5. E1 KUSTANNUKSET '!$F$8</definedName>
    <definedName name="Teksti39" localSheetId="6">'5. E1 KUSTANNUKSET '!$H$8</definedName>
    <definedName name="Teksti39">#REF!</definedName>
    <definedName name="_xlnm.Print_Area" localSheetId="1">'1. T1 INVESTOINTISUUN.'!$B$3:$T$67</definedName>
    <definedName name="_xlnm.Print_Area" localSheetId="2">'2. &amp; 7. T2 TULOSSUUN. '!$B$2:$AF$36</definedName>
    <definedName name="_xlnm.Print_Area" localSheetId="4">'3. T3 TASE '!$B$2:$U$99</definedName>
    <definedName name="_xlnm.Print_Area" localSheetId="5">'4. T7 LAINAT '!$B$2:$Q$52</definedName>
    <definedName name="_xlnm.Print_Area" localSheetId="6">'5. E1 KUSTANNUKSET '!$B$2:$AB$128</definedName>
    <definedName name="_xlnm.Print_Area" localSheetId="7">'6. E2 LIIKEVAIHTO '!$B$2:$V$87</definedName>
    <definedName name="_xlnm.Print_Area" localSheetId="8">'8. T4 RAHOITUSSUUN. '!$B$2:$U$64</definedName>
    <definedName name="_xlnm.Print_Area" localSheetId="9">'9. T5 KASSABUDJETTI  '!$B$5:$AL$116</definedName>
    <definedName name="_xlnm.Print_Area" localSheetId="0">OHJE!$A$1:$G$23</definedName>
    <definedName name="_xlnm.Print_Area" localSheetId="11">Tulostussivu!$B$2:$AY$81</definedName>
    <definedName name="_xlnm.Print_Titles" localSheetId="4">'3. T3 TASE '!$2:$7</definedName>
    <definedName name="_xlnm.Print_Titles" localSheetId="6">'5. E1 KUSTANNUKSET '!$2:$10</definedName>
    <definedName name="Yritystulkki" localSheetId="6">'5. E1 KUSTANNUKSET '!$2:$9</definedName>
    <definedName name="YT" localSheetId="1">'1. T1 INVESTOINTISUUN.'!$B$3:$T$68</definedName>
    <definedName name="YT" localSheetId="2">'2. &amp; 7. T2 TULOSSUUN. '!$B$1:$AF$37</definedName>
    <definedName name="YT" localSheetId="4">'3. T3 TASE '!$B$2:$U$100</definedName>
    <definedName name="YT" localSheetId="5">'4. T7 LAINAT '!$B$2:$Q$52</definedName>
    <definedName name="YT" localSheetId="6">'5. E1 KUSTANNUKSET '!$B$2:$AB$128</definedName>
    <definedName name="YT" localSheetId="7">'6. E2 LIIKEVAIHTO '!$B$2:$V$87</definedName>
    <definedName name="YT" localSheetId="8">'8. T4 RAHOITUSSUUN. '!$B$2:$U$65</definedName>
    <definedName name="YT" localSheetId="9">'9. T5 KASSABUDJETTI  '!$B$5:$AL$101</definedName>
    <definedName name="YT" localSheetId="11">Tulostussivu!$B$2:$AY$81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6" i="28" l="1"/>
  <c r="J30" i="28"/>
  <c r="J29" i="28"/>
  <c r="M34" i="28"/>
  <c r="M33" i="28"/>
  <c r="P38" i="28"/>
  <c r="P37" i="28"/>
  <c r="P36" i="28"/>
  <c r="M32" i="28"/>
  <c r="J28" i="28"/>
  <c r="G25" i="28"/>
  <c r="G24" i="28"/>
  <c r="P25" i="28"/>
  <c r="F24" i="28"/>
  <c r="O11" i="28" a="1"/>
  <c r="O11" i="28" s="1"/>
  <c r="F17" i="1"/>
  <c r="F12" i="1"/>
  <c r="U31" i="30" s="1"/>
  <c r="G31" i="30" s="1"/>
  <c r="B105" i="30"/>
  <c r="B106" i="30" s="1"/>
  <c r="B107" i="30" s="1"/>
  <c r="B108" i="30" s="1"/>
  <c r="B109" i="30" s="1"/>
  <c r="B92" i="30"/>
  <c r="B93" i="30" s="1"/>
  <c r="B94" i="30" s="1"/>
  <c r="B95" i="30" s="1"/>
  <c r="B96" i="30" s="1"/>
  <c r="B97" i="30" s="1"/>
  <c r="B98" i="30" s="1"/>
  <c r="B99" i="30" s="1"/>
  <c r="B100" i="30" s="1"/>
  <c r="B49" i="30"/>
  <c r="B50" i="30" s="1"/>
  <c r="B51" i="30" s="1"/>
  <c r="B52" i="30" s="1"/>
  <c r="B53" i="30" s="1"/>
  <c r="B38" i="30"/>
  <c r="B39" i="30" s="1"/>
  <c r="B40" i="30" s="1"/>
  <c r="B41" i="30" s="1"/>
  <c r="B42" i="30" s="1"/>
  <c r="B43" i="30" s="1"/>
  <c r="B44" i="30" s="1"/>
  <c r="U37" i="30"/>
  <c r="F24" i="1"/>
  <c r="J52" i="26"/>
  <c r="C44" i="35"/>
  <c r="C43" i="35"/>
  <c r="H31" i="30" l="1"/>
  <c r="G32" i="30"/>
  <c r="U33" i="30"/>
  <c r="G33" i="30" s="1"/>
  <c r="G35" i="30" s="1"/>
  <c r="N37" i="30"/>
  <c r="Q37" i="30"/>
  <c r="H37" i="30"/>
  <c r="K37" i="30"/>
  <c r="M37" i="30"/>
  <c r="O37" i="30"/>
  <c r="P37" i="30"/>
  <c r="G37" i="30"/>
  <c r="J37" i="30"/>
  <c r="L37" i="30"/>
  <c r="I37" i="30"/>
  <c r="R37" i="30"/>
  <c r="G82" i="30"/>
  <c r="R71" i="30"/>
  <c r="G71" i="30"/>
  <c r="I69" i="30"/>
  <c r="R69" i="30"/>
  <c r="G69" i="30"/>
  <c r="E68" i="30"/>
  <c r="G26" i="30"/>
  <c r="E36" i="26"/>
  <c r="G97" i="30" s="1"/>
  <c r="G41" i="30"/>
  <c r="F18" i="2"/>
  <c r="I31" i="30" l="1"/>
  <c r="H32" i="30"/>
  <c r="H33" i="30"/>
  <c r="S37" i="30"/>
  <c r="T37" i="30" s="1"/>
  <c r="H26" i="1"/>
  <c r="I32" i="30" l="1"/>
  <c r="J31" i="30"/>
  <c r="I33" i="30"/>
  <c r="H35" i="30"/>
  <c r="U108" i="30"/>
  <c r="U52" i="30"/>
  <c r="E20" i="2"/>
  <c r="F20" i="2" s="1"/>
  <c r="E27" i="2"/>
  <c r="E34" i="2"/>
  <c r="E41" i="2"/>
  <c r="E48" i="2"/>
  <c r="E55" i="2"/>
  <c r="E62" i="2"/>
  <c r="E69" i="2"/>
  <c r="E76" i="2"/>
  <c r="E83" i="2"/>
  <c r="J32" i="30" l="1"/>
  <c r="K31" i="30"/>
  <c r="I35" i="30"/>
  <c r="J33" i="30"/>
  <c r="F47" i="1"/>
  <c r="K32" i="30" l="1"/>
  <c r="L31" i="30"/>
  <c r="J35" i="30"/>
  <c r="K33" i="30"/>
  <c r="F48" i="1"/>
  <c r="F66" i="1"/>
  <c r="L32" i="2"/>
  <c r="L25" i="2"/>
  <c r="M25" i="2" s="1"/>
  <c r="N25" i="2" s="1"/>
  <c r="L26" i="2"/>
  <c r="M26" i="2" s="1"/>
  <c r="N26" i="2" s="1"/>
  <c r="L33" i="2"/>
  <c r="M33" i="2" s="1"/>
  <c r="N33" i="2" s="1"/>
  <c r="F50" i="1"/>
  <c r="F57" i="1"/>
  <c r="F60" i="1"/>
  <c r="F58" i="1"/>
  <c r="F61" i="1"/>
  <c r="F65" i="1"/>
  <c r="F67" i="1"/>
  <c r="F75" i="1"/>
  <c r="F77" i="1"/>
  <c r="F80" i="1"/>
  <c r="F84" i="1"/>
  <c r="F109" i="1"/>
  <c r="M31" i="30" l="1"/>
  <c r="N31" i="30"/>
  <c r="L32" i="30"/>
  <c r="K35" i="30"/>
  <c r="L33" i="30"/>
  <c r="H75" i="1"/>
  <c r="F51" i="1"/>
  <c r="F49" i="1"/>
  <c r="L35" i="30" l="1"/>
  <c r="M33" i="30"/>
  <c r="N33" i="30"/>
  <c r="O33" i="30" s="1"/>
  <c r="M32" i="30"/>
  <c r="O31" i="30"/>
  <c r="N32" i="30"/>
  <c r="U42" i="30"/>
  <c r="F120" i="1"/>
  <c r="P33" i="30" l="1"/>
  <c r="Q33" i="30" s="1"/>
  <c r="R33" i="30" s="1"/>
  <c r="S33" i="30" s="1"/>
  <c r="P31" i="30"/>
  <c r="O32" i="30"/>
  <c r="D104" i="1"/>
  <c r="P106" i="1"/>
  <c r="F106" i="1"/>
  <c r="D77" i="29" s="1"/>
  <c r="D78" i="29" s="1"/>
  <c r="P105" i="1"/>
  <c r="Q105" i="1" s="1"/>
  <c r="R105" i="1" s="1"/>
  <c r="F105" i="1"/>
  <c r="D75" i="29" s="1"/>
  <c r="D76" i="29" s="1"/>
  <c r="P32" i="30" l="1"/>
  <c r="Q31" i="30"/>
  <c r="H106" i="1"/>
  <c r="F77" i="29" s="1"/>
  <c r="F78" i="29" s="1"/>
  <c r="H105" i="1"/>
  <c r="F75" i="29" s="1"/>
  <c r="F76" i="29" s="1"/>
  <c r="Q106" i="1"/>
  <c r="R106" i="1" s="1"/>
  <c r="Q32" i="30" l="1"/>
  <c r="R31" i="30"/>
  <c r="J105" i="1"/>
  <c r="J106" i="1"/>
  <c r="H77" i="29" s="1"/>
  <c r="H78" i="29" s="1"/>
  <c r="S31" i="30" l="1"/>
  <c r="T31" i="30" s="1"/>
  <c r="R32" i="30"/>
  <c r="S32" i="30" s="1"/>
  <c r="L105" i="1"/>
  <c r="J75" i="29" s="1"/>
  <c r="J76" i="29" s="1"/>
  <c r="H75" i="29"/>
  <c r="H76" i="29" s="1"/>
  <c r="L106" i="1"/>
  <c r="J77" i="29" s="1"/>
  <c r="J78" i="29" s="1"/>
  <c r="L6" i="35"/>
  <c r="I8" i="35"/>
  <c r="L5" i="35"/>
  <c r="I6" i="35"/>
  <c r="H74" i="30" l="1"/>
  <c r="I74" i="30"/>
  <c r="J74" i="30"/>
  <c r="K74" i="30"/>
  <c r="L74" i="30"/>
  <c r="N74" i="30"/>
  <c r="O74" i="30"/>
  <c r="P74" i="30"/>
  <c r="Q74" i="30"/>
  <c r="R74" i="30"/>
  <c r="G74" i="30"/>
  <c r="G18" i="30"/>
  <c r="H18" i="30"/>
  <c r="I18" i="30"/>
  <c r="J18" i="30"/>
  <c r="K18" i="30"/>
  <c r="L18" i="30"/>
  <c r="N18" i="30"/>
  <c r="O18" i="30"/>
  <c r="P18" i="30"/>
  <c r="Q18" i="30"/>
  <c r="R18" i="30"/>
  <c r="H17" i="30"/>
  <c r="I17" i="30"/>
  <c r="J17" i="30"/>
  <c r="K17" i="30"/>
  <c r="L17" i="30"/>
  <c r="M17" i="30"/>
  <c r="N17" i="30"/>
  <c r="O17" i="30"/>
  <c r="P17" i="30"/>
  <c r="Q17" i="30"/>
  <c r="R17" i="30"/>
  <c r="G17" i="30"/>
  <c r="P124" i="1" l="1"/>
  <c r="Q124" i="1" s="1"/>
  <c r="R124" i="1" s="1"/>
  <c r="P123" i="1"/>
  <c r="Q123" i="1" s="1"/>
  <c r="R123" i="1" s="1"/>
  <c r="P122" i="1"/>
  <c r="Q122" i="1" s="1"/>
  <c r="R122" i="1" s="1"/>
  <c r="P121" i="1"/>
  <c r="Q121" i="1" s="1"/>
  <c r="R121" i="1" s="1"/>
  <c r="P115" i="1"/>
  <c r="P114" i="1"/>
  <c r="P110" i="1"/>
  <c r="P109" i="1"/>
  <c r="H109" i="1" s="1"/>
  <c r="P107" i="1"/>
  <c r="P103" i="1"/>
  <c r="P102" i="1"/>
  <c r="P101" i="1"/>
  <c r="P100" i="1"/>
  <c r="P98" i="1"/>
  <c r="P97" i="1"/>
  <c r="P96" i="1"/>
  <c r="P95" i="1"/>
  <c r="P93" i="1"/>
  <c r="P92" i="1"/>
  <c r="P91" i="1"/>
  <c r="P90" i="1"/>
  <c r="P89" i="1"/>
  <c r="P87" i="1"/>
  <c r="P86" i="1"/>
  <c r="P85" i="1"/>
  <c r="P84" i="1"/>
  <c r="H84" i="1" s="1"/>
  <c r="P82" i="1"/>
  <c r="P81" i="1"/>
  <c r="P80" i="1"/>
  <c r="H80" i="1" s="1"/>
  <c r="P78" i="1"/>
  <c r="P77" i="1"/>
  <c r="H77" i="1" s="1"/>
  <c r="P76" i="1"/>
  <c r="P75" i="1"/>
  <c r="P73" i="1"/>
  <c r="P72" i="1"/>
  <c r="P71" i="1"/>
  <c r="P70" i="1"/>
  <c r="P68" i="1"/>
  <c r="P67" i="1"/>
  <c r="H67" i="1" s="1"/>
  <c r="P66" i="1"/>
  <c r="H66" i="1" s="1"/>
  <c r="P65" i="1"/>
  <c r="H65" i="1" s="1"/>
  <c r="P64" i="1"/>
  <c r="P62" i="1"/>
  <c r="P61" i="1"/>
  <c r="P60" i="1"/>
  <c r="H60" i="1" s="1"/>
  <c r="P59" i="1"/>
  <c r="P58" i="1"/>
  <c r="P57" i="1"/>
  <c r="H57" i="1" s="1"/>
  <c r="P56" i="1"/>
  <c r="P55" i="1"/>
  <c r="P54" i="1"/>
  <c r="P53" i="1"/>
  <c r="P51" i="1"/>
  <c r="P50" i="1"/>
  <c r="H50" i="1" s="1"/>
  <c r="P49" i="1"/>
  <c r="P48" i="1"/>
  <c r="P47" i="1"/>
  <c r="R85" i="27" l="1"/>
  <c r="AC64" i="30"/>
  <c r="W64" i="30"/>
  <c r="S116" i="30"/>
  <c r="S115" i="30"/>
  <c r="F53" i="2"/>
  <c r="F46" i="2"/>
  <c r="F39" i="2"/>
  <c r="F32" i="2"/>
  <c r="G32" i="2" s="1"/>
  <c r="F25" i="2"/>
  <c r="G25" i="2" s="1"/>
  <c r="AI56" i="29" l="1"/>
  <c r="E53" i="29"/>
  <c r="D53" i="29"/>
  <c r="AE53" i="29" s="1"/>
  <c r="C53" i="29"/>
  <c r="E50" i="29"/>
  <c r="D50" i="29"/>
  <c r="AH50" i="29" s="1"/>
  <c r="Q43" i="28" s="1"/>
  <c r="AP65" i="35" s="1"/>
  <c r="C50" i="29"/>
  <c r="K47" i="29"/>
  <c r="E47" i="29"/>
  <c r="M47" i="29" s="1"/>
  <c r="D47" i="29"/>
  <c r="C47" i="29"/>
  <c r="E44" i="29"/>
  <c r="D44" i="29"/>
  <c r="C44" i="29"/>
  <c r="E40" i="29"/>
  <c r="D40" i="29"/>
  <c r="AK40" i="29" s="1"/>
  <c r="F39" i="29"/>
  <c r="F38" i="29"/>
  <c r="AM37" i="29"/>
  <c r="AI36" i="29"/>
  <c r="AK36" i="29" s="1"/>
  <c r="Z36" i="29"/>
  <c r="W36" i="29"/>
  <c r="Y36" i="29" s="1"/>
  <c r="T36" i="29"/>
  <c r="Q36" i="29"/>
  <c r="S36" i="29" s="1"/>
  <c r="O36" i="29"/>
  <c r="N36" i="29"/>
  <c r="AI35" i="29"/>
  <c r="AK35" i="29" s="1"/>
  <c r="AI34" i="29"/>
  <c r="AK34" i="29" s="1"/>
  <c r="AI33" i="29"/>
  <c r="AK33" i="29" s="1"/>
  <c r="AI28" i="29"/>
  <c r="AD27" i="29"/>
  <c r="AJ27" i="29" s="1"/>
  <c r="Z27" i="29"/>
  <c r="K27" i="29"/>
  <c r="K36" i="29" s="1"/>
  <c r="M36" i="29" s="1"/>
  <c r="E27" i="29"/>
  <c r="D27" i="29"/>
  <c r="L27" i="29" s="1"/>
  <c r="C27" i="29"/>
  <c r="B27" i="29"/>
  <c r="B36" i="29" s="1"/>
  <c r="Y26" i="29"/>
  <c r="W26" i="29"/>
  <c r="W35" i="29" s="1"/>
  <c r="Y35" i="29" s="1"/>
  <c r="S26" i="29"/>
  <c r="Q26" i="29"/>
  <c r="Q35" i="29" s="1"/>
  <c r="S35" i="29" s="1"/>
  <c r="M26" i="29"/>
  <c r="K26" i="29"/>
  <c r="E26" i="29"/>
  <c r="D26" i="29"/>
  <c r="L26" i="29" s="1"/>
  <c r="C26" i="29"/>
  <c r="B26" i="29"/>
  <c r="B35" i="29" s="1"/>
  <c r="Y25" i="29"/>
  <c r="W25" i="29"/>
  <c r="S25" i="29"/>
  <c r="Q25" i="29"/>
  <c r="M25" i="29"/>
  <c r="K25" i="29"/>
  <c r="E25" i="29"/>
  <c r="D25" i="29"/>
  <c r="L25" i="29" s="1"/>
  <c r="C25" i="29"/>
  <c r="B25" i="29"/>
  <c r="AC24" i="29"/>
  <c r="AC34" i="29" s="1"/>
  <c r="AE34" i="29" s="1"/>
  <c r="S24" i="29"/>
  <c r="Q24" i="29"/>
  <c r="Q34" i="29" s="1"/>
  <c r="S34" i="29" s="1"/>
  <c r="M24" i="29"/>
  <c r="K24" i="29"/>
  <c r="K34" i="29" s="1"/>
  <c r="M34" i="29" s="1"/>
  <c r="E24" i="29"/>
  <c r="D24" i="29"/>
  <c r="C24" i="29"/>
  <c r="B24" i="29"/>
  <c r="B34" i="29" s="1"/>
  <c r="AC23" i="29"/>
  <c r="S23" i="29"/>
  <c r="R23" i="29"/>
  <c r="X23" i="29" s="1"/>
  <c r="AD23" i="29" s="1"/>
  <c r="AJ23" i="29" s="1"/>
  <c r="Q23" i="29"/>
  <c r="E23" i="29"/>
  <c r="D23" i="29"/>
  <c r="C23" i="29"/>
  <c r="B23" i="29"/>
  <c r="AC22" i="29"/>
  <c r="S22" i="29"/>
  <c r="R22" i="29"/>
  <c r="X22" i="29" s="1"/>
  <c r="AD22" i="29" s="1"/>
  <c r="AJ22" i="29" s="1"/>
  <c r="Q22" i="29"/>
  <c r="E22" i="29"/>
  <c r="D22" i="29"/>
  <c r="C22" i="29"/>
  <c r="B22" i="29"/>
  <c r="AC21" i="29"/>
  <c r="W21" i="29"/>
  <c r="R21" i="29"/>
  <c r="X21" i="29" s="1"/>
  <c r="AD21" i="29" s="1"/>
  <c r="AJ21" i="29" s="1"/>
  <c r="E21" i="29"/>
  <c r="D21" i="29"/>
  <c r="C21" i="29"/>
  <c r="B21" i="29"/>
  <c r="AC20" i="29"/>
  <c r="W20" i="29"/>
  <c r="R20" i="29"/>
  <c r="X20" i="29" s="1"/>
  <c r="AD20" i="29" s="1"/>
  <c r="AJ20" i="29" s="1"/>
  <c r="E20" i="29"/>
  <c r="D20" i="29"/>
  <c r="C20" i="29"/>
  <c r="B20" i="29"/>
  <c r="AC19" i="29"/>
  <c r="W19" i="29"/>
  <c r="R19" i="29"/>
  <c r="X19" i="29" s="1"/>
  <c r="AD19" i="29" s="1"/>
  <c r="AJ19" i="29" s="1"/>
  <c r="E19" i="29"/>
  <c r="D19" i="29"/>
  <c r="C19" i="29"/>
  <c r="B19" i="29"/>
  <c r="AC18" i="29"/>
  <c r="W18" i="29"/>
  <c r="Q18" i="29"/>
  <c r="M18" i="29"/>
  <c r="E18" i="29"/>
  <c r="D18" i="29"/>
  <c r="L18" i="29" s="1"/>
  <c r="C18" i="29"/>
  <c r="B18" i="29"/>
  <c r="AC17" i="29"/>
  <c r="W17" i="29"/>
  <c r="Q17" i="29"/>
  <c r="M17" i="29"/>
  <c r="E17" i="29"/>
  <c r="D17" i="29"/>
  <c r="C17" i="29"/>
  <c r="B17" i="29"/>
  <c r="AC16" i="29"/>
  <c r="AC33" i="29" s="1"/>
  <c r="AE33" i="29" s="1"/>
  <c r="W16" i="29"/>
  <c r="W33" i="29" s="1"/>
  <c r="Y33" i="29" s="1"/>
  <c r="Q16" i="29"/>
  <c r="Q33" i="29" s="1"/>
  <c r="M16" i="29"/>
  <c r="E16" i="29"/>
  <c r="D16" i="29"/>
  <c r="L16" i="29" s="1"/>
  <c r="C16" i="29"/>
  <c r="B16" i="29"/>
  <c r="B33" i="29" s="1"/>
  <c r="AN14" i="29"/>
  <c r="AJ14" i="29"/>
  <c r="AI14" i="29"/>
  <c r="AD14" i="29"/>
  <c r="AC14" i="29"/>
  <c r="W14" i="29"/>
  <c r="Q14" i="29"/>
  <c r="I14" i="29"/>
  <c r="G14" i="29"/>
  <c r="G28" i="29" s="1"/>
  <c r="M13" i="29"/>
  <c r="E13" i="29"/>
  <c r="D13" i="29"/>
  <c r="C13" i="29"/>
  <c r="O13" i="29" s="1"/>
  <c r="B13" i="29"/>
  <c r="M12" i="29"/>
  <c r="E12" i="29"/>
  <c r="D12" i="29"/>
  <c r="C12" i="29"/>
  <c r="O12" i="29" s="1"/>
  <c r="B12" i="29"/>
  <c r="M11" i="29"/>
  <c r="E11" i="29"/>
  <c r="D11" i="29"/>
  <c r="C11" i="29"/>
  <c r="O11" i="29" s="1"/>
  <c r="B11" i="29"/>
  <c r="M10" i="29"/>
  <c r="E10" i="29"/>
  <c r="D10" i="29"/>
  <c r="C10" i="29"/>
  <c r="O10" i="29" s="1"/>
  <c r="B10" i="29"/>
  <c r="M9" i="29"/>
  <c r="E9" i="29"/>
  <c r="D9" i="29"/>
  <c r="C9" i="29"/>
  <c r="B9" i="29"/>
  <c r="M8" i="29"/>
  <c r="E8" i="29"/>
  <c r="D8" i="29"/>
  <c r="C8" i="29"/>
  <c r="O8" i="29" s="1"/>
  <c r="B8" i="29"/>
  <c r="M7" i="29"/>
  <c r="E7" i="29"/>
  <c r="D7" i="29"/>
  <c r="C7" i="29"/>
  <c r="B7" i="29"/>
  <c r="K3" i="29"/>
  <c r="K38" i="29" s="1"/>
  <c r="J61" i="22"/>
  <c r="I61" i="22"/>
  <c r="H61" i="22"/>
  <c r="J52" i="22"/>
  <c r="W51" i="22"/>
  <c r="J49" i="22"/>
  <c r="V47" i="22"/>
  <c r="U47" i="22"/>
  <c r="T47" i="22"/>
  <c r="S47" i="22"/>
  <c r="R47" i="22"/>
  <c r="Q47" i="22"/>
  <c r="P47" i="22"/>
  <c r="O47" i="22"/>
  <c r="N47" i="22"/>
  <c r="M47" i="22"/>
  <c r="L47" i="22"/>
  <c r="J47" i="22"/>
  <c r="J45" i="22"/>
  <c r="F45" i="22"/>
  <c r="E45" i="22"/>
  <c r="D45" i="22"/>
  <c r="C45" i="22"/>
  <c r="W44" i="22"/>
  <c r="W43" i="22"/>
  <c r="C42" i="22"/>
  <c r="B42" i="22"/>
  <c r="J41" i="22"/>
  <c r="F41" i="22"/>
  <c r="E41" i="22"/>
  <c r="D41" i="22"/>
  <c r="C41" i="22"/>
  <c r="B41" i="22"/>
  <c r="A41" i="22"/>
  <c r="J38" i="22"/>
  <c r="F38" i="22"/>
  <c r="E38" i="22"/>
  <c r="D38" i="22"/>
  <c r="C38" i="22"/>
  <c r="B38" i="22"/>
  <c r="J36" i="22"/>
  <c r="C35" i="22"/>
  <c r="B35" i="22"/>
  <c r="J34" i="22"/>
  <c r="F34" i="22"/>
  <c r="E34" i="22"/>
  <c r="D34" i="22"/>
  <c r="C34" i="22"/>
  <c r="B34" i="22"/>
  <c r="A34" i="22"/>
  <c r="F31" i="22"/>
  <c r="E31" i="22"/>
  <c r="D31" i="22"/>
  <c r="C31" i="22"/>
  <c r="B31" i="22"/>
  <c r="J30" i="22"/>
  <c r="I30" i="22"/>
  <c r="F29" i="22"/>
  <c r="E29" i="22"/>
  <c r="D29" i="22"/>
  <c r="C29" i="22"/>
  <c r="F28" i="22"/>
  <c r="F30" i="22" s="1"/>
  <c r="E28" i="22"/>
  <c r="E30" i="22" s="1"/>
  <c r="D28" i="22"/>
  <c r="D30" i="22" s="1"/>
  <c r="C28" i="22"/>
  <c r="B28" i="22"/>
  <c r="A28" i="22"/>
  <c r="F25" i="22"/>
  <c r="E25" i="22"/>
  <c r="D25" i="22"/>
  <c r="C25" i="22"/>
  <c r="I23" i="22"/>
  <c r="H23" i="22"/>
  <c r="C22" i="22"/>
  <c r="B22" i="22"/>
  <c r="J21" i="22"/>
  <c r="I21" i="22"/>
  <c r="H21" i="22"/>
  <c r="F20" i="22"/>
  <c r="E20" i="22"/>
  <c r="D20" i="22"/>
  <c r="D21" i="22" s="1"/>
  <c r="C20" i="22"/>
  <c r="F19" i="22"/>
  <c r="F21" i="22" s="1"/>
  <c r="E19" i="22"/>
  <c r="E21" i="22" s="1"/>
  <c r="D19" i="22"/>
  <c r="C19" i="22"/>
  <c r="B19" i="22"/>
  <c r="A19" i="22"/>
  <c r="J18" i="22"/>
  <c r="I18" i="22"/>
  <c r="H18" i="22"/>
  <c r="V16" i="22"/>
  <c r="U16" i="22"/>
  <c r="T16" i="22"/>
  <c r="S16" i="22"/>
  <c r="R16" i="22"/>
  <c r="Q16" i="22"/>
  <c r="P16" i="22"/>
  <c r="O16" i="22"/>
  <c r="N16" i="22"/>
  <c r="M16" i="22"/>
  <c r="L16" i="22"/>
  <c r="J16" i="22"/>
  <c r="P17" i="22" s="1"/>
  <c r="I16" i="22"/>
  <c r="H16" i="22"/>
  <c r="F16" i="22"/>
  <c r="F17" i="22" s="1"/>
  <c r="E16" i="22"/>
  <c r="D16" i="22"/>
  <c r="C16" i="22"/>
  <c r="F15" i="22"/>
  <c r="E15" i="22"/>
  <c r="D15" i="22"/>
  <c r="C15" i="22"/>
  <c r="B15" i="22"/>
  <c r="A15" i="22"/>
  <c r="J14" i="22"/>
  <c r="I14" i="22"/>
  <c r="H14" i="22"/>
  <c r="H12" i="22"/>
  <c r="F12" i="22"/>
  <c r="E12" i="22"/>
  <c r="D12" i="22"/>
  <c r="C12" i="22"/>
  <c r="B12" i="22"/>
  <c r="J10" i="22"/>
  <c r="I10" i="22"/>
  <c r="H10" i="22"/>
  <c r="F9" i="22"/>
  <c r="E9" i="22"/>
  <c r="D9" i="22"/>
  <c r="C9" i="22"/>
  <c r="B9" i="22"/>
  <c r="F8" i="22"/>
  <c r="F10" i="22" s="1"/>
  <c r="E8" i="22"/>
  <c r="D8" i="22"/>
  <c r="D10" i="22" s="1"/>
  <c r="C8" i="22"/>
  <c r="B8" i="22"/>
  <c r="A8" i="22"/>
  <c r="J7" i="22"/>
  <c r="I7" i="22"/>
  <c r="H7" i="22"/>
  <c r="F6" i="22"/>
  <c r="E6" i="22"/>
  <c r="J5" i="22"/>
  <c r="I5" i="22"/>
  <c r="H5" i="22"/>
  <c r="F5" i="22"/>
  <c r="E5" i="22"/>
  <c r="D5" i="22"/>
  <c r="C5" i="22"/>
  <c r="B5" i="22"/>
  <c r="F4" i="22"/>
  <c r="F7" i="22" s="1"/>
  <c r="K18" i="32" s="1"/>
  <c r="E4" i="22"/>
  <c r="E7" i="22" s="1"/>
  <c r="J18" i="32" s="1"/>
  <c r="D4" i="22"/>
  <c r="C4" i="22"/>
  <c r="H24" i="27" s="1"/>
  <c r="B4" i="22"/>
  <c r="A4" i="22"/>
  <c r="J3" i="22"/>
  <c r="I3" i="22"/>
  <c r="H3" i="22"/>
  <c r="C3" i="22"/>
  <c r="K2" i="22"/>
  <c r="J2" i="22"/>
  <c r="R199" i="35"/>
  <c r="AT112" i="35"/>
  <c r="AY82" i="35"/>
  <c r="AW81" i="35"/>
  <c r="AR81" i="35"/>
  <c r="AK81" i="35"/>
  <c r="AA81" i="35"/>
  <c r="W81" i="35"/>
  <c r="R81" i="35"/>
  <c r="J81" i="35"/>
  <c r="B81" i="35"/>
  <c r="AR80" i="35"/>
  <c r="AA80" i="35"/>
  <c r="R80" i="35"/>
  <c r="B80" i="35"/>
  <c r="R77" i="35"/>
  <c r="D76" i="35"/>
  <c r="F74" i="35"/>
  <c r="D74" i="35"/>
  <c r="O73" i="35"/>
  <c r="N73" i="35"/>
  <c r="M73" i="35"/>
  <c r="L73" i="35"/>
  <c r="K73" i="35"/>
  <c r="J73" i="35"/>
  <c r="I73" i="35"/>
  <c r="H73" i="35"/>
  <c r="G73" i="35"/>
  <c r="F73" i="35"/>
  <c r="E73" i="35"/>
  <c r="D73" i="35"/>
  <c r="AA72" i="35"/>
  <c r="F72" i="35"/>
  <c r="D72" i="35"/>
  <c r="AA70" i="35"/>
  <c r="AA69" i="35"/>
  <c r="F69" i="35"/>
  <c r="D69" i="35"/>
  <c r="AD68" i="35"/>
  <c r="AA68" i="35"/>
  <c r="Y68" i="35"/>
  <c r="X68" i="35"/>
  <c r="W68" i="35"/>
  <c r="V68" i="35"/>
  <c r="N68" i="35"/>
  <c r="L68" i="35"/>
  <c r="J68" i="35"/>
  <c r="H68" i="35"/>
  <c r="F68" i="35"/>
  <c r="D68" i="35"/>
  <c r="AA67" i="35"/>
  <c r="N67" i="35"/>
  <c r="L67" i="35"/>
  <c r="J67" i="35"/>
  <c r="H67" i="35"/>
  <c r="F67" i="35"/>
  <c r="D67" i="35"/>
  <c r="AD66" i="35"/>
  <c r="AC66" i="35"/>
  <c r="AB66" i="35"/>
  <c r="AA66" i="35"/>
  <c r="AD65" i="35"/>
  <c r="AC65" i="35"/>
  <c r="AB65" i="35"/>
  <c r="AA65" i="35"/>
  <c r="F65" i="35"/>
  <c r="D65" i="35"/>
  <c r="AD64" i="35"/>
  <c r="AC64" i="35"/>
  <c r="AB64" i="35"/>
  <c r="AA64" i="35"/>
  <c r="AD63" i="35"/>
  <c r="AC63" i="35"/>
  <c r="AB63" i="35"/>
  <c r="AA63" i="35"/>
  <c r="F63" i="35"/>
  <c r="D63" i="35"/>
  <c r="F62" i="35"/>
  <c r="D62" i="35"/>
  <c r="AA61" i="35"/>
  <c r="F61" i="35"/>
  <c r="D61" i="35"/>
  <c r="F60" i="35"/>
  <c r="D60" i="35"/>
  <c r="AA59" i="35"/>
  <c r="F59" i="35"/>
  <c r="D59" i="35"/>
  <c r="AD58" i="35"/>
  <c r="AC58" i="35"/>
  <c r="AB58" i="35"/>
  <c r="AA58" i="35"/>
  <c r="AD57" i="35"/>
  <c r="AC57" i="35"/>
  <c r="AB57" i="35"/>
  <c r="AA57" i="35"/>
  <c r="N57" i="35"/>
  <c r="L57" i="35"/>
  <c r="J57" i="35"/>
  <c r="H57" i="35"/>
  <c r="F57" i="35"/>
  <c r="D57" i="35"/>
  <c r="AD56" i="35"/>
  <c r="AC56" i="35"/>
  <c r="AB56" i="35"/>
  <c r="AA56" i="35"/>
  <c r="H56" i="35"/>
  <c r="F56" i="35"/>
  <c r="D56" i="35"/>
  <c r="AA55" i="35"/>
  <c r="F55" i="35"/>
  <c r="D55" i="35"/>
  <c r="AD54" i="35"/>
  <c r="AC54" i="35"/>
  <c r="AB54" i="35"/>
  <c r="AA54" i="35"/>
  <c r="N54" i="35"/>
  <c r="L54" i="35"/>
  <c r="J54" i="35"/>
  <c r="H54" i="35"/>
  <c r="F54" i="35"/>
  <c r="D54" i="35"/>
  <c r="AD53" i="35"/>
  <c r="AC53" i="35"/>
  <c r="AB53" i="35"/>
  <c r="AA53" i="35"/>
  <c r="AD52" i="35"/>
  <c r="AC52" i="35"/>
  <c r="AB52" i="35"/>
  <c r="AA52" i="35"/>
  <c r="F52" i="35"/>
  <c r="D52" i="35"/>
  <c r="AA51" i="35"/>
  <c r="Y51" i="35"/>
  <c r="X51" i="35"/>
  <c r="W51" i="35"/>
  <c r="V51" i="35"/>
  <c r="AD50" i="35"/>
  <c r="AC50" i="35"/>
  <c r="AB50" i="35"/>
  <c r="AA50" i="35"/>
  <c r="AD49" i="35"/>
  <c r="AC49" i="35"/>
  <c r="AB49" i="35"/>
  <c r="AA49" i="35"/>
  <c r="AD48" i="35"/>
  <c r="AC48" i="35"/>
  <c r="AB48" i="35"/>
  <c r="AA48" i="35"/>
  <c r="U48" i="35"/>
  <c r="T48" i="35"/>
  <c r="AA47" i="35"/>
  <c r="AF46" i="35"/>
  <c r="AD46" i="35"/>
  <c r="AC46" i="35"/>
  <c r="AB46" i="35"/>
  <c r="AA46" i="35"/>
  <c r="AF45" i="35"/>
  <c r="AD45" i="35"/>
  <c r="AC45" i="35"/>
  <c r="AB45" i="35"/>
  <c r="AA45" i="35"/>
  <c r="G45" i="35"/>
  <c r="F45" i="35"/>
  <c r="E45" i="35"/>
  <c r="D45" i="35"/>
  <c r="C45" i="35"/>
  <c r="AF44" i="35"/>
  <c r="AD44" i="35"/>
  <c r="AC44" i="35"/>
  <c r="AB44" i="35"/>
  <c r="AA44" i="35"/>
  <c r="U44" i="35"/>
  <c r="T44" i="35"/>
  <c r="G44" i="35"/>
  <c r="F44" i="35"/>
  <c r="E44" i="35"/>
  <c r="D44" i="35"/>
  <c r="AA43" i="35"/>
  <c r="G43" i="35"/>
  <c r="F43" i="35"/>
  <c r="E43" i="35"/>
  <c r="D43" i="35"/>
  <c r="AG42" i="35"/>
  <c r="AE42" i="35"/>
  <c r="AA42" i="35"/>
  <c r="U41" i="35"/>
  <c r="T41" i="35"/>
  <c r="G41" i="35"/>
  <c r="F41" i="35"/>
  <c r="E41" i="35"/>
  <c r="D41" i="35"/>
  <c r="AN40" i="35"/>
  <c r="AD40" i="35"/>
  <c r="G40" i="35"/>
  <c r="F40" i="35"/>
  <c r="E40" i="35"/>
  <c r="D40" i="35"/>
  <c r="Y39" i="35"/>
  <c r="X39" i="35"/>
  <c r="W39" i="35"/>
  <c r="V39" i="35"/>
  <c r="R39" i="35"/>
  <c r="AD38" i="35"/>
  <c r="AC38" i="35"/>
  <c r="AA38" i="35"/>
  <c r="U38" i="35"/>
  <c r="T38" i="35"/>
  <c r="G38" i="35"/>
  <c r="F38" i="35"/>
  <c r="E38" i="35"/>
  <c r="D38" i="35"/>
  <c r="U37" i="35"/>
  <c r="T37" i="35"/>
  <c r="G37" i="35"/>
  <c r="F37" i="35"/>
  <c r="E37" i="35"/>
  <c r="D37" i="35"/>
  <c r="AA36" i="35"/>
  <c r="AE35" i="35"/>
  <c r="AD35" i="35"/>
  <c r="AC35" i="35"/>
  <c r="AB35" i="35"/>
  <c r="AA35" i="35"/>
  <c r="Y35" i="35"/>
  <c r="X35" i="35"/>
  <c r="W35" i="35"/>
  <c r="V35" i="35"/>
  <c r="U35" i="35"/>
  <c r="T35" i="35"/>
  <c r="AE34" i="35"/>
  <c r="AD34" i="35"/>
  <c r="AC34" i="35"/>
  <c r="AB34" i="35"/>
  <c r="AA34" i="35"/>
  <c r="AE33" i="35"/>
  <c r="AD33" i="35"/>
  <c r="AC33" i="35"/>
  <c r="AB33" i="35"/>
  <c r="AA33" i="35"/>
  <c r="U33" i="35"/>
  <c r="T33" i="35"/>
  <c r="AE32" i="35"/>
  <c r="AD32" i="35"/>
  <c r="AC32" i="35"/>
  <c r="AB32" i="35"/>
  <c r="AA32" i="35"/>
  <c r="AE31" i="35"/>
  <c r="AD31" i="35"/>
  <c r="AC31" i="35"/>
  <c r="AB31" i="35"/>
  <c r="AA31" i="35"/>
  <c r="U31" i="35"/>
  <c r="T31" i="35"/>
  <c r="I30" i="35"/>
  <c r="AE30" i="35"/>
  <c r="AD30" i="35"/>
  <c r="AC30" i="35"/>
  <c r="AB30" i="35"/>
  <c r="AA30" i="35"/>
  <c r="U30" i="35"/>
  <c r="T30" i="35"/>
  <c r="AE29" i="35"/>
  <c r="AD29" i="35"/>
  <c r="AC29" i="35"/>
  <c r="AB29" i="35"/>
  <c r="AA29" i="35"/>
  <c r="U29" i="35"/>
  <c r="T29" i="35"/>
  <c r="I29" i="35"/>
  <c r="G29" i="35"/>
  <c r="F29" i="35"/>
  <c r="E29" i="35"/>
  <c r="D29" i="35"/>
  <c r="H29" i="35" s="1"/>
  <c r="AP28" i="35"/>
  <c r="AM28" i="35"/>
  <c r="AJ28" i="35"/>
  <c r="AH28" i="35"/>
  <c r="AK28" i="35" s="1"/>
  <c r="AN28" i="35" s="1"/>
  <c r="AG28" i="35"/>
  <c r="AE28" i="35"/>
  <c r="AA28" i="35"/>
  <c r="I28" i="35"/>
  <c r="G28" i="35"/>
  <c r="F28" i="35"/>
  <c r="E28" i="35"/>
  <c r="D28" i="35"/>
  <c r="H28" i="35" s="1"/>
  <c r="G27" i="35"/>
  <c r="F27" i="35"/>
  <c r="E27" i="35"/>
  <c r="D27" i="35"/>
  <c r="AN26" i="35"/>
  <c r="AK26" i="35"/>
  <c r="AH26" i="35"/>
  <c r="AE26" i="35"/>
  <c r="Y26" i="35"/>
  <c r="X26" i="35"/>
  <c r="W26" i="35"/>
  <c r="V26" i="35"/>
  <c r="U26" i="35"/>
  <c r="T26" i="35"/>
  <c r="I26" i="35"/>
  <c r="G26" i="35"/>
  <c r="F26" i="35"/>
  <c r="E26" i="35"/>
  <c r="D26" i="35"/>
  <c r="AD25" i="35"/>
  <c r="U25" i="35"/>
  <c r="G25" i="35"/>
  <c r="F25" i="35"/>
  <c r="E25" i="35"/>
  <c r="D25" i="35"/>
  <c r="I24" i="35"/>
  <c r="G24" i="35"/>
  <c r="F24" i="35"/>
  <c r="E24" i="35"/>
  <c r="D24" i="35"/>
  <c r="U23" i="35"/>
  <c r="T23" i="35"/>
  <c r="I23" i="35"/>
  <c r="G23" i="35"/>
  <c r="F23" i="35"/>
  <c r="E23" i="35"/>
  <c r="D23" i="35"/>
  <c r="U22" i="35"/>
  <c r="T22" i="35"/>
  <c r="G22" i="35"/>
  <c r="F22" i="35"/>
  <c r="E22" i="35"/>
  <c r="D22" i="35"/>
  <c r="U21" i="35"/>
  <c r="T21" i="35"/>
  <c r="I21" i="35"/>
  <c r="G21" i="35"/>
  <c r="F21" i="35"/>
  <c r="E21" i="35"/>
  <c r="D21" i="35"/>
  <c r="Y20" i="35"/>
  <c r="X20" i="35"/>
  <c r="W20" i="35"/>
  <c r="V20" i="35"/>
  <c r="U20" i="35"/>
  <c r="T20" i="35"/>
  <c r="I20" i="35"/>
  <c r="G20" i="35"/>
  <c r="F20" i="35"/>
  <c r="E20" i="35"/>
  <c r="D20" i="35"/>
  <c r="AR19" i="35"/>
  <c r="U19" i="35"/>
  <c r="T19" i="35"/>
  <c r="G19" i="35"/>
  <c r="F19" i="35"/>
  <c r="E19" i="35"/>
  <c r="D19" i="35"/>
  <c r="U18" i="35"/>
  <c r="T18" i="35"/>
  <c r="I18" i="35"/>
  <c r="G18" i="35"/>
  <c r="F18" i="35"/>
  <c r="E18" i="35"/>
  <c r="D18" i="35"/>
  <c r="G17" i="35"/>
  <c r="F17" i="35"/>
  <c r="E17" i="35"/>
  <c r="D17" i="35"/>
  <c r="U16" i="35"/>
  <c r="T16" i="35"/>
  <c r="I16" i="35"/>
  <c r="G16" i="35"/>
  <c r="F16" i="35"/>
  <c r="E16" i="35"/>
  <c r="D16" i="35"/>
  <c r="U14" i="35"/>
  <c r="T14" i="35"/>
  <c r="U13" i="35"/>
  <c r="T13" i="35"/>
  <c r="U12" i="35"/>
  <c r="T12" i="35"/>
  <c r="I12" i="35"/>
  <c r="U11" i="35"/>
  <c r="T11" i="35"/>
  <c r="U10" i="35"/>
  <c r="T10" i="35"/>
  <c r="I10" i="35"/>
  <c r="B10" i="35"/>
  <c r="I9" i="35"/>
  <c r="AR8" i="35"/>
  <c r="U8" i="35"/>
  <c r="T8" i="35"/>
  <c r="B8" i="35"/>
  <c r="AY5" i="35"/>
  <c r="AX5" i="35"/>
  <c r="AW5" i="35"/>
  <c r="AV5" i="35"/>
  <c r="AU5" i="35"/>
  <c r="AT5" i="35"/>
  <c r="AO5" i="35"/>
  <c r="AM5" i="35"/>
  <c r="AK5" i="35"/>
  <c r="AI5" i="35"/>
  <c r="AG5" i="35"/>
  <c r="AE5" i="35"/>
  <c r="U5" i="35"/>
  <c r="U109" i="30"/>
  <c r="G108" i="30"/>
  <c r="S100" i="30"/>
  <c r="G99" i="30"/>
  <c r="S99" i="30" s="1"/>
  <c r="S97" i="30"/>
  <c r="S82" i="30"/>
  <c r="S80" i="30"/>
  <c r="S77" i="30"/>
  <c r="S103" i="30" s="1"/>
  <c r="M60" i="30"/>
  <c r="AF46" i="30" s="1"/>
  <c r="B60" i="30"/>
  <c r="O59" i="30"/>
  <c r="U53" i="30"/>
  <c r="G52" i="30"/>
  <c r="AJ45" i="30"/>
  <c r="S44" i="30"/>
  <c r="G43" i="30"/>
  <c r="S43" i="30" s="1"/>
  <c r="Z41" i="30"/>
  <c r="G30" i="30"/>
  <c r="H30" i="30" s="1"/>
  <c r="K16" i="22"/>
  <c r="BI26" i="30"/>
  <c r="BG26" i="30"/>
  <c r="BB26" i="30"/>
  <c r="AZ26" i="30"/>
  <c r="AU26" i="30"/>
  <c r="AS26" i="30"/>
  <c r="BK25" i="30"/>
  <c r="BN25" i="30" s="1"/>
  <c r="BJ25" i="30"/>
  <c r="BC25" i="30"/>
  <c r="S21" i="30"/>
  <c r="S47" i="30" s="1"/>
  <c r="G21" i="30"/>
  <c r="G47" i="30" s="1"/>
  <c r="H71" i="30"/>
  <c r="H69" i="30"/>
  <c r="G10" i="30"/>
  <c r="H9" i="30"/>
  <c r="AA41" i="30" s="1"/>
  <c r="W7" i="30"/>
  <c r="B7" i="30"/>
  <c r="C2" i="33"/>
  <c r="Q2" i="33" s="1"/>
  <c r="Q94" i="27"/>
  <c r="P94" i="27"/>
  <c r="R64" i="27"/>
  <c r="G64" i="27"/>
  <c r="B64" i="27"/>
  <c r="I63" i="27"/>
  <c r="G59" i="27"/>
  <c r="F59" i="27"/>
  <c r="AE17" i="35" s="1"/>
  <c r="G58" i="27"/>
  <c r="AG16" i="35" s="1"/>
  <c r="F58" i="27"/>
  <c r="AE16" i="35" s="1"/>
  <c r="G56" i="27"/>
  <c r="AG14" i="35" s="1"/>
  <c r="F56" i="27"/>
  <c r="AE14" i="35" s="1"/>
  <c r="G55" i="27"/>
  <c r="AG13" i="35" s="1"/>
  <c r="F55" i="27"/>
  <c r="AE13" i="35" s="1"/>
  <c r="G54" i="27"/>
  <c r="F54" i="27"/>
  <c r="G53" i="27"/>
  <c r="AG11" i="35" s="1"/>
  <c r="F53" i="27"/>
  <c r="AE11" i="35" s="1"/>
  <c r="G51" i="27"/>
  <c r="AG9" i="35" s="1"/>
  <c r="F51" i="27"/>
  <c r="AE9" i="35" s="1"/>
  <c r="G50" i="27"/>
  <c r="F50" i="27"/>
  <c r="AE8" i="35" s="1"/>
  <c r="G49" i="27"/>
  <c r="F49" i="27"/>
  <c r="AE7" i="35" s="1"/>
  <c r="H48" i="27"/>
  <c r="I48" i="27" s="1"/>
  <c r="J48" i="27" s="1"/>
  <c r="K48" i="27" s="1"/>
  <c r="K46" i="27"/>
  <c r="G43" i="27"/>
  <c r="F43" i="27"/>
  <c r="K24" i="27"/>
  <c r="J24" i="27"/>
  <c r="I24" i="27"/>
  <c r="K16" i="27"/>
  <c r="Y55" i="35" s="1"/>
  <c r="J16" i="27"/>
  <c r="X55" i="35" s="1"/>
  <c r="I16" i="27"/>
  <c r="W55" i="35" s="1"/>
  <c r="H16" i="27"/>
  <c r="V55" i="35" s="1"/>
  <c r="P15" i="27"/>
  <c r="Q13" i="27"/>
  <c r="D3" i="34" s="1"/>
  <c r="P13" i="27"/>
  <c r="P14" i="27" s="1"/>
  <c r="D77" i="35" s="1"/>
  <c r="H12" i="27"/>
  <c r="I12" i="27" s="1"/>
  <c r="J12" i="27" s="1"/>
  <c r="K12" i="27" s="1"/>
  <c r="J10" i="27"/>
  <c r="T10" i="27" s="1"/>
  <c r="I10" i="27"/>
  <c r="I46" i="27" s="1"/>
  <c r="H10" i="27"/>
  <c r="H46" i="27" s="1"/>
  <c r="G10" i="27"/>
  <c r="G46" i="27" s="1"/>
  <c r="T8" i="27"/>
  <c r="J8" i="27"/>
  <c r="B8" i="27"/>
  <c r="M8" i="27" s="1"/>
  <c r="F87" i="2"/>
  <c r="G86" i="2"/>
  <c r="F83" i="2"/>
  <c r="L82" i="2"/>
  <c r="M82" i="2" s="1"/>
  <c r="N82" i="2" s="1"/>
  <c r="E82" i="2"/>
  <c r="F82" i="2" s="1"/>
  <c r="F80" i="2" s="1"/>
  <c r="L81" i="2"/>
  <c r="M81" i="2" s="1"/>
  <c r="N81" i="2" s="1"/>
  <c r="F81" i="2"/>
  <c r="G79" i="2"/>
  <c r="H79" i="2" s="1"/>
  <c r="I79" i="2" s="1"/>
  <c r="F76" i="2"/>
  <c r="L75" i="2"/>
  <c r="M75" i="2" s="1"/>
  <c r="N75" i="2" s="1"/>
  <c r="E75" i="2"/>
  <c r="F75" i="2" s="1"/>
  <c r="F73" i="2" s="1"/>
  <c r="L74" i="2"/>
  <c r="M74" i="2" s="1"/>
  <c r="N74" i="2" s="1"/>
  <c r="F74" i="2"/>
  <c r="G72" i="2"/>
  <c r="H72" i="2" s="1"/>
  <c r="I72" i="2" s="1"/>
  <c r="F69" i="2"/>
  <c r="L68" i="2"/>
  <c r="M68" i="2" s="1"/>
  <c r="N68" i="2" s="1"/>
  <c r="E68" i="2"/>
  <c r="F68" i="2" s="1"/>
  <c r="F66" i="2" s="1"/>
  <c r="L67" i="2"/>
  <c r="M67" i="2" s="1"/>
  <c r="N67" i="2" s="1"/>
  <c r="F67" i="2"/>
  <c r="G67" i="2" s="1"/>
  <c r="G65" i="2"/>
  <c r="H65" i="2" s="1"/>
  <c r="I65" i="2" s="1"/>
  <c r="F62" i="2"/>
  <c r="L61" i="2"/>
  <c r="M61" i="2" s="1"/>
  <c r="N61" i="2" s="1"/>
  <c r="E61" i="2"/>
  <c r="F61" i="2" s="1"/>
  <c r="F59" i="2" s="1"/>
  <c r="L60" i="2"/>
  <c r="M60" i="2" s="1"/>
  <c r="N60" i="2" s="1"/>
  <c r="F60" i="2"/>
  <c r="G58" i="2"/>
  <c r="H58" i="2" s="1"/>
  <c r="I58" i="2" s="1"/>
  <c r="F55" i="2"/>
  <c r="G55" i="2" s="1"/>
  <c r="H55" i="2" s="1"/>
  <c r="I55" i="2" s="1"/>
  <c r="L54" i="2"/>
  <c r="M54" i="2" s="1"/>
  <c r="N54" i="2" s="1"/>
  <c r="E54" i="2"/>
  <c r="F54" i="2" s="1"/>
  <c r="L53" i="2"/>
  <c r="G53" i="2" s="1"/>
  <c r="G51" i="2"/>
  <c r="H51" i="2" s="1"/>
  <c r="I51" i="2" s="1"/>
  <c r="F48" i="2"/>
  <c r="G48" i="2" s="1"/>
  <c r="H48" i="2" s="1"/>
  <c r="I48" i="2" s="1"/>
  <c r="L47" i="2"/>
  <c r="M47" i="2" s="1"/>
  <c r="N47" i="2" s="1"/>
  <c r="E47" i="2"/>
  <c r="F47" i="2" s="1"/>
  <c r="F45" i="2" s="1"/>
  <c r="L46" i="2"/>
  <c r="M46" i="2" s="1"/>
  <c r="N46" i="2" s="1"/>
  <c r="I44" i="2"/>
  <c r="H44" i="2"/>
  <c r="G44" i="2"/>
  <c r="F41" i="2"/>
  <c r="G41" i="2" s="1"/>
  <c r="H41" i="2" s="1"/>
  <c r="I41" i="2" s="1"/>
  <c r="M40" i="2"/>
  <c r="N40" i="2" s="1"/>
  <c r="L40" i="2"/>
  <c r="E40" i="2"/>
  <c r="F40" i="2" s="1"/>
  <c r="F38" i="2" s="1"/>
  <c r="L39" i="2"/>
  <c r="G39" i="2" s="1"/>
  <c r="G37" i="2"/>
  <c r="H37" i="2" s="1"/>
  <c r="I37" i="2" s="1"/>
  <c r="F34" i="2"/>
  <c r="G34" i="2" s="1"/>
  <c r="H34" i="2" s="1"/>
  <c r="I34" i="2" s="1"/>
  <c r="E33" i="2"/>
  <c r="F33" i="2" s="1"/>
  <c r="M32" i="2"/>
  <c r="H32" i="2" s="1"/>
  <c r="G30" i="2"/>
  <c r="H30" i="2" s="1"/>
  <c r="I30" i="2" s="1"/>
  <c r="F27" i="2"/>
  <c r="E26" i="2"/>
  <c r="F26" i="2" s="1"/>
  <c r="G23" i="2"/>
  <c r="H23" i="2" s="1"/>
  <c r="I23" i="2" s="1"/>
  <c r="G20" i="2"/>
  <c r="L19" i="2"/>
  <c r="M19" i="2" s="1"/>
  <c r="N19" i="2" s="1"/>
  <c r="E19" i="2"/>
  <c r="L18" i="2"/>
  <c r="G18" i="2" s="1"/>
  <c r="G16" i="2"/>
  <c r="H16" i="2" s="1"/>
  <c r="I16" i="2" s="1"/>
  <c r="E11" i="2"/>
  <c r="E10" i="2"/>
  <c r="F7" i="2"/>
  <c r="F5" i="2"/>
  <c r="B3" i="2"/>
  <c r="K2" i="2"/>
  <c r="F128" i="1"/>
  <c r="B128" i="1"/>
  <c r="B87" i="2" s="1"/>
  <c r="I127" i="1"/>
  <c r="F124" i="1"/>
  <c r="F123" i="1"/>
  <c r="H123" i="1" s="1"/>
  <c r="J123" i="1" s="1"/>
  <c r="L123" i="1" s="1"/>
  <c r="F122" i="1"/>
  <c r="F121" i="1"/>
  <c r="H121" i="1" s="1"/>
  <c r="J121" i="1" s="1"/>
  <c r="L121" i="1" s="1"/>
  <c r="P119" i="1"/>
  <c r="Q119" i="1" s="1"/>
  <c r="R119" i="1" s="1"/>
  <c r="F119" i="1"/>
  <c r="P118" i="1"/>
  <c r="Q118" i="1" s="1"/>
  <c r="R118" i="1" s="1"/>
  <c r="F118" i="1"/>
  <c r="P117" i="1"/>
  <c r="Q117" i="1" s="1"/>
  <c r="R117" i="1" s="1"/>
  <c r="F117" i="1"/>
  <c r="H117" i="1" s="1"/>
  <c r="P116" i="1"/>
  <c r="Q116" i="1" s="1"/>
  <c r="R116" i="1" s="1"/>
  <c r="F116" i="1"/>
  <c r="H116" i="1" s="1"/>
  <c r="J116" i="1" s="1"/>
  <c r="L116" i="1" s="1"/>
  <c r="Q115" i="1"/>
  <c r="R115" i="1" s="1"/>
  <c r="F115" i="1"/>
  <c r="Q114" i="1"/>
  <c r="R114" i="1" s="1"/>
  <c r="F114" i="1"/>
  <c r="H114" i="1" s="1"/>
  <c r="D113" i="1"/>
  <c r="P112" i="1"/>
  <c r="Q112" i="1" s="1"/>
  <c r="R112" i="1" s="1"/>
  <c r="F112" i="1"/>
  <c r="H112" i="1" s="1"/>
  <c r="P111" i="1"/>
  <c r="Q111" i="1" s="1"/>
  <c r="R111" i="1" s="1"/>
  <c r="F111" i="1"/>
  <c r="Q110" i="1"/>
  <c r="R110" i="1" s="1"/>
  <c r="F110" i="1"/>
  <c r="H110" i="1" s="1"/>
  <c r="Q109" i="1"/>
  <c r="R109" i="1" s="1"/>
  <c r="D108" i="1"/>
  <c r="Q107" i="1"/>
  <c r="R107" i="1" s="1"/>
  <c r="F107" i="1"/>
  <c r="H107" i="1" s="1"/>
  <c r="Q103" i="1"/>
  <c r="R103" i="1" s="1"/>
  <c r="F103" i="1"/>
  <c r="H103" i="1" s="1"/>
  <c r="Q102" i="1"/>
  <c r="R102" i="1" s="1"/>
  <c r="F102" i="1"/>
  <c r="H102" i="1" s="1"/>
  <c r="Q101" i="1"/>
  <c r="R101" i="1" s="1"/>
  <c r="F101" i="1"/>
  <c r="H101" i="1" s="1"/>
  <c r="Q100" i="1"/>
  <c r="R100" i="1" s="1"/>
  <c r="F100" i="1"/>
  <c r="D99" i="1"/>
  <c r="Q98" i="1"/>
  <c r="R98" i="1" s="1"/>
  <c r="F98" i="1"/>
  <c r="H98" i="1" s="1"/>
  <c r="Q97" i="1"/>
  <c r="R97" i="1" s="1"/>
  <c r="F97" i="1"/>
  <c r="H97" i="1" s="1"/>
  <c r="Q96" i="1"/>
  <c r="R96" i="1" s="1"/>
  <c r="F96" i="1"/>
  <c r="Q95" i="1"/>
  <c r="R95" i="1" s="1"/>
  <c r="F95" i="1"/>
  <c r="H95" i="1" s="1"/>
  <c r="D94" i="1"/>
  <c r="Q93" i="1"/>
  <c r="R93" i="1" s="1"/>
  <c r="F93" i="1"/>
  <c r="H93" i="1" s="1"/>
  <c r="Q92" i="1"/>
  <c r="R92" i="1" s="1"/>
  <c r="F92" i="1"/>
  <c r="H92" i="1" s="1"/>
  <c r="Q91" i="1"/>
  <c r="R91" i="1" s="1"/>
  <c r="F91" i="1"/>
  <c r="H91" i="1" s="1"/>
  <c r="J91" i="1" s="1"/>
  <c r="Q90" i="1"/>
  <c r="R90" i="1" s="1"/>
  <c r="F90" i="1"/>
  <c r="H90" i="1" s="1"/>
  <c r="Q89" i="1"/>
  <c r="R89" i="1" s="1"/>
  <c r="F89" i="1"/>
  <c r="D88" i="1"/>
  <c r="Q87" i="1"/>
  <c r="R87" i="1" s="1"/>
  <c r="F87" i="1"/>
  <c r="Q86" i="1"/>
  <c r="R86" i="1" s="1"/>
  <c r="F86" i="1"/>
  <c r="H86" i="1" s="1"/>
  <c r="Q85" i="1"/>
  <c r="R85" i="1" s="1"/>
  <c r="F85" i="1"/>
  <c r="H85" i="1" s="1"/>
  <c r="Q84" i="1"/>
  <c r="R84" i="1" s="1"/>
  <c r="D83" i="1"/>
  <c r="Q82" i="1"/>
  <c r="R82" i="1" s="1"/>
  <c r="F82" i="1"/>
  <c r="Q81" i="1"/>
  <c r="R81" i="1" s="1"/>
  <c r="F81" i="1"/>
  <c r="Q80" i="1"/>
  <c r="R80" i="1" s="1"/>
  <c r="D79" i="1"/>
  <c r="Q78" i="1"/>
  <c r="R78" i="1" s="1"/>
  <c r="F78" i="1"/>
  <c r="H78" i="1" s="1"/>
  <c r="Q77" i="1"/>
  <c r="R77" i="1" s="1"/>
  <c r="Q76" i="1"/>
  <c r="R76" i="1" s="1"/>
  <c r="F76" i="1"/>
  <c r="H76" i="1" s="1"/>
  <c r="Q75" i="1"/>
  <c r="R75" i="1" s="1"/>
  <c r="D74" i="1"/>
  <c r="R73" i="1"/>
  <c r="Q73" i="1"/>
  <c r="F73" i="1"/>
  <c r="H73" i="1" s="1"/>
  <c r="J73" i="1" s="1"/>
  <c r="L73" i="1" s="1"/>
  <c r="Q72" i="1"/>
  <c r="R72" i="1" s="1"/>
  <c r="F72" i="1"/>
  <c r="H72" i="1" s="1"/>
  <c r="Q71" i="1"/>
  <c r="R71" i="1" s="1"/>
  <c r="F71" i="1"/>
  <c r="H71" i="1" s="1"/>
  <c r="Q70" i="1"/>
  <c r="R70" i="1" s="1"/>
  <c r="F70" i="1"/>
  <c r="D69" i="1"/>
  <c r="Q68" i="1"/>
  <c r="R68" i="1" s="1"/>
  <c r="F68" i="1"/>
  <c r="Q67" i="1"/>
  <c r="R67" i="1" s="1"/>
  <c r="Q66" i="1"/>
  <c r="R66" i="1" s="1"/>
  <c r="Q65" i="1"/>
  <c r="R65" i="1" s="1"/>
  <c r="Q64" i="1"/>
  <c r="R64" i="1" s="1"/>
  <c r="F64" i="1"/>
  <c r="D63" i="1"/>
  <c r="R62" i="1"/>
  <c r="Q62" i="1"/>
  <c r="F62" i="1"/>
  <c r="H62" i="1" s="1"/>
  <c r="Q61" i="1"/>
  <c r="R61" i="1" s="1"/>
  <c r="H61" i="1"/>
  <c r="Q60" i="1"/>
  <c r="R60" i="1" s="1"/>
  <c r="Q59" i="1"/>
  <c r="R59" i="1" s="1"/>
  <c r="F59" i="1"/>
  <c r="H59" i="1" s="1"/>
  <c r="Q58" i="1"/>
  <c r="R58" i="1" s="1"/>
  <c r="H58" i="1"/>
  <c r="Q57" i="1"/>
  <c r="R57" i="1" s="1"/>
  <c r="Q56" i="1"/>
  <c r="R56" i="1" s="1"/>
  <c r="F56" i="1"/>
  <c r="H56" i="1" s="1"/>
  <c r="Q55" i="1"/>
  <c r="R55" i="1" s="1"/>
  <c r="Q54" i="1"/>
  <c r="R54" i="1" s="1"/>
  <c r="F54" i="1"/>
  <c r="Q53" i="1"/>
  <c r="R53" i="1" s="1"/>
  <c r="F53" i="1"/>
  <c r="Q51" i="1"/>
  <c r="R51" i="1" s="1"/>
  <c r="Q50" i="1"/>
  <c r="R50" i="1" s="1"/>
  <c r="Q49" i="1"/>
  <c r="R49" i="1" s="1"/>
  <c r="H49" i="1"/>
  <c r="Q48" i="1"/>
  <c r="R48" i="1" s="1"/>
  <c r="H48" i="1"/>
  <c r="Q47" i="1"/>
  <c r="R47" i="1" s="1"/>
  <c r="D46" i="1"/>
  <c r="Q43" i="1"/>
  <c r="R43" i="1" s="1"/>
  <c r="H43" i="1"/>
  <c r="Q42" i="1"/>
  <c r="R42" i="1" s="1"/>
  <c r="H40" i="1"/>
  <c r="J40" i="1" s="1"/>
  <c r="L40" i="1" s="1"/>
  <c r="H38" i="1"/>
  <c r="J36" i="1"/>
  <c r="L36" i="1" s="1"/>
  <c r="H36" i="1"/>
  <c r="Q35" i="1"/>
  <c r="R35" i="1" s="1"/>
  <c r="F35" i="1"/>
  <c r="F41" i="1" s="1"/>
  <c r="H33" i="1"/>
  <c r="J33" i="1" s="1"/>
  <c r="L33" i="1" s="1"/>
  <c r="J29" i="1"/>
  <c r="L29" i="1" s="1"/>
  <c r="H29" i="1"/>
  <c r="BI27" i="30" s="1"/>
  <c r="Q28" i="1"/>
  <c r="R28" i="1" s="1"/>
  <c r="H28" i="1"/>
  <c r="J27" i="1"/>
  <c r="L27" i="1" s="1"/>
  <c r="J26" i="1"/>
  <c r="L26" i="1" s="1"/>
  <c r="Q25" i="1"/>
  <c r="R25" i="1" s="1"/>
  <c r="H25" i="1"/>
  <c r="BF26" i="30"/>
  <c r="H23" i="1"/>
  <c r="BB27" i="30" s="1"/>
  <c r="R22" i="1"/>
  <c r="Q22" i="1"/>
  <c r="H22" i="1"/>
  <c r="L21" i="1"/>
  <c r="J21" i="1"/>
  <c r="H20" i="1"/>
  <c r="J20" i="1" s="1"/>
  <c r="L20" i="1" s="1"/>
  <c r="H19" i="1"/>
  <c r="J19" i="1" s="1"/>
  <c r="L19" i="1" s="1"/>
  <c r="Q18" i="1"/>
  <c r="R18" i="1" s="1"/>
  <c r="H18" i="1"/>
  <c r="AY26" i="30"/>
  <c r="H16" i="1"/>
  <c r="J16" i="1" s="1"/>
  <c r="L16" i="1" s="1"/>
  <c r="J15" i="1"/>
  <c r="L15" i="1" s="1"/>
  <c r="Q14" i="1"/>
  <c r="R14" i="1" s="1"/>
  <c r="H14" i="1"/>
  <c r="Q13" i="1"/>
  <c r="R13" i="1" s="1"/>
  <c r="H13" i="1"/>
  <c r="J13" i="1" s="1"/>
  <c r="L10" i="1"/>
  <c r="I9" i="2" s="1"/>
  <c r="J10" i="1"/>
  <c r="H9" i="2" s="1"/>
  <c r="H10" i="1"/>
  <c r="G9" i="2" s="1"/>
  <c r="F10" i="1"/>
  <c r="F9" i="2" s="1"/>
  <c r="D10" i="1"/>
  <c r="E9" i="2" s="1"/>
  <c r="H9" i="1"/>
  <c r="J9" i="1" s="1"/>
  <c r="L9" i="1" s="1"/>
  <c r="D8" i="1"/>
  <c r="E8" i="2" s="1"/>
  <c r="G11" i="27" s="1"/>
  <c r="Q11" i="27" s="1"/>
  <c r="F7" i="1"/>
  <c r="D7" i="1"/>
  <c r="K5" i="1"/>
  <c r="J52" i="28"/>
  <c r="B52" i="28"/>
  <c r="N51" i="28"/>
  <c r="C48" i="28"/>
  <c r="H48" i="28" s="1"/>
  <c r="AG69" i="35" s="1"/>
  <c r="C47" i="28"/>
  <c r="H47" i="28" s="1"/>
  <c r="C45" i="28"/>
  <c r="O44" i="28"/>
  <c r="AC53" i="29" s="1"/>
  <c r="L43" i="28"/>
  <c r="AK65" i="35" s="1"/>
  <c r="AK67" i="35" s="1"/>
  <c r="I42" i="28"/>
  <c r="Q47" i="29" s="1"/>
  <c r="F41" i="28"/>
  <c r="K44" i="29" s="1"/>
  <c r="G39" i="28"/>
  <c r="C39" i="28"/>
  <c r="O38" i="28"/>
  <c r="O37" i="28"/>
  <c r="O36" i="28"/>
  <c r="L34" i="28"/>
  <c r="L33" i="28"/>
  <c r="L32" i="28"/>
  <c r="I30" i="28"/>
  <c r="I29" i="28"/>
  <c r="I28" i="28"/>
  <c r="J26" i="28"/>
  <c r="F26" i="28"/>
  <c r="K18" i="29" s="1"/>
  <c r="J25" i="28"/>
  <c r="F25" i="28"/>
  <c r="K17" i="29" s="1"/>
  <c r="J24" i="28"/>
  <c r="M24" i="28" s="1"/>
  <c r="P24" i="28" s="1"/>
  <c r="L20" i="28"/>
  <c r="AK40" i="35" s="1"/>
  <c r="I20" i="28"/>
  <c r="AH40" i="35" s="1"/>
  <c r="F20" i="28"/>
  <c r="AE40" i="35" s="1"/>
  <c r="F19" i="28"/>
  <c r="M40" i="29" s="1"/>
  <c r="C19" i="28"/>
  <c r="AB38" i="35" s="1"/>
  <c r="F18" i="28"/>
  <c r="C18" i="28"/>
  <c r="I17" i="28"/>
  <c r="S13" i="29" s="1"/>
  <c r="H17" i="28"/>
  <c r="P13" i="29" s="1"/>
  <c r="I16" i="28"/>
  <c r="AH34" i="35" s="1"/>
  <c r="H16" i="28"/>
  <c r="P12" i="29" s="1"/>
  <c r="I15" i="28"/>
  <c r="AH33" i="35" s="1"/>
  <c r="H15" i="28"/>
  <c r="AG33" i="35" s="1"/>
  <c r="I14" i="28"/>
  <c r="AH32" i="35" s="1"/>
  <c r="H14" i="28"/>
  <c r="AG32" i="35" s="1"/>
  <c r="L13" i="28"/>
  <c r="Y9" i="29" s="1"/>
  <c r="I13" i="28"/>
  <c r="S9" i="29" s="1"/>
  <c r="H13" i="28"/>
  <c r="AG31" i="35" s="1"/>
  <c r="I12" i="28"/>
  <c r="AH30" i="35" s="1"/>
  <c r="H12" i="28"/>
  <c r="P8" i="29" s="1"/>
  <c r="I11" i="28"/>
  <c r="AH29" i="35" s="1"/>
  <c r="H11" i="28"/>
  <c r="AG29" i="35" s="1"/>
  <c r="J5" i="28"/>
  <c r="G99" i="32"/>
  <c r="I98" i="32"/>
  <c r="B98" i="32"/>
  <c r="J93" i="32"/>
  <c r="K93" i="32" s="1"/>
  <c r="G93" i="32"/>
  <c r="F93" i="32"/>
  <c r="G89" i="32"/>
  <c r="U47" i="35" s="1"/>
  <c r="F89" i="32"/>
  <c r="T47" i="35" s="1"/>
  <c r="H88" i="32"/>
  <c r="I88" i="32" s="1"/>
  <c r="J88" i="32" s="1"/>
  <c r="K88" i="32" s="1"/>
  <c r="G87" i="32"/>
  <c r="H87" i="32" s="1"/>
  <c r="F87" i="32"/>
  <c r="I84" i="32"/>
  <c r="J84" i="32" s="1"/>
  <c r="K84" i="32" s="1"/>
  <c r="G82" i="32"/>
  <c r="U46" i="35" s="1"/>
  <c r="F82" i="32"/>
  <c r="T46" i="35" s="1"/>
  <c r="G78" i="32"/>
  <c r="U45" i="35" s="1"/>
  <c r="F78" i="32"/>
  <c r="T45" i="35" s="1"/>
  <c r="H77" i="32"/>
  <c r="I77" i="32" s="1"/>
  <c r="H19" i="27"/>
  <c r="V58" i="35" s="1"/>
  <c r="G74" i="32"/>
  <c r="U43" i="35" s="1"/>
  <c r="F74" i="32"/>
  <c r="T43" i="35" s="1"/>
  <c r="H72" i="32"/>
  <c r="V41" i="35" s="1"/>
  <c r="H70" i="32"/>
  <c r="I70" i="32" s="1"/>
  <c r="J70" i="32" s="1"/>
  <c r="G69" i="32"/>
  <c r="G65" i="32" s="1"/>
  <c r="F69" i="32"/>
  <c r="T40" i="35" s="1"/>
  <c r="M68" i="32"/>
  <c r="H67" i="32"/>
  <c r="K47" i="28" s="1"/>
  <c r="H63" i="32"/>
  <c r="I63" i="32" s="1"/>
  <c r="J63" i="32" s="1"/>
  <c r="K63" i="32" s="1"/>
  <c r="H61" i="32"/>
  <c r="I61" i="32" s="1"/>
  <c r="J61" i="32" s="1"/>
  <c r="K61" i="32" s="1"/>
  <c r="G60" i="32"/>
  <c r="U34" i="35" s="1"/>
  <c r="F60" i="32"/>
  <c r="T34" i="35" s="1"/>
  <c r="H59" i="32"/>
  <c r="V33" i="35" s="1"/>
  <c r="H55" i="32"/>
  <c r="V29" i="35" s="1"/>
  <c r="D52" i="32"/>
  <c r="M51" i="32"/>
  <c r="K51" i="32"/>
  <c r="V22" i="35"/>
  <c r="R45" i="32"/>
  <c r="G39" i="32"/>
  <c r="U17" i="35" s="1"/>
  <c r="F39" i="32"/>
  <c r="F36" i="32" s="1"/>
  <c r="T15" i="35" s="1"/>
  <c r="C38" i="32"/>
  <c r="K33" i="32"/>
  <c r="K40" i="27" s="1"/>
  <c r="Y73" i="35" s="1"/>
  <c r="J33" i="32"/>
  <c r="J40" i="27" s="1"/>
  <c r="X73" i="35" s="1"/>
  <c r="I33" i="32"/>
  <c r="I40" i="27" s="1"/>
  <c r="W73" i="35" s="1"/>
  <c r="H33" i="32"/>
  <c r="H40" i="27" s="1"/>
  <c r="V73" i="35" s="1"/>
  <c r="G16" i="32"/>
  <c r="U9" i="35" s="1"/>
  <c r="F16" i="32"/>
  <c r="F11" i="32" s="1"/>
  <c r="G9" i="32"/>
  <c r="G52" i="32" s="1"/>
  <c r="F9" i="32"/>
  <c r="T6" i="35" s="1"/>
  <c r="J8" i="32"/>
  <c r="J51" i="32" s="1"/>
  <c r="I8" i="32"/>
  <c r="I51" i="32" s="1"/>
  <c r="H8" i="32"/>
  <c r="H51" i="32" s="1"/>
  <c r="G8" i="32"/>
  <c r="F8" i="32" s="1"/>
  <c r="B5" i="32"/>
  <c r="K36" i="20"/>
  <c r="M35" i="20"/>
  <c r="G33" i="20"/>
  <c r="I33" i="20" s="1"/>
  <c r="M28" i="20"/>
  <c r="O28" i="20" s="1"/>
  <c r="K28" i="20"/>
  <c r="G14" i="20"/>
  <c r="E14" i="20"/>
  <c r="F15" i="20" s="1"/>
  <c r="U12" i="20"/>
  <c r="T12" i="20"/>
  <c r="S12" i="20"/>
  <c r="K12" i="20"/>
  <c r="I8" i="20"/>
  <c r="I7" i="20"/>
  <c r="O5" i="20"/>
  <c r="G5" i="20"/>
  <c r="E5" i="1" s="1"/>
  <c r="B5" i="20"/>
  <c r="B6" i="35" s="1"/>
  <c r="D67" i="26"/>
  <c r="B67" i="26"/>
  <c r="W46" i="30" s="1"/>
  <c r="E66" i="26"/>
  <c r="B66" i="26"/>
  <c r="W45" i="30" s="1"/>
  <c r="H59" i="26"/>
  <c r="H58" i="26"/>
  <c r="H57" i="26"/>
  <c r="H45" i="35" s="1"/>
  <c r="H56" i="26"/>
  <c r="H44" i="35" s="1"/>
  <c r="H55" i="26"/>
  <c r="H43" i="35" s="1"/>
  <c r="H52" i="26"/>
  <c r="H41" i="35" s="1"/>
  <c r="H51" i="26"/>
  <c r="H40" i="35" s="1"/>
  <c r="H49" i="26"/>
  <c r="H38" i="35" s="1"/>
  <c r="H48" i="26"/>
  <c r="H37" i="35" s="1"/>
  <c r="D45" i="26"/>
  <c r="D44" i="26"/>
  <c r="G42" i="26"/>
  <c r="G62" i="26" s="1"/>
  <c r="F42" i="26"/>
  <c r="F62" i="26" s="1"/>
  <c r="E42" i="26"/>
  <c r="E62" i="26" s="1"/>
  <c r="D42" i="26"/>
  <c r="H40" i="26"/>
  <c r="H39" i="26"/>
  <c r="H38" i="26"/>
  <c r="H35" i="26"/>
  <c r="E33" i="26"/>
  <c r="F33" i="26" s="1"/>
  <c r="H32" i="26"/>
  <c r="H30" i="26"/>
  <c r="H27" i="26"/>
  <c r="H24" i="26"/>
  <c r="H20" i="26"/>
  <c r="H17" i="26"/>
  <c r="E16" i="26"/>
  <c r="W8" i="30" l="1"/>
  <c r="B63" i="30"/>
  <c r="AI46" i="35"/>
  <c r="M26" i="28"/>
  <c r="P26" i="28" s="1"/>
  <c r="AI45" i="35"/>
  <c r="M25" i="28"/>
  <c r="S16" i="29"/>
  <c r="AH50" i="35"/>
  <c r="AH49" i="35"/>
  <c r="Q19" i="29"/>
  <c r="J39" i="28"/>
  <c r="AC27" i="29"/>
  <c r="AC36" i="29" s="1"/>
  <c r="AC26" i="29"/>
  <c r="AC35" i="29" s="1"/>
  <c r="AN56" i="35"/>
  <c r="AK54" i="35"/>
  <c r="AK53" i="35"/>
  <c r="W22" i="29"/>
  <c r="AB36" i="35"/>
  <c r="J38" i="1"/>
  <c r="L38" i="1" s="1"/>
  <c r="P48" i="22"/>
  <c r="M48" i="22"/>
  <c r="H24" i="1"/>
  <c r="BF27" i="30" s="1"/>
  <c r="H17" i="1"/>
  <c r="AS27" i="30"/>
  <c r="H12" i="1"/>
  <c r="U87" i="30" s="1"/>
  <c r="G87" i="30" s="1"/>
  <c r="I71" i="30"/>
  <c r="J69" i="30"/>
  <c r="E35" i="22"/>
  <c r="G33" i="26"/>
  <c r="F35" i="22" s="1"/>
  <c r="C36" i="22"/>
  <c r="E36" i="22"/>
  <c r="D35" i="22"/>
  <c r="D36" i="22" s="1"/>
  <c r="H26" i="35"/>
  <c r="C43" i="22"/>
  <c r="D42" i="22"/>
  <c r="D43" i="22" s="1"/>
  <c r="F36" i="26"/>
  <c r="D2" i="33"/>
  <c r="F19" i="2"/>
  <c r="G19" i="2" s="1"/>
  <c r="U6" i="35"/>
  <c r="I72" i="32"/>
  <c r="W41" i="35" s="1"/>
  <c r="F52" i="32"/>
  <c r="AG8" i="35"/>
  <c r="H50" i="27"/>
  <c r="B35" i="20"/>
  <c r="B59" i="30" s="1"/>
  <c r="S47" i="29"/>
  <c r="J42" i="28" s="1"/>
  <c r="AI64" i="35" s="1"/>
  <c r="S44" i="29"/>
  <c r="S56" i="29" s="1"/>
  <c r="M44" i="29"/>
  <c r="M56" i="29" s="1"/>
  <c r="F45" i="28"/>
  <c r="AE67" i="35" s="1"/>
  <c r="T27" i="35"/>
  <c r="AE6" i="35"/>
  <c r="AT7" i="35" s="1"/>
  <c r="F11" i="27"/>
  <c r="F47" i="27" s="1"/>
  <c r="D15" i="35"/>
  <c r="D34" i="35" s="1"/>
  <c r="D72" i="29"/>
  <c r="H21" i="30"/>
  <c r="H47" i="30" s="1"/>
  <c r="J23" i="1"/>
  <c r="L23" i="1" s="1"/>
  <c r="B99" i="32"/>
  <c r="B36" i="20"/>
  <c r="H20" i="35"/>
  <c r="C17" i="22"/>
  <c r="D17" i="22"/>
  <c r="E17" i="22"/>
  <c r="E30" i="35"/>
  <c r="G57" i="27"/>
  <c r="Q3" i="33" s="1"/>
  <c r="R3" i="33" s="1"/>
  <c r="E10" i="22"/>
  <c r="E11" i="22" s="1"/>
  <c r="F18" i="22"/>
  <c r="H24" i="35"/>
  <c r="F30" i="35"/>
  <c r="H23" i="35"/>
  <c r="E37" i="22"/>
  <c r="G30" i="35"/>
  <c r="C30" i="22"/>
  <c r="C32" i="22" s="1"/>
  <c r="C33" i="22" s="1"/>
  <c r="L48" i="22"/>
  <c r="U48" i="22"/>
  <c r="I9" i="30"/>
  <c r="M2" i="22" s="1"/>
  <c r="G54" i="2"/>
  <c r="G52" i="2" s="1"/>
  <c r="F52" i="2"/>
  <c r="G33" i="2"/>
  <c r="F31" i="2"/>
  <c r="G26" i="2"/>
  <c r="G24" i="2" s="1"/>
  <c r="F24" i="2"/>
  <c r="F35" i="2"/>
  <c r="G60" i="2"/>
  <c r="F42" i="2"/>
  <c r="G74" i="2"/>
  <c r="H74" i="2" s="1"/>
  <c r="I74" i="2" s="1"/>
  <c r="F49" i="2"/>
  <c r="M39" i="2"/>
  <c r="N39" i="2" s="1"/>
  <c r="G46" i="2"/>
  <c r="H46" i="2" s="1"/>
  <c r="M53" i="2"/>
  <c r="N53" i="2" s="1"/>
  <c r="H54" i="2"/>
  <c r="G40" i="2"/>
  <c r="G47" i="2"/>
  <c r="G81" i="2"/>
  <c r="H81" i="2" s="1"/>
  <c r="I81" i="2" s="1"/>
  <c r="F10" i="27"/>
  <c r="F46" i="27" s="1"/>
  <c r="F51" i="32"/>
  <c r="N32" i="2"/>
  <c r="M18" i="2"/>
  <c r="N18" i="2" s="1"/>
  <c r="F56" i="2"/>
  <c r="G51" i="32"/>
  <c r="H60" i="2"/>
  <c r="I60" i="2" s="1"/>
  <c r="H67" i="2"/>
  <c r="I67" i="2" s="1"/>
  <c r="G27" i="2"/>
  <c r="H27" i="2" s="1"/>
  <c r="I27" i="2" s="1"/>
  <c r="H124" i="1"/>
  <c r="D84" i="29"/>
  <c r="U28" i="30"/>
  <c r="N28" i="30" s="1"/>
  <c r="R21" i="22" s="1"/>
  <c r="R22" i="22" s="1"/>
  <c r="H68" i="1"/>
  <c r="H87" i="1"/>
  <c r="H82" i="1"/>
  <c r="J61" i="1"/>
  <c r="L61" i="1" s="1"/>
  <c r="J60" i="1"/>
  <c r="L60" i="1" s="1"/>
  <c r="J58" i="1"/>
  <c r="L58" i="1" s="1"/>
  <c r="F57" i="27"/>
  <c r="AE15" i="35" s="1"/>
  <c r="F65" i="32"/>
  <c r="F58" i="35"/>
  <c r="AG17" i="35"/>
  <c r="H59" i="27"/>
  <c r="G43" i="32"/>
  <c r="F29" i="20"/>
  <c r="E74" i="35" s="1"/>
  <c r="E22" i="22"/>
  <c r="E23" i="22" s="1"/>
  <c r="E24" i="22" s="1"/>
  <c r="F22" i="22"/>
  <c r="D22" i="22"/>
  <c r="D23" i="22" s="1"/>
  <c r="H54" i="1"/>
  <c r="J54" i="1" s="1"/>
  <c r="L54" i="1" s="1"/>
  <c r="H51" i="1"/>
  <c r="J51" i="1" s="1"/>
  <c r="H122" i="1"/>
  <c r="F104" i="1"/>
  <c r="J59" i="1"/>
  <c r="L59" i="1" s="1"/>
  <c r="J65" i="1"/>
  <c r="J97" i="1"/>
  <c r="J22" i="1"/>
  <c r="L22" i="1" s="1"/>
  <c r="J78" i="1"/>
  <c r="L78" i="1" s="1"/>
  <c r="J28" i="1"/>
  <c r="L28" i="1" s="1"/>
  <c r="H119" i="1"/>
  <c r="J119" i="1" s="1"/>
  <c r="L119" i="1" s="1"/>
  <c r="AU27" i="30"/>
  <c r="J93" i="1"/>
  <c r="L93" i="1" s="1"/>
  <c r="J50" i="1"/>
  <c r="L50" i="1" s="1"/>
  <c r="J62" i="1"/>
  <c r="L62" i="1" s="1"/>
  <c r="J43" i="1"/>
  <c r="J101" i="1"/>
  <c r="L101" i="1" s="1"/>
  <c r="J102" i="1"/>
  <c r="L102" i="1" s="1"/>
  <c r="N13" i="29"/>
  <c r="T22" i="29"/>
  <c r="O26" i="29"/>
  <c r="T26" i="29" s="1"/>
  <c r="V26" i="29" s="1"/>
  <c r="R25" i="29"/>
  <c r="X25" i="29" s="1"/>
  <c r="AD25" i="29" s="1"/>
  <c r="AJ25" i="29" s="1"/>
  <c r="R26" i="29"/>
  <c r="X26" i="29" s="1"/>
  <c r="AD26" i="29" s="1"/>
  <c r="AJ26" i="29" s="1"/>
  <c r="N25" i="29"/>
  <c r="P25" i="29" s="1"/>
  <c r="AH53" i="29"/>
  <c r="Q44" i="28" s="1"/>
  <c r="AP66" i="35" s="1"/>
  <c r="T23" i="29"/>
  <c r="V23" i="29" s="1"/>
  <c r="L45" i="28"/>
  <c r="AI37" i="29"/>
  <c r="O25" i="29"/>
  <c r="U25" i="29" s="1"/>
  <c r="G41" i="28"/>
  <c r="AF63" i="35" s="1"/>
  <c r="AF67" i="35" s="1"/>
  <c r="AN66" i="35"/>
  <c r="AN67" i="35" s="1"/>
  <c r="U23" i="29"/>
  <c r="AO45" i="35"/>
  <c r="U22" i="29"/>
  <c r="B5" i="2"/>
  <c r="B6" i="27"/>
  <c r="M6" i="27" s="1"/>
  <c r="B5" i="1"/>
  <c r="H73" i="30"/>
  <c r="L38" i="22" s="1"/>
  <c r="L39" i="22" s="1"/>
  <c r="P73" i="30"/>
  <c r="T38" i="22" s="1"/>
  <c r="T39" i="22" s="1"/>
  <c r="I73" i="30"/>
  <c r="M38" i="22" s="1"/>
  <c r="M39" i="22" s="1"/>
  <c r="Q73" i="30"/>
  <c r="U38" i="22" s="1"/>
  <c r="U39" i="22" s="1"/>
  <c r="J73" i="30"/>
  <c r="N38" i="22" s="1"/>
  <c r="N39" i="22" s="1"/>
  <c r="R73" i="30"/>
  <c r="V38" i="22" s="1"/>
  <c r="V39" i="22" s="1"/>
  <c r="K73" i="30"/>
  <c r="O38" i="22" s="1"/>
  <c r="O39" i="22" s="1"/>
  <c r="G73" i="30"/>
  <c r="L73" i="30"/>
  <c r="P38" i="22" s="1"/>
  <c r="P39" i="22" s="1"/>
  <c r="M73" i="30"/>
  <c r="Q38" i="22" s="1"/>
  <c r="Q39" i="22" s="1"/>
  <c r="N73" i="30"/>
  <c r="R38" i="22" s="1"/>
  <c r="R39" i="22" s="1"/>
  <c r="O73" i="30"/>
  <c r="S38" i="22" s="1"/>
  <c r="S39" i="22" s="1"/>
  <c r="M12" i="20"/>
  <c r="J56" i="35"/>
  <c r="F16" i="26"/>
  <c r="G16" i="26" s="1"/>
  <c r="M62" i="30"/>
  <c r="J67" i="1"/>
  <c r="L67" i="1" s="1"/>
  <c r="J117" i="1"/>
  <c r="L117" i="1" s="1"/>
  <c r="J92" i="1"/>
  <c r="L92" i="1" s="1"/>
  <c r="J86" i="1"/>
  <c r="L86" i="1" s="1"/>
  <c r="F83" i="1"/>
  <c r="J76" i="1"/>
  <c r="L76" i="1" s="1"/>
  <c r="J56" i="1"/>
  <c r="L56" i="1" s="1"/>
  <c r="J57" i="1"/>
  <c r="L57" i="1" s="1"/>
  <c r="S33" i="29"/>
  <c r="S37" i="29" s="1"/>
  <c r="Q37" i="29"/>
  <c r="AG53" i="29"/>
  <c r="AC56" i="29"/>
  <c r="V22" i="29"/>
  <c r="O45" i="28"/>
  <c r="K18" i="27" s="1"/>
  <c r="Y57" i="35" s="1"/>
  <c r="Q3" i="29"/>
  <c r="Q38" i="29" s="1"/>
  <c r="AK53" i="29"/>
  <c r="AH48" i="35"/>
  <c r="AN57" i="35"/>
  <c r="W3" i="29"/>
  <c r="W38" i="29" s="1"/>
  <c r="N24" i="29"/>
  <c r="P24" i="29" s="1"/>
  <c r="K35" i="29"/>
  <c r="M35" i="29" s="1"/>
  <c r="O24" i="29"/>
  <c r="V44" i="29"/>
  <c r="K41" i="28" s="1"/>
  <c r="AJ63" i="35" s="1"/>
  <c r="AN53" i="29"/>
  <c r="P44" i="28"/>
  <c r="AO66" i="35" s="1"/>
  <c r="I18" i="27"/>
  <c r="W57" i="35" s="1"/>
  <c r="N26" i="29"/>
  <c r="P26" i="29" s="1"/>
  <c r="AB44" i="29"/>
  <c r="N41" i="28" s="1"/>
  <c r="AM63" i="35" s="1"/>
  <c r="AE38" i="35"/>
  <c r="AH64" i="35"/>
  <c r="AH67" i="35" s="1"/>
  <c r="AK44" i="29"/>
  <c r="AN50" i="29"/>
  <c r="L17" i="29"/>
  <c r="R17" i="29" s="1"/>
  <c r="X17" i="29" s="1"/>
  <c r="AD17" i="29" s="1"/>
  <c r="AJ17" i="29" s="1"/>
  <c r="AN40" i="29"/>
  <c r="AN43" i="29" s="1"/>
  <c r="AE47" i="29"/>
  <c r="P42" i="28" s="1"/>
  <c r="AO64" i="35" s="1"/>
  <c r="H83" i="32"/>
  <c r="H62" i="32"/>
  <c r="I30" i="20" s="1"/>
  <c r="H74" i="35" s="1"/>
  <c r="H85" i="32"/>
  <c r="AR26" i="30"/>
  <c r="AT26" i="30" s="1"/>
  <c r="AV26" i="30" s="1"/>
  <c r="H91" i="32"/>
  <c r="H92" i="32" s="1"/>
  <c r="H89" i="32" s="1"/>
  <c r="V47" i="35" s="1"/>
  <c r="F76" i="35"/>
  <c r="H18" i="35"/>
  <c r="K12" i="28"/>
  <c r="V8" i="29" s="1"/>
  <c r="Q80" i="27"/>
  <c r="Q93" i="27" s="1"/>
  <c r="F11" i="22"/>
  <c r="K25" i="27"/>
  <c r="H21" i="35"/>
  <c r="Q17" i="22"/>
  <c r="O48" i="22"/>
  <c r="R17" i="22"/>
  <c r="S17" i="22"/>
  <c r="L17" i="22"/>
  <c r="T17" i="22"/>
  <c r="R48" i="22"/>
  <c r="Q48" i="22"/>
  <c r="S48" i="22"/>
  <c r="L2" i="22"/>
  <c r="T48" i="22"/>
  <c r="C27" i="33"/>
  <c r="S26" i="30"/>
  <c r="V48" i="22"/>
  <c r="M17" i="22"/>
  <c r="U17" i="22"/>
  <c r="N48" i="22"/>
  <c r="O17" i="22"/>
  <c r="N17" i="22"/>
  <c r="V17" i="22"/>
  <c r="R15" i="27"/>
  <c r="K33" i="20"/>
  <c r="H76" i="35"/>
  <c r="Q15" i="27"/>
  <c r="J103" i="1"/>
  <c r="L103" i="1" s="1"/>
  <c r="J98" i="1"/>
  <c r="L98" i="1" s="1"/>
  <c r="L97" i="1"/>
  <c r="L91" i="1"/>
  <c r="J90" i="1"/>
  <c r="L90" i="1" s="1"/>
  <c r="J87" i="1"/>
  <c r="J77" i="1"/>
  <c r="L77" i="1" s="1"/>
  <c r="J72" i="1"/>
  <c r="L72" i="1" s="1"/>
  <c r="J71" i="1"/>
  <c r="L71" i="1" s="1"/>
  <c r="J66" i="1"/>
  <c r="J49" i="1"/>
  <c r="J18" i="1"/>
  <c r="J14" i="1"/>
  <c r="J112" i="1"/>
  <c r="L112" i="1" s="1"/>
  <c r="H111" i="1"/>
  <c r="J111" i="1" s="1"/>
  <c r="L111" i="1" s="1"/>
  <c r="J110" i="1"/>
  <c r="L110" i="1" s="1"/>
  <c r="H118" i="1"/>
  <c r="J118" i="1" s="1"/>
  <c r="L118" i="1" s="1"/>
  <c r="H64" i="1"/>
  <c r="M28" i="29"/>
  <c r="F52" i="27"/>
  <c r="G52" i="27"/>
  <c r="AG10" i="35" s="1"/>
  <c r="H17" i="20"/>
  <c r="G61" i="35" s="1"/>
  <c r="H19" i="20"/>
  <c r="G63" i="35" s="1"/>
  <c r="H29" i="20"/>
  <c r="G74" i="35" s="1"/>
  <c r="H15" i="20"/>
  <c r="G59" i="35" s="1"/>
  <c r="H21" i="20"/>
  <c r="G65" i="35" s="1"/>
  <c r="H24" i="20"/>
  <c r="G68" i="35" s="1"/>
  <c r="H16" i="20"/>
  <c r="F21" i="20"/>
  <c r="E65" i="35" s="1"/>
  <c r="E62" i="35"/>
  <c r="Q14" i="27"/>
  <c r="F77" i="35" s="1"/>
  <c r="Q10" i="27"/>
  <c r="Q46" i="27"/>
  <c r="D51" i="34" s="1"/>
  <c r="F38" i="32"/>
  <c r="R10" i="27"/>
  <c r="J46" i="27"/>
  <c r="S10" i="27"/>
  <c r="G47" i="27"/>
  <c r="P11" i="27"/>
  <c r="D2" i="34"/>
  <c r="D26" i="34" s="1"/>
  <c r="Q72" i="27"/>
  <c r="P46" i="27"/>
  <c r="C51" i="34" s="1"/>
  <c r="C3" i="34"/>
  <c r="G38" i="32"/>
  <c r="D3" i="22"/>
  <c r="F9" i="28"/>
  <c r="F8" i="1"/>
  <c r="K8" i="20"/>
  <c r="E45" i="26"/>
  <c r="H52" i="35"/>
  <c r="H9" i="32"/>
  <c r="R11" i="20"/>
  <c r="M5" i="30"/>
  <c r="F28" i="2"/>
  <c r="H25" i="2"/>
  <c r="I25" i="2" s="1"/>
  <c r="B86" i="2"/>
  <c r="H20" i="2"/>
  <c r="I20" i="2" s="1"/>
  <c r="F84" i="2"/>
  <c r="G83" i="2"/>
  <c r="G82" i="2"/>
  <c r="G80" i="2" s="1"/>
  <c r="G76" i="2"/>
  <c r="F77" i="2"/>
  <c r="G75" i="2"/>
  <c r="G73" i="2" s="1"/>
  <c r="G68" i="2"/>
  <c r="G66" i="2" s="1"/>
  <c r="G69" i="2"/>
  <c r="F70" i="2"/>
  <c r="G61" i="2"/>
  <c r="G59" i="2" s="1"/>
  <c r="G62" i="2"/>
  <c r="F63" i="2"/>
  <c r="G56" i="2"/>
  <c r="I46" i="2"/>
  <c r="G49" i="2"/>
  <c r="H39" i="2"/>
  <c r="G35" i="2"/>
  <c r="I32" i="2"/>
  <c r="H35" i="2"/>
  <c r="E12" i="2"/>
  <c r="F113" i="1"/>
  <c r="H115" i="1"/>
  <c r="J115" i="1" s="1"/>
  <c r="L115" i="1" s="1"/>
  <c r="J114" i="1"/>
  <c r="F108" i="1"/>
  <c r="F99" i="1"/>
  <c r="H100" i="1"/>
  <c r="F94" i="1"/>
  <c r="H96" i="1"/>
  <c r="J96" i="1" s="1"/>
  <c r="L96" i="1" s="1"/>
  <c r="J95" i="1"/>
  <c r="F88" i="1"/>
  <c r="H89" i="1"/>
  <c r="J85" i="1"/>
  <c r="L85" i="1" s="1"/>
  <c r="J84" i="1"/>
  <c r="F79" i="1"/>
  <c r="H81" i="1"/>
  <c r="J81" i="1" s="1"/>
  <c r="L81" i="1" s="1"/>
  <c r="J80" i="1"/>
  <c r="F74" i="1"/>
  <c r="F69" i="1"/>
  <c r="H70" i="1"/>
  <c r="F63" i="1"/>
  <c r="H53" i="1"/>
  <c r="U27" i="30"/>
  <c r="F46" i="1"/>
  <c r="J48" i="1"/>
  <c r="H47" i="1"/>
  <c r="L43" i="1"/>
  <c r="BG27" i="30"/>
  <c r="J25" i="1"/>
  <c r="BH26" i="30"/>
  <c r="AZ27" i="30"/>
  <c r="BA26" i="30"/>
  <c r="F39" i="1"/>
  <c r="F11" i="1"/>
  <c r="F34" i="1"/>
  <c r="L13" i="1"/>
  <c r="H35" i="1"/>
  <c r="F37" i="1"/>
  <c r="AB50" i="29"/>
  <c r="N43" i="28" s="1"/>
  <c r="AM65" i="35" s="1"/>
  <c r="Y50" i="29"/>
  <c r="M43" i="28" s="1"/>
  <c r="AL65" i="35" s="1"/>
  <c r="AH47" i="29"/>
  <c r="Q42" i="28" s="1"/>
  <c r="AP64" i="35" s="1"/>
  <c r="J41" i="28"/>
  <c r="AI63" i="35" s="1"/>
  <c r="AI67" i="35" s="1"/>
  <c r="P44" i="29"/>
  <c r="H41" i="28" s="1"/>
  <c r="AN44" i="29"/>
  <c r="AB67" i="35"/>
  <c r="AE50" i="29"/>
  <c r="P43" i="28" s="1"/>
  <c r="AO65" i="35" s="1"/>
  <c r="J18" i="27"/>
  <c r="X57" i="35" s="1"/>
  <c r="AK50" i="29"/>
  <c r="W50" i="29"/>
  <c r="W56" i="29" s="1"/>
  <c r="Q56" i="29"/>
  <c r="U47" i="29"/>
  <c r="AK47" i="29"/>
  <c r="V47" i="29"/>
  <c r="K42" i="28" s="1"/>
  <c r="AJ64" i="35" s="1"/>
  <c r="I45" i="28"/>
  <c r="Y47" i="29"/>
  <c r="M42" i="28" s="1"/>
  <c r="AL64" i="35" s="1"/>
  <c r="AN47" i="29"/>
  <c r="AB47" i="29"/>
  <c r="N42" i="28" s="1"/>
  <c r="AM64" i="35" s="1"/>
  <c r="O44" i="29"/>
  <c r="K56" i="29"/>
  <c r="AH44" i="29"/>
  <c r="AE63" i="35"/>
  <c r="H18" i="27"/>
  <c r="V57" i="35" s="1"/>
  <c r="Y44" i="29"/>
  <c r="AE44" i="29"/>
  <c r="AN58" i="35"/>
  <c r="AC25" i="29"/>
  <c r="O39" i="28"/>
  <c r="L24" i="29"/>
  <c r="R24" i="29" s="1"/>
  <c r="X24" i="29" s="1"/>
  <c r="AD24" i="29" s="1"/>
  <c r="AJ24" i="29" s="1"/>
  <c r="AK37" i="29"/>
  <c r="W24" i="29"/>
  <c r="W23" i="29"/>
  <c r="L39" i="28"/>
  <c r="AK52" i="35"/>
  <c r="Q21" i="29"/>
  <c r="Q20" i="29"/>
  <c r="I39" i="28"/>
  <c r="I17" i="27" s="1"/>
  <c r="W56" i="35" s="1"/>
  <c r="S18" i="29"/>
  <c r="AF59" i="35"/>
  <c r="S17" i="29"/>
  <c r="H30" i="27"/>
  <c r="V65" i="35" s="1"/>
  <c r="AI44" i="35"/>
  <c r="R18" i="29"/>
  <c r="X18" i="29" s="1"/>
  <c r="AD18" i="29" s="1"/>
  <c r="AJ18" i="29" s="1"/>
  <c r="O18" i="29"/>
  <c r="N18" i="29"/>
  <c r="P18" i="29" s="1"/>
  <c r="H26" i="28" s="1"/>
  <c r="AG46" i="35" s="1"/>
  <c r="AB59" i="35"/>
  <c r="AE46" i="35"/>
  <c r="C28" i="29"/>
  <c r="O17" i="29"/>
  <c r="N17" i="29"/>
  <c r="P17" i="29" s="1"/>
  <c r="H25" i="28" s="1"/>
  <c r="AG45" i="35" s="1"/>
  <c r="AE45" i="35"/>
  <c r="F39" i="28"/>
  <c r="U36" i="30" s="1"/>
  <c r="K16" i="29"/>
  <c r="AE44" i="35"/>
  <c r="AK43" i="29"/>
  <c r="AM40" i="29"/>
  <c r="N10" i="29"/>
  <c r="M14" i="29"/>
  <c r="I31" i="29" s="1"/>
  <c r="J31" i="29" s="1"/>
  <c r="AE36" i="35"/>
  <c r="U50" i="30"/>
  <c r="R18" i="28"/>
  <c r="AG30" i="35"/>
  <c r="P7" i="29"/>
  <c r="K14" i="28"/>
  <c r="AJ32" i="35" s="1"/>
  <c r="K11" i="28"/>
  <c r="V7" i="29" s="1"/>
  <c r="AG35" i="35"/>
  <c r="T13" i="29"/>
  <c r="K17" i="28"/>
  <c r="AH35" i="35"/>
  <c r="U13" i="29"/>
  <c r="L17" i="28"/>
  <c r="O17" i="28" s="1"/>
  <c r="N12" i="29"/>
  <c r="S12" i="29"/>
  <c r="T12" i="29" s="1"/>
  <c r="K16" i="28"/>
  <c r="L16" i="28"/>
  <c r="O16" i="28" s="1"/>
  <c r="AG34" i="35"/>
  <c r="N11" i="29"/>
  <c r="P11" i="29"/>
  <c r="K15" i="28"/>
  <c r="S11" i="29"/>
  <c r="U11" i="29" s="1"/>
  <c r="L15" i="28"/>
  <c r="P10" i="29"/>
  <c r="S10" i="29"/>
  <c r="T10" i="29" s="1"/>
  <c r="L14" i="28"/>
  <c r="O14" i="28"/>
  <c r="AH31" i="35"/>
  <c r="K13" i="28"/>
  <c r="O9" i="29"/>
  <c r="AK31" i="35"/>
  <c r="P9" i="29"/>
  <c r="N13" i="28"/>
  <c r="O13" i="28"/>
  <c r="H18" i="28"/>
  <c r="N8" i="29"/>
  <c r="AH36" i="35"/>
  <c r="L12" i="28"/>
  <c r="S8" i="29"/>
  <c r="U8" i="29" s="1"/>
  <c r="R17" i="28"/>
  <c r="O7" i="29"/>
  <c r="N7" i="29" s="1"/>
  <c r="L11" i="28"/>
  <c r="S7" i="29"/>
  <c r="C14" i="29"/>
  <c r="I18" i="28"/>
  <c r="M43" i="29"/>
  <c r="J77" i="32"/>
  <c r="W44" i="35"/>
  <c r="V44" i="35"/>
  <c r="I76" i="32"/>
  <c r="C46" i="28"/>
  <c r="K46" i="28"/>
  <c r="AJ68" i="35" s="1"/>
  <c r="H38" i="27"/>
  <c r="V71" i="35" s="1"/>
  <c r="G73" i="32"/>
  <c r="Q48" i="27" s="1"/>
  <c r="D53" i="34" s="1"/>
  <c r="F73" i="32"/>
  <c r="J72" i="32"/>
  <c r="K48" i="28"/>
  <c r="AJ69" i="35" s="1"/>
  <c r="N48" i="28"/>
  <c r="AM69" i="35" s="1"/>
  <c r="H34" i="27"/>
  <c r="I34" i="27"/>
  <c r="C50" i="28"/>
  <c r="AB72" i="35" s="1"/>
  <c r="U40" i="35"/>
  <c r="C40" i="29"/>
  <c r="K70" i="32"/>
  <c r="M70" i="32" s="1"/>
  <c r="J33" i="27"/>
  <c r="H33" i="27"/>
  <c r="I33" i="27"/>
  <c r="H32" i="27"/>
  <c r="U36" i="35"/>
  <c r="P80" i="27"/>
  <c r="T36" i="35"/>
  <c r="I46" i="32"/>
  <c r="H29" i="27"/>
  <c r="V64" i="35" s="1"/>
  <c r="F43" i="32"/>
  <c r="G36" i="32"/>
  <c r="U15" i="35" s="1"/>
  <c r="G60" i="27"/>
  <c r="AG18" i="35" s="1"/>
  <c r="T17" i="35"/>
  <c r="AG7" i="35"/>
  <c r="F60" i="27"/>
  <c r="G11" i="32"/>
  <c r="T7" i="35"/>
  <c r="F49" i="32"/>
  <c r="T24" i="35" s="1"/>
  <c r="T9" i="35"/>
  <c r="H27" i="20"/>
  <c r="G72" i="35" s="1"/>
  <c r="H55" i="27"/>
  <c r="H18" i="20"/>
  <c r="G62" i="35" s="1"/>
  <c r="H23" i="20"/>
  <c r="G67" i="35" s="1"/>
  <c r="H30" i="20"/>
  <c r="G75" i="35" s="1"/>
  <c r="G20" i="20"/>
  <c r="H20" i="20" s="1"/>
  <c r="H25" i="20"/>
  <c r="G69" i="35" s="1"/>
  <c r="I87" i="32"/>
  <c r="F19" i="20"/>
  <c r="E63" i="35" s="1"/>
  <c r="F25" i="20"/>
  <c r="E69" i="35" s="1"/>
  <c r="F27" i="20"/>
  <c r="E72" i="35" s="1"/>
  <c r="E59" i="35"/>
  <c r="E20" i="20"/>
  <c r="F24" i="20"/>
  <c r="E68" i="35" s="1"/>
  <c r="D58" i="35"/>
  <c r="E60" i="35"/>
  <c r="F30" i="20"/>
  <c r="E75" i="35" s="1"/>
  <c r="E61" i="35"/>
  <c r="F23" i="20"/>
  <c r="E67" i="35" s="1"/>
  <c r="C21" i="22"/>
  <c r="C23" i="22" s="1"/>
  <c r="C24" i="22" s="1"/>
  <c r="G109" i="30"/>
  <c r="S109" i="30" s="1"/>
  <c r="T109" i="30" s="1"/>
  <c r="G53" i="30"/>
  <c r="S53" i="30" s="1"/>
  <c r="T53" i="30" s="1"/>
  <c r="V38" i="35"/>
  <c r="I67" i="32"/>
  <c r="I59" i="32"/>
  <c r="H31" i="27"/>
  <c r="S108" i="30"/>
  <c r="S52" i="30"/>
  <c r="I55" i="32"/>
  <c r="W12" i="22"/>
  <c r="D30" i="35"/>
  <c r="H32" i="32"/>
  <c r="C39" i="22"/>
  <c r="C40" i="22" s="1"/>
  <c r="H29" i="32" s="1"/>
  <c r="C37" i="22"/>
  <c r="F36" i="22"/>
  <c r="E39" i="22"/>
  <c r="E40" i="22" s="1"/>
  <c r="J29" i="32" s="1"/>
  <c r="E32" i="22"/>
  <c r="E33" i="22"/>
  <c r="F32" i="22"/>
  <c r="F33" i="22" s="1"/>
  <c r="D32" i="22"/>
  <c r="D33" i="22" s="1"/>
  <c r="F23" i="22"/>
  <c r="C18" i="22"/>
  <c r="D18" i="22"/>
  <c r="E18" i="22"/>
  <c r="D13" i="22"/>
  <c r="D14" i="22" s="1"/>
  <c r="D11" i="22"/>
  <c r="I25" i="27"/>
  <c r="E13" i="22"/>
  <c r="F13" i="22"/>
  <c r="F14" i="22" s="1"/>
  <c r="K21" i="32" s="1"/>
  <c r="J25" i="27"/>
  <c r="K47" i="22"/>
  <c r="G48" i="35"/>
  <c r="F48" i="35"/>
  <c r="H16" i="35"/>
  <c r="E48" i="35"/>
  <c r="D7" i="22"/>
  <c r="I18" i="32" s="1"/>
  <c r="H42" i="26"/>
  <c r="D6" i="22"/>
  <c r="W16" i="22"/>
  <c r="K17" i="22"/>
  <c r="C10" i="22"/>
  <c r="C11" i="22" s="1"/>
  <c r="D62" i="26"/>
  <c r="S41" i="30"/>
  <c r="C6" i="22"/>
  <c r="C7" i="22" s="1"/>
  <c r="H18" i="32" s="1"/>
  <c r="B5" i="28"/>
  <c r="AK59" i="35" l="1"/>
  <c r="AH59" i="35"/>
  <c r="S21" i="29"/>
  <c r="M30" i="28"/>
  <c r="AI50" i="35"/>
  <c r="S20" i="29"/>
  <c r="M29" i="28"/>
  <c r="AI49" i="35"/>
  <c r="S19" i="29"/>
  <c r="S28" i="29" s="1"/>
  <c r="M28" i="28"/>
  <c r="AI48" i="35"/>
  <c r="AI59" i="35" s="1"/>
  <c r="AE27" i="29"/>
  <c r="AE36" i="29" s="1"/>
  <c r="AO58" i="35"/>
  <c r="AO57" i="35"/>
  <c r="AE26" i="29"/>
  <c r="AE25" i="29"/>
  <c r="AO56" i="35"/>
  <c r="P34" i="28"/>
  <c r="AL54" i="35"/>
  <c r="Y24" i="29"/>
  <c r="P33" i="28"/>
  <c r="AL53" i="35"/>
  <c r="Y23" i="29"/>
  <c r="P32" i="28"/>
  <c r="AL52" i="35"/>
  <c r="Y22" i="29"/>
  <c r="Z22" i="29" s="1"/>
  <c r="AB22" i="29" s="1"/>
  <c r="N32" i="28" s="1"/>
  <c r="AM52" i="35" s="1"/>
  <c r="R36" i="30"/>
  <c r="J36" i="30"/>
  <c r="L36" i="30"/>
  <c r="O36" i="30"/>
  <c r="Q36" i="30"/>
  <c r="H36" i="30"/>
  <c r="I36" i="30"/>
  <c r="M36" i="30"/>
  <c r="P36" i="30"/>
  <c r="K36" i="30"/>
  <c r="N36" i="30"/>
  <c r="G36" i="30"/>
  <c r="S36" i="30" s="1"/>
  <c r="T36" i="30" s="1"/>
  <c r="U89" i="30"/>
  <c r="G89" i="30" s="1"/>
  <c r="R2" i="33"/>
  <c r="D27" i="33"/>
  <c r="H41" i="1"/>
  <c r="G88" i="30"/>
  <c r="H87" i="30"/>
  <c r="BH27" i="30"/>
  <c r="J24" i="1"/>
  <c r="L18" i="1"/>
  <c r="L17" i="1" s="1"/>
  <c r="J17" i="1"/>
  <c r="L14" i="1"/>
  <c r="L12" i="1" s="1"/>
  <c r="J12" i="1"/>
  <c r="J71" i="30"/>
  <c r="K69" i="30"/>
  <c r="D39" i="22"/>
  <c r="D40" i="22" s="1"/>
  <c r="I29" i="32" s="1"/>
  <c r="D37" i="22"/>
  <c r="C46" i="22"/>
  <c r="C47" i="22" s="1"/>
  <c r="H13" i="32" s="1"/>
  <c r="H15" i="32" s="1"/>
  <c r="H27" i="27"/>
  <c r="C44" i="22"/>
  <c r="C48" i="22" s="1"/>
  <c r="D60" i="26" s="1"/>
  <c r="D46" i="35" s="1"/>
  <c r="G36" i="26"/>
  <c r="F42" i="22" s="1"/>
  <c r="F43" i="22" s="1"/>
  <c r="K27" i="27" s="1"/>
  <c r="E42" i="22"/>
  <c r="E43" i="22" s="1"/>
  <c r="D44" i="22"/>
  <c r="I27" i="27"/>
  <c r="D46" i="22"/>
  <c r="D47" i="22" s="1"/>
  <c r="I13" i="32" s="1"/>
  <c r="F17" i="2"/>
  <c r="F21" i="2" s="1"/>
  <c r="AG6" i="35"/>
  <c r="AU7" i="35" s="1"/>
  <c r="U27" i="35"/>
  <c r="Q4" i="33"/>
  <c r="H57" i="27"/>
  <c r="AI15" i="35" s="1"/>
  <c r="G80" i="32"/>
  <c r="AG15" i="35"/>
  <c r="Y56" i="29"/>
  <c r="J9" i="30"/>
  <c r="N2" i="22" s="1"/>
  <c r="AB41" i="30"/>
  <c r="H26" i="2"/>
  <c r="H30" i="35"/>
  <c r="R79" i="27"/>
  <c r="I21" i="32"/>
  <c r="H18" i="2"/>
  <c r="I18" i="2" s="1"/>
  <c r="Q28" i="30"/>
  <c r="U21" i="22" s="1"/>
  <c r="U22" i="22" s="1"/>
  <c r="I28" i="30"/>
  <c r="M21" i="22" s="1"/>
  <c r="M22" i="22" s="1"/>
  <c r="L28" i="30"/>
  <c r="P21" i="22" s="1"/>
  <c r="P22" i="22" s="1"/>
  <c r="G28" i="30"/>
  <c r="K21" i="22" s="1"/>
  <c r="K28" i="30"/>
  <c r="O21" i="22" s="1"/>
  <c r="O22" i="22" s="1"/>
  <c r="R28" i="30"/>
  <c r="V21" i="22" s="1"/>
  <c r="V22" i="22" s="1"/>
  <c r="P28" i="30"/>
  <c r="T21" i="22" s="1"/>
  <c r="T22" i="22" s="1"/>
  <c r="J28" i="30"/>
  <c r="N21" i="22" s="1"/>
  <c r="N22" i="22" s="1"/>
  <c r="M28" i="30"/>
  <c r="Q21" i="22" s="1"/>
  <c r="Q22" i="22" s="1"/>
  <c r="H28" i="30"/>
  <c r="L21" i="22" s="1"/>
  <c r="L22" i="22" s="1"/>
  <c r="O28" i="30"/>
  <c r="S21" i="22" s="1"/>
  <c r="S22" i="22" s="1"/>
  <c r="BD26" i="30"/>
  <c r="BC26" i="30"/>
  <c r="E2" i="33"/>
  <c r="I21" i="30"/>
  <c r="I47" i="30" s="1"/>
  <c r="W13" i="22"/>
  <c r="I54" i="2"/>
  <c r="I52" i="2" s="1"/>
  <c r="H52" i="2"/>
  <c r="H47" i="2"/>
  <c r="G45" i="2"/>
  <c r="H40" i="2"/>
  <c r="G38" i="2"/>
  <c r="G31" i="2"/>
  <c r="H33" i="2"/>
  <c r="I26" i="2"/>
  <c r="I24" i="2" s="1"/>
  <c r="H24" i="2"/>
  <c r="G42" i="2"/>
  <c r="H53" i="2"/>
  <c r="P10" i="27"/>
  <c r="I49" i="2"/>
  <c r="J124" i="1"/>
  <c r="F84" i="29"/>
  <c r="J122" i="1"/>
  <c r="L122" i="1" s="1"/>
  <c r="U93" i="30"/>
  <c r="J82" i="1"/>
  <c r="L82" i="1" s="1"/>
  <c r="U84" i="30"/>
  <c r="L66" i="1"/>
  <c r="J68" i="1"/>
  <c r="L68" i="1" s="1"/>
  <c r="L65" i="1"/>
  <c r="L87" i="1"/>
  <c r="U38" i="30"/>
  <c r="Q38" i="30" s="1"/>
  <c r="L49" i="1"/>
  <c r="P48" i="27"/>
  <c r="C53" i="34" s="1"/>
  <c r="F80" i="32"/>
  <c r="F20" i="20"/>
  <c r="P19" i="27" s="1"/>
  <c r="C27" i="34" s="1"/>
  <c r="E22" i="20"/>
  <c r="I35" i="2"/>
  <c r="Q6" i="33"/>
  <c r="I26" i="27"/>
  <c r="D26" i="22"/>
  <c r="D27" i="22" s="1"/>
  <c r="I25" i="32" s="1"/>
  <c r="D24" i="22"/>
  <c r="L51" i="1"/>
  <c r="H104" i="1"/>
  <c r="J107" i="1"/>
  <c r="L107" i="1" s="1"/>
  <c r="L104" i="1" s="1"/>
  <c r="U26" i="29"/>
  <c r="N35" i="29"/>
  <c r="O35" i="29"/>
  <c r="J104" i="1"/>
  <c r="H63" i="1"/>
  <c r="J64" i="1"/>
  <c r="AN59" i="35"/>
  <c r="Y17" i="29"/>
  <c r="AK17" i="29" s="1"/>
  <c r="G45" i="28"/>
  <c r="AL45" i="35"/>
  <c r="AE17" i="29"/>
  <c r="T25" i="29"/>
  <c r="V25" i="29" s="1"/>
  <c r="AN56" i="29"/>
  <c r="AJ67" i="35"/>
  <c r="W28" i="29"/>
  <c r="J17" i="27"/>
  <c r="X56" i="35" s="1"/>
  <c r="G17" i="2"/>
  <c r="G21" i="2" s="1"/>
  <c r="H19" i="2"/>
  <c r="I19" i="2" s="1"/>
  <c r="H60" i="32"/>
  <c r="V34" i="35" s="1"/>
  <c r="I91" i="32"/>
  <c r="I92" i="32" s="1"/>
  <c r="I89" i="32" s="1"/>
  <c r="W47" i="35" s="1"/>
  <c r="S73" i="30"/>
  <c r="K38" i="22"/>
  <c r="L56" i="35"/>
  <c r="O12" i="20"/>
  <c r="N56" i="35" s="1"/>
  <c r="E3" i="22"/>
  <c r="F45" i="26"/>
  <c r="AE64" i="30"/>
  <c r="C37" i="33"/>
  <c r="H83" i="1"/>
  <c r="H79" i="1"/>
  <c r="AA26" i="29"/>
  <c r="T35" i="29"/>
  <c r="Z26" i="29"/>
  <c r="AB26" i="29" s="1"/>
  <c r="U24" i="29"/>
  <c r="T34" i="29" s="1"/>
  <c r="T24" i="29"/>
  <c r="V24" i="29" s="1"/>
  <c r="N34" i="29"/>
  <c r="O34" i="29"/>
  <c r="AE59" i="35"/>
  <c r="AM53" i="29"/>
  <c r="AA25" i="29"/>
  <c r="Z25" i="29"/>
  <c r="AB25" i="29" s="1"/>
  <c r="AJ30" i="35"/>
  <c r="G41" i="32"/>
  <c r="C3" i="33"/>
  <c r="C8" i="33" s="1"/>
  <c r="D8" i="33" s="1"/>
  <c r="E8" i="33" s="1"/>
  <c r="H52" i="27"/>
  <c r="C39" i="33" s="1"/>
  <c r="Q7" i="33"/>
  <c r="R7" i="33" s="1"/>
  <c r="G60" i="35"/>
  <c r="J16" i="20"/>
  <c r="I28" i="2"/>
  <c r="U49" i="30"/>
  <c r="G49" i="30" s="1"/>
  <c r="K9" i="30"/>
  <c r="S15" i="27"/>
  <c r="J76" i="35"/>
  <c r="M33" i="20"/>
  <c r="H17" i="27"/>
  <c r="V56" i="35" s="1"/>
  <c r="AJ29" i="35"/>
  <c r="AE10" i="35"/>
  <c r="F41" i="32"/>
  <c r="G64" i="35"/>
  <c r="Q19" i="27"/>
  <c r="D27" i="34" s="1"/>
  <c r="W67" i="35"/>
  <c r="P72" i="27"/>
  <c r="C2" i="34"/>
  <c r="C26" i="34" s="1"/>
  <c r="V66" i="35"/>
  <c r="F72" i="29"/>
  <c r="S11" i="20"/>
  <c r="M8" i="20"/>
  <c r="J52" i="35"/>
  <c r="E15" i="35"/>
  <c r="E34" i="35" s="1"/>
  <c r="I9" i="32"/>
  <c r="H8" i="1"/>
  <c r="I9" i="28"/>
  <c r="AE5" i="30"/>
  <c r="C1" i="33" a="1"/>
  <c r="C1" i="33" s="1"/>
  <c r="AE27" i="35"/>
  <c r="AE41" i="35" s="1"/>
  <c r="AE61" i="35" s="1"/>
  <c r="F21" i="28"/>
  <c r="K4" i="29" s="1"/>
  <c r="F8" i="2"/>
  <c r="O12" i="1"/>
  <c r="O17" i="1"/>
  <c r="M14" i="32"/>
  <c r="V6" i="35"/>
  <c r="M30" i="32"/>
  <c r="M22" i="32"/>
  <c r="H52" i="32"/>
  <c r="M26" i="32"/>
  <c r="G45" i="26"/>
  <c r="F3" i="22"/>
  <c r="G28" i="2"/>
  <c r="H28" i="2"/>
  <c r="H82" i="2"/>
  <c r="H80" i="2" s="1"/>
  <c r="G84" i="2"/>
  <c r="H83" i="2"/>
  <c r="H75" i="2"/>
  <c r="H73" i="2" s="1"/>
  <c r="H76" i="2"/>
  <c r="G77" i="2"/>
  <c r="H69" i="2"/>
  <c r="G70" i="2"/>
  <c r="H68" i="2"/>
  <c r="H66" i="2" s="1"/>
  <c r="G63" i="2"/>
  <c r="H62" i="2"/>
  <c r="H61" i="2"/>
  <c r="H59" i="2" s="1"/>
  <c r="H56" i="2"/>
  <c r="I53" i="2"/>
  <c r="I56" i="2" s="1"/>
  <c r="I39" i="2"/>
  <c r="I42" i="2" s="1"/>
  <c r="H42" i="2"/>
  <c r="K42" i="30"/>
  <c r="G42" i="30"/>
  <c r="R42" i="30"/>
  <c r="J42" i="30"/>
  <c r="Q42" i="30"/>
  <c r="I42" i="30"/>
  <c r="O42" i="30"/>
  <c r="P42" i="30"/>
  <c r="H42" i="30"/>
  <c r="N42" i="30"/>
  <c r="M42" i="30"/>
  <c r="L42" i="30"/>
  <c r="H113" i="1"/>
  <c r="J113" i="1"/>
  <c r="L114" i="1"/>
  <c r="L113" i="1" s="1"/>
  <c r="J109" i="1"/>
  <c r="H108" i="1"/>
  <c r="H99" i="1"/>
  <c r="J100" i="1"/>
  <c r="H94" i="1"/>
  <c r="L95" i="1"/>
  <c r="L94" i="1" s="1"/>
  <c r="J94" i="1"/>
  <c r="H88" i="1"/>
  <c r="J89" i="1"/>
  <c r="L84" i="1"/>
  <c r="L83" i="1" s="1"/>
  <c r="J83" i="1"/>
  <c r="J79" i="1"/>
  <c r="L80" i="1"/>
  <c r="H74" i="1"/>
  <c r="J75" i="1"/>
  <c r="J70" i="1"/>
  <c r="H69" i="1"/>
  <c r="O27" i="30"/>
  <c r="S18" i="22" s="1"/>
  <c r="S19" i="22" s="1"/>
  <c r="G27" i="30"/>
  <c r="R27" i="30"/>
  <c r="V18" i="22" s="1"/>
  <c r="V19" i="22" s="1"/>
  <c r="I27" i="30"/>
  <c r="M18" i="22" s="1"/>
  <c r="M19" i="22" s="1"/>
  <c r="P27" i="30"/>
  <c r="T18" i="22" s="1"/>
  <c r="T19" i="22" s="1"/>
  <c r="N27" i="30"/>
  <c r="R18" i="22" s="1"/>
  <c r="R19" i="22" s="1"/>
  <c r="M27" i="30"/>
  <c r="Q18" i="22" s="1"/>
  <c r="Q19" i="22" s="1"/>
  <c r="L27" i="30"/>
  <c r="P18" i="22" s="1"/>
  <c r="P19" i="22" s="1"/>
  <c r="K27" i="30"/>
  <c r="O18" i="22" s="1"/>
  <c r="O19" i="22" s="1"/>
  <c r="J27" i="30"/>
  <c r="N18" i="22" s="1"/>
  <c r="N19" i="22" s="1"/>
  <c r="Q27" i="30"/>
  <c r="U18" i="22" s="1"/>
  <c r="U19" i="22" s="1"/>
  <c r="H27" i="30"/>
  <c r="L18" i="22" s="1"/>
  <c r="L19" i="22" s="1"/>
  <c r="J53" i="1"/>
  <c r="U83" i="30"/>
  <c r="L48" i="1"/>
  <c r="J47" i="1"/>
  <c r="H46" i="1"/>
  <c r="BK26" i="30"/>
  <c r="BL26" i="30" s="1"/>
  <c r="BJ26" i="30"/>
  <c r="L25" i="1"/>
  <c r="L24" i="1" s="1"/>
  <c r="F32" i="1"/>
  <c r="H34" i="1"/>
  <c r="I83" i="32"/>
  <c r="H39" i="1"/>
  <c r="I62" i="32"/>
  <c r="AY27" i="30"/>
  <c r="I85" i="32"/>
  <c r="AX26" i="30"/>
  <c r="H11" i="1"/>
  <c r="AR27" i="30"/>
  <c r="H37" i="1"/>
  <c r="J35" i="1"/>
  <c r="AK56" i="29"/>
  <c r="P56" i="29"/>
  <c r="AM67" i="35"/>
  <c r="K81" i="32"/>
  <c r="N45" i="28"/>
  <c r="V56" i="29"/>
  <c r="K45" i="28"/>
  <c r="AB56" i="29"/>
  <c r="J45" i="28"/>
  <c r="AA50" i="29"/>
  <c r="AA47" i="29"/>
  <c r="AE56" i="29"/>
  <c r="P41" i="28"/>
  <c r="Q41" i="28"/>
  <c r="AH56" i="29"/>
  <c r="M41" i="28"/>
  <c r="O56" i="29"/>
  <c r="U44" i="29"/>
  <c r="H45" i="28"/>
  <c r="AG63" i="35"/>
  <c r="AG67" i="35" s="1"/>
  <c r="AC37" i="29"/>
  <c r="AC28" i="29"/>
  <c r="O50" i="28"/>
  <c r="AN72" i="35" s="1"/>
  <c r="Q49" i="28"/>
  <c r="AP70" i="35" s="1"/>
  <c r="W34" i="29"/>
  <c r="L50" i="28"/>
  <c r="AK72" i="35" s="1"/>
  <c r="N49" i="28"/>
  <c r="AM70" i="35" s="1"/>
  <c r="Q28" i="29"/>
  <c r="K49" i="28"/>
  <c r="AJ70" i="35" s="1"/>
  <c r="U105" i="30"/>
  <c r="G105" i="30" s="1"/>
  <c r="I50" i="28"/>
  <c r="AH72" i="35" s="1"/>
  <c r="Y18" i="29"/>
  <c r="AL46" i="35"/>
  <c r="Y16" i="29"/>
  <c r="AL44" i="35"/>
  <c r="H49" i="28"/>
  <c r="AG70" i="35" s="1"/>
  <c r="T18" i="29"/>
  <c r="V18" i="29" s="1"/>
  <c r="K26" i="28" s="1"/>
  <c r="AJ46" i="35" s="1"/>
  <c r="U18" i="29"/>
  <c r="F50" i="28"/>
  <c r="AE72" i="35" s="1"/>
  <c r="U17" i="29"/>
  <c r="T17" i="29"/>
  <c r="V17" i="29" s="1"/>
  <c r="K25" i="28" s="1"/>
  <c r="AJ45" i="35" s="1"/>
  <c r="R16" i="29"/>
  <c r="X16" i="29" s="1"/>
  <c r="AD16" i="29" s="1"/>
  <c r="K33" i="29"/>
  <c r="K28" i="29"/>
  <c r="O16" i="29"/>
  <c r="N16" i="29"/>
  <c r="AM43" i="29"/>
  <c r="R50" i="30"/>
  <c r="L50" i="30"/>
  <c r="AG36" i="35"/>
  <c r="V10" i="29"/>
  <c r="P14" i="29"/>
  <c r="U12" i="29"/>
  <c r="T11" i="29"/>
  <c r="AE13" i="29"/>
  <c r="AN35" i="35"/>
  <c r="Q17" i="28"/>
  <c r="Y13" i="29"/>
  <c r="AA13" i="29" s="1"/>
  <c r="AK35" i="35"/>
  <c r="N17" i="28"/>
  <c r="V13" i="29"/>
  <c r="AJ35" i="35"/>
  <c r="Q16" i="28"/>
  <c r="AE12" i="29"/>
  <c r="AN34" i="35"/>
  <c r="AJ34" i="35"/>
  <c r="V12" i="29"/>
  <c r="Y12" i="29"/>
  <c r="AK12" i="29" s="1"/>
  <c r="N16" i="28"/>
  <c r="AK34" i="35"/>
  <c r="K18" i="28"/>
  <c r="AK33" i="35"/>
  <c r="Y11" i="29"/>
  <c r="O15" i="28"/>
  <c r="N15" i="28"/>
  <c r="AJ33" i="35"/>
  <c r="V11" i="29"/>
  <c r="Q14" i="28"/>
  <c r="AE10" i="29"/>
  <c r="AN32" i="35"/>
  <c r="U10" i="29"/>
  <c r="N14" i="28"/>
  <c r="Y10" i="29"/>
  <c r="AK32" i="35"/>
  <c r="AK10" i="29"/>
  <c r="Q13" i="28"/>
  <c r="AN31" i="35"/>
  <c r="AE9" i="29"/>
  <c r="AK9" i="29" s="1"/>
  <c r="AM31" i="35"/>
  <c r="AB9" i="29"/>
  <c r="U9" i="29"/>
  <c r="T9" i="29"/>
  <c r="N9" i="29"/>
  <c r="V9" i="29"/>
  <c r="AJ31" i="35"/>
  <c r="N12" i="28"/>
  <c r="AK30" i="35"/>
  <c r="Y8" i="29"/>
  <c r="AA8" i="29" s="1"/>
  <c r="S14" i="29"/>
  <c r="T31" i="29" s="1"/>
  <c r="O12" i="28"/>
  <c r="T8" i="29"/>
  <c r="Q11" i="28"/>
  <c r="AN29" i="35"/>
  <c r="AE7" i="29"/>
  <c r="I30" i="27"/>
  <c r="W65" i="35" s="1"/>
  <c r="U106" i="30"/>
  <c r="H75" i="32"/>
  <c r="AK29" i="35"/>
  <c r="Y7" i="29"/>
  <c r="L18" i="28"/>
  <c r="N11" i="28"/>
  <c r="U7" i="29"/>
  <c r="T7" i="29"/>
  <c r="O14" i="29"/>
  <c r="I57" i="27"/>
  <c r="I80" i="32" s="1"/>
  <c r="E79" i="30" s="1"/>
  <c r="H80" i="32"/>
  <c r="Q39" i="33"/>
  <c r="E23" i="30"/>
  <c r="K77" i="32"/>
  <c r="Y44" i="35" s="1"/>
  <c r="X44" i="35"/>
  <c r="AB68" i="35"/>
  <c r="H46" i="28"/>
  <c r="AG68" i="35" s="1"/>
  <c r="I38" i="27"/>
  <c r="W71" i="35" s="1"/>
  <c r="N46" i="28"/>
  <c r="AM68" i="35" s="1"/>
  <c r="J76" i="32"/>
  <c r="I19" i="27"/>
  <c r="W58" i="35" s="1"/>
  <c r="U42" i="35"/>
  <c r="Q31" i="27"/>
  <c r="Q29" i="27"/>
  <c r="AU9" i="35" s="1"/>
  <c r="T42" i="35"/>
  <c r="P31" i="27"/>
  <c r="P29" i="27"/>
  <c r="V67" i="35"/>
  <c r="X41" i="35"/>
  <c r="J34" i="27"/>
  <c r="X67" i="35" s="1"/>
  <c r="Q48" i="28"/>
  <c r="AP69" i="35" s="1"/>
  <c r="K72" i="32"/>
  <c r="K17" i="27" s="1"/>
  <c r="Y56" i="35" s="1"/>
  <c r="I40" i="29"/>
  <c r="Y40" i="29"/>
  <c r="V40" i="29"/>
  <c r="AH40" i="29"/>
  <c r="S40" i="29"/>
  <c r="P40" i="29"/>
  <c r="AE40" i="29"/>
  <c r="AB40" i="29"/>
  <c r="K33" i="27"/>
  <c r="Q79" i="27"/>
  <c r="Q81" i="27" s="1"/>
  <c r="P93" i="27"/>
  <c r="P81" i="27"/>
  <c r="W22" i="35"/>
  <c r="I29" i="27"/>
  <c r="W64" i="35" s="1"/>
  <c r="J46" i="32"/>
  <c r="G61" i="27"/>
  <c r="AG19" i="35" s="1"/>
  <c r="AE18" i="35"/>
  <c r="U7" i="35"/>
  <c r="G49" i="32"/>
  <c r="U24" i="35" s="1"/>
  <c r="Q5" i="33"/>
  <c r="S3" i="33"/>
  <c r="R6" i="33"/>
  <c r="AI13" i="35"/>
  <c r="H43" i="32"/>
  <c r="I55" i="27"/>
  <c r="F64" i="35"/>
  <c r="Q18" i="27"/>
  <c r="G22" i="20"/>
  <c r="AI8" i="35"/>
  <c r="H38" i="32"/>
  <c r="I50" i="27"/>
  <c r="J87" i="32"/>
  <c r="AI17" i="35"/>
  <c r="I59" i="27"/>
  <c r="P18" i="27"/>
  <c r="D64" i="35"/>
  <c r="P26" i="27"/>
  <c r="P27" i="27" s="1"/>
  <c r="E64" i="35"/>
  <c r="N47" i="28"/>
  <c r="J67" i="32"/>
  <c r="W38" i="35"/>
  <c r="I32" i="27"/>
  <c r="W33" i="35"/>
  <c r="I31" i="27"/>
  <c r="J59" i="32"/>
  <c r="T108" i="30"/>
  <c r="T52" i="30"/>
  <c r="J55" i="32"/>
  <c r="W29" i="35"/>
  <c r="V14" i="35"/>
  <c r="I32" i="32"/>
  <c r="H31" i="32"/>
  <c r="F39" i="22"/>
  <c r="F40" i="22" s="1"/>
  <c r="K29" i="32" s="1"/>
  <c r="F37" i="22"/>
  <c r="F26" i="22"/>
  <c r="F27" i="22"/>
  <c r="K25" i="32" s="1"/>
  <c r="K26" i="27"/>
  <c r="F24" i="22"/>
  <c r="J26" i="27"/>
  <c r="E26" i="22"/>
  <c r="E27" i="22" s="1"/>
  <c r="J25" i="32" s="1"/>
  <c r="H26" i="27"/>
  <c r="C26" i="22"/>
  <c r="E14" i="22"/>
  <c r="J21" i="32" s="1"/>
  <c r="K48" i="22"/>
  <c r="W47" i="22"/>
  <c r="W17" i="22"/>
  <c r="C13" i="22"/>
  <c r="C14" i="22" s="1"/>
  <c r="H21" i="32" s="1"/>
  <c r="H25" i="27"/>
  <c r="D48" i="35"/>
  <c r="H62" i="26"/>
  <c r="H48" i="35" s="1"/>
  <c r="H17" i="32"/>
  <c r="S49" i="30" l="1"/>
  <c r="T49" i="30" s="1"/>
  <c r="U21" i="29"/>
  <c r="T21" i="29"/>
  <c r="V21" i="29" s="1"/>
  <c r="K30" i="28" s="1"/>
  <c r="AJ50" i="35" s="1"/>
  <c r="M39" i="28"/>
  <c r="J30" i="27" s="1"/>
  <c r="X65" i="35" s="1"/>
  <c r="P28" i="28"/>
  <c r="P39" i="28" s="1"/>
  <c r="H89" i="30"/>
  <c r="G91" i="30"/>
  <c r="J41" i="1"/>
  <c r="Z24" i="29"/>
  <c r="AB24" i="29" s="1"/>
  <c r="N34" i="28" s="1"/>
  <c r="AM54" i="35" s="1"/>
  <c r="AA24" i="29"/>
  <c r="Z23" i="29"/>
  <c r="AB23" i="29" s="1"/>
  <c r="N33" i="28" s="1"/>
  <c r="AM53" i="35" s="1"/>
  <c r="AA23" i="29"/>
  <c r="Y21" i="29"/>
  <c r="P30" i="28"/>
  <c r="AL50" i="35"/>
  <c r="AL49" i="35"/>
  <c r="P29" i="28"/>
  <c r="Y20" i="29"/>
  <c r="U20" i="29"/>
  <c r="T20" i="29"/>
  <c r="V20" i="29" s="1"/>
  <c r="K29" i="28" s="1"/>
  <c r="AJ49" i="35" s="1"/>
  <c r="T19" i="29"/>
  <c r="V19" i="29" s="1"/>
  <c r="K28" i="28" s="1"/>
  <c r="AJ48" i="35" s="1"/>
  <c r="U19" i="29"/>
  <c r="AL48" i="35"/>
  <c r="Y19" i="29"/>
  <c r="AG25" i="29"/>
  <c r="AG27" i="29"/>
  <c r="AF27" i="29"/>
  <c r="AH27" i="29" s="1"/>
  <c r="Q38" i="28" s="1"/>
  <c r="AP58" i="35" s="1"/>
  <c r="AK27" i="29"/>
  <c r="AE35" i="29"/>
  <c r="AE37" i="29" s="1"/>
  <c r="AK25" i="29"/>
  <c r="AE24" i="29"/>
  <c r="AO54" i="35"/>
  <c r="AE23" i="29"/>
  <c r="AO53" i="35"/>
  <c r="AE22" i="29"/>
  <c r="AO52" i="35"/>
  <c r="AA22" i="29"/>
  <c r="L93" i="30"/>
  <c r="M93" i="30"/>
  <c r="P84" i="30"/>
  <c r="T52" i="22" s="1"/>
  <c r="T53" i="22" s="1"/>
  <c r="H84" i="30"/>
  <c r="L52" i="22" s="1"/>
  <c r="L53" i="22" s="1"/>
  <c r="R84" i="30"/>
  <c r="V52" i="22" s="1"/>
  <c r="V53" i="22" s="1"/>
  <c r="M84" i="30"/>
  <c r="Q52" i="22" s="1"/>
  <c r="Q53" i="22" s="1"/>
  <c r="L84" i="30"/>
  <c r="P52" i="22" s="1"/>
  <c r="P53" i="22" s="1"/>
  <c r="H88" i="30"/>
  <c r="I87" i="30"/>
  <c r="BK27" i="30"/>
  <c r="BL27" i="30" s="1"/>
  <c r="BJ27" i="30"/>
  <c r="K62" i="32"/>
  <c r="K60" i="32" s="1"/>
  <c r="Y34" i="35" s="1"/>
  <c r="F13" i="2"/>
  <c r="K71" i="30"/>
  <c r="L69" i="30"/>
  <c r="D48" i="22"/>
  <c r="E60" i="26" s="1"/>
  <c r="E46" i="35" s="1"/>
  <c r="F44" i="22"/>
  <c r="F46" i="22"/>
  <c r="J27" i="27"/>
  <c r="X62" i="35" s="1"/>
  <c r="E46" i="22"/>
  <c r="E44" i="22"/>
  <c r="E48" i="22" s="1"/>
  <c r="F60" i="26" s="1"/>
  <c r="F46" i="35" s="1"/>
  <c r="W62" i="35"/>
  <c r="F2" i="33"/>
  <c r="F27" i="33" s="1"/>
  <c r="AC41" i="30"/>
  <c r="R39" i="33"/>
  <c r="Q43" i="33"/>
  <c r="R43" i="33" s="1"/>
  <c r="Q42" i="33"/>
  <c r="J21" i="30"/>
  <c r="J47" i="30" s="1"/>
  <c r="N84" i="30"/>
  <c r="R52" i="22" s="1"/>
  <c r="R53" i="22" s="1"/>
  <c r="C49" i="22"/>
  <c r="D61" i="26" s="1"/>
  <c r="M18" i="30" s="1"/>
  <c r="F48" i="22"/>
  <c r="G60" i="26" s="1"/>
  <c r="G46" i="35" s="1"/>
  <c r="H41" i="32"/>
  <c r="G84" i="30"/>
  <c r="K52" i="22" s="1"/>
  <c r="K53" i="22" s="1"/>
  <c r="O84" i="30"/>
  <c r="S52" i="22" s="1"/>
  <c r="S53" i="22" s="1"/>
  <c r="S28" i="30"/>
  <c r="T28" i="30" s="1"/>
  <c r="J11" i="1"/>
  <c r="S2" i="33"/>
  <c r="E27" i="33"/>
  <c r="H49" i="2"/>
  <c r="H45" i="2"/>
  <c r="I47" i="2"/>
  <c r="I45" i="2" s="1"/>
  <c r="I40" i="2"/>
  <c r="I38" i="2" s="1"/>
  <c r="H38" i="2"/>
  <c r="H31" i="2"/>
  <c r="I33" i="2"/>
  <c r="I31" i="2" s="1"/>
  <c r="L124" i="1"/>
  <c r="J84" i="29" s="1"/>
  <c r="H84" i="29"/>
  <c r="N93" i="30"/>
  <c r="G93" i="30"/>
  <c r="O93" i="30"/>
  <c r="H93" i="30"/>
  <c r="P93" i="30"/>
  <c r="K93" i="30"/>
  <c r="I93" i="30"/>
  <c r="Q93" i="30"/>
  <c r="J93" i="30"/>
  <c r="R93" i="30"/>
  <c r="U94" i="30"/>
  <c r="G94" i="30" s="1"/>
  <c r="K84" i="30"/>
  <c r="O52" i="22" s="1"/>
  <c r="O53" i="22" s="1"/>
  <c r="J84" i="30"/>
  <c r="N52" i="22" s="1"/>
  <c r="N53" i="22" s="1"/>
  <c r="Q84" i="30"/>
  <c r="U52" i="22" s="1"/>
  <c r="U53" i="22" s="1"/>
  <c r="I84" i="30"/>
  <c r="M52" i="22" s="1"/>
  <c r="M53" i="22" s="1"/>
  <c r="L64" i="1"/>
  <c r="J63" i="1"/>
  <c r="L79" i="1"/>
  <c r="F10" i="2"/>
  <c r="S12" i="30" s="1"/>
  <c r="S14" i="30" s="1"/>
  <c r="L14" i="30" s="1"/>
  <c r="P7" i="22" s="1"/>
  <c r="P8" i="22" s="1"/>
  <c r="Q26" i="27"/>
  <c r="Q27" i="27" s="1"/>
  <c r="G26" i="20"/>
  <c r="D49" i="22"/>
  <c r="I20" i="27" s="1"/>
  <c r="W59" i="35" s="1"/>
  <c r="F11" i="2"/>
  <c r="I15" i="20" s="1"/>
  <c r="U22" i="30" s="1"/>
  <c r="I52" i="27"/>
  <c r="J52" i="27" s="1"/>
  <c r="C9" i="33"/>
  <c r="D9" i="33" s="1"/>
  <c r="E9" i="33" s="1"/>
  <c r="F9" i="33" s="1"/>
  <c r="C7" i="33"/>
  <c r="D7" i="33" s="1"/>
  <c r="J91" i="32"/>
  <c r="J92" i="32" s="1"/>
  <c r="J89" i="32" s="1"/>
  <c r="X47" i="35" s="1"/>
  <c r="J39" i="1"/>
  <c r="H36" i="27"/>
  <c r="V69" i="35" s="1"/>
  <c r="G50" i="28"/>
  <c r="AF72" i="35" s="1"/>
  <c r="AF25" i="29"/>
  <c r="AH25" i="29" s="1"/>
  <c r="Q36" i="28" s="1"/>
  <c r="AP56" i="35" s="1"/>
  <c r="Z13" i="29"/>
  <c r="I17" i="2"/>
  <c r="H17" i="2"/>
  <c r="H21" i="2" s="1"/>
  <c r="K39" i="22"/>
  <c r="W39" i="22" s="1"/>
  <c r="W38" i="22"/>
  <c r="K83" i="32"/>
  <c r="K85" i="32"/>
  <c r="L39" i="1"/>
  <c r="L34" i="1"/>
  <c r="Z35" i="29"/>
  <c r="AG26" i="29"/>
  <c r="AK26" i="29" s="1"/>
  <c r="AF26" i="29"/>
  <c r="AH26" i="29" s="1"/>
  <c r="Q37" i="28" s="1"/>
  <c r="AP57" i="35" s="1"/>
  <c r="L11" i="1"/>
  <c r="K91" i="32"/>
  <c r="K92" i="32" s="1"/>
  <c r="K89" i="32" s="1"/>
  <c r="Y47" i="35" s="1"/>
  <c r="F31" i="1"/>
  <c r="F44" i="1" s="1"/>
  <c r="AK7" i="29"/>
  <c r="C4" i="33"/>
  <c r="C5" i="33" s="1"/>
  <c r="C6" i="33"/>
  <c r="C10" i="33"/>
  <c r="D10" i="33" s="1"/>
  <c r="E10" i="33" s="1"/>
  <c r="F10" i="33" s="1"/>
  <c r="G10" i="33" s="1"/>
  <c r="D3" i="33"/>
  <c r="E3" i="33" s="1"/>
  <c r="AI10" i="35"/>
  <c r="C13" i="33"/>
  <c r="R8" i="33"/>
  <c r="H23" i="30" s="1"/>
  <c r="Q8" i="33"/>
  <c r="G23" i="30" s="1"/>
  <c r="H22" i="20"/>
  <c r="G66" i="35" s="1"/>
  <c r="I60" i="35"/>
  <c r="L16" i="20"/>
  <c r="F22" i="20"/>
  <c r="H42" i="1"/>
  <c r="U92" i="30" s="1"/>
  <c r="H38" i="30"/>
  <c r="AD41" i="30"/>
  <c r="G2" i="33"/>
  <c r="G27" i="33" s="1"/>
  <c r="O2" i="22"/>
  <c r="K21" i="30"/>
  <c r="K47" i="30" s="1"/>
  <c r="L9" i="30"/>
  <c r="O33" i="20"/>
  <c r="L76" i="35"/>
  <c r="T15" i="27"/>
  <c r="K38" i="30"/>
  <c r="L38" i="30"/>
  <c r="G38" i="30"/>
  <c r="R38" i="30"/>
  <c r="N38" i="30"/>
  <c r="M38" i="30"/>
  <c r="O38" i="30"/>
  <c r="J38" i="30"/>
  <c r="P38" i="30"/>
  <c r="I38" i="30"/>
  <c r="AJ36" i="35"/>
  <c r="H74" i="32"/>
  <c r="V43" i="35" s="1"/>
  <c r="S85" i="27"/>
  <c r="AK15" i="35"/>
  <c r="P12" i="1"/>
  <c r="P17" i="1"/>
  <c r="G8" i="2"/>
  <c r="N14" i="32"/>
  <c r="N30" i="32"/>
  <c r="N22" i="32"/>
  <c r="I52" i="32"/>
  <c r="N26" i="32"/>
  <c r="W6" i="35"/>
  <c r="K17" i="2"/>
  <c r="H11" i="27"/>
  <c r="K39" i="29"/>
  <c r="H72" i="29"/>
  <c r="T11" i="20"/>
  <c r="L52" i="35"/>
  <c r="F15" i="35"/>
  <c r="F34" i="35" s="1"/>
  <c r="J9" i="32"/>
  <c r="L9" i="28"/>
  <c r="O8" i="20"/>
  <c r="J8" i="1"/>
  <c r="AI6" i="35"/>
  <c r="AV7" i="35" s="1"/>
  <c r="V52" i="35"/>
  <c r="V27" i="35"/>
  <c r="AH27" i="35"/>
  <c r="AH41" i="35" s="1"/>
  <c r="AH61" i="35" s="1"/>
  <c r="I21" i="28"/>
  <c r="Q4" i="29" s="1"/>
  <c r="G13" i="2"/>
  <c r="H84" i="2"/>
  <c r="I83" i="2"/>
  <c r="I84" i="2" s="1"/>
  <c r="I82" i="2"/>
  <c r="I80" i="2" s="1"/>
  <c r="I76" i="2"/>
  <c r="I77" i="2" s="1"/>
  <c r="H77" i="2"/>
  <c r="I75" i="2"/>
  <c r="I73" i="2" s="1"/>
  <c r="I68" i="2"/>
  <c r="I66" i="2" s="1"/>
  <c r="G10" i="2"/>
  <c r="K11" i="20" s="1"/>
  <c r="I69" i="2"/>
  <c r="I70" i="2" s="1"/>
  <c r="H70" i="2"/>
  <c r="G11" i="2"/>
  <c r="I61" i="2"/>
  <c r="I59" i="2" s="1"/>
  <c r="I62" i="2"/>
  <c r="I63" i="2" s="1"/>
  <c r="H63" i="2"/>
  <c r="I21" i="2"/>
  <c r="S42" i="30"/>
  <c r="T42" i="30" s="1"/>
  <c r="J108" i="1"/>
  <c r="L109" i="1"/>
  <c r="L108" i="1" s="1"/>
  <c r="J99" i="1"/>
  <c r="L100" i="1"/>
  <c r="L99" i="1" s="1"/>
  <c r="J88" i="1"/>
  <c r="L89" i="1"/>
  <c r="L88" i="1" s="1"/>
  <c r="J74" i="1"/>
  <c r="L75" i="1"/>
  <c r="L70" i="1"/>
  <c r="L69" i="1" s="1"/>
  <c r="J69" i="1"/>
  <c r="K22" i="22"/>
  <c r="W22" i="22" s="1"/>
  <c r="W21" i="22"/>
  <c r="L53" i="1"/>
  <c r="K18" i="22"/>
  <c r="S27" i="30"/>
  <c r="T27" i="30" s="1"/>
  <c r="P83" i="30"/>
  <c r="T49" i="22" s="1"/>
  <c r="T50" i="22" s="1"/>
  <c r="H83" i="30"/>
  <c r="L49" i="22" s="1"/>
  <c r="L50" i="22" s="1"/>
  <c r="J83" i="30"/>
  <c r="N49" i="22" s="1"/>
  <c r="N50" i="22" s="1"/>
  <c r="Q83" i="30"/>
  <c r="U49" i="22" s="1"/>
  <c r="U50" i="22" s="1"/>
  <c r="O83" i="30"/>
  <c r="S49" i="22" s="1"/>
  <c r="S50" i="22" s="1"/>
  <c r="G83" i="30"/>
  <c r="N83" i="30"/>
  <c r="R49" i="22" s="1"/>
  <c r="R50" i="22" s="1"/>
  <c r="K83" i="30"/>
  <c r="O49" i="22" s="1"/>
  <c r="O50" i="22" s="1"/>
  <c r="M83" i="30"/>
  <c r="Q49" i="22" s="1"/>
  <c r="Q50" i="22" s="1"/>
  <c r="L83" i="30"/>
  <c r="P49" i="22" s="1"/>
  <c r="P50" i="22" s="1"/>
  <c r="R83" i="30"/>
  <c r="V49" i="22" s="1"/>
  <c r="V50" i="22" s="1"/>
  <c r="I83" i="30"/>
  <c r="M49" i="22" s="1"/>
  <c r="M50" i="22" s="1"/>
  <c r="J46" i="1"/>
  <c r="L47" i="1"/>
  <c r="BM26" i="30"/>
  <c r="R42" i="27"/>
  <c r="J62" i="32"/>
  <c r="J60" i="32" s="1"/>
  <c r="X34" i="35" s="1"/>
  <c r="J85" i="32"/>
  <c r="J83" i="32"/>
  <c r="J34" i="1"/>
  <c r="BN26" i="30"/>
  <c r="H32" i="1"/>
  <c r="K30" i="20"/>
  <c r="I60" i="32"/>
  <c r="W34" i="35" s="1"/>
  <c r="BE26" i="30"/>
  <c r="BO26" i="30" s="1"/>
  <c r="BA27" i="30"/>
  <c r="AT27" i="30"/>
  <c r="J37" i="1"/>
  <c r="L35" i="1"/>
  <c r="L41" i="1" s="1"/>
  <c r="AG50" i="29"/>
  <c r="AG47" i="29"/>
  <c r="P45" i="28"/>
  <c r="AO63" i="35"/>
  <c r="AO67" i="35" s="1"/>
  <c r="AL63" i="35"/>
  <c r="AL67" i="35" s="1"/>
  <c r="M45" i="28"/>
  <c r="AP63" i="35"/>
  <c r="AP67" i="35" s="1"/>
  <c r="Q45" i="28"/>
  <c r="U56" i="29"/>
  <c r="AA44" i="29"/>
  <c r="W37" i="29"/>
  <c r="Y34" i="29"/>
  <c r="Y37" i="29" s="1"/>
  <c r="S105" i="30"/>
  <c r="T105" i="30" s="1"/>
  <c r="AE18" i="29"/>
  <c r="AO46" i="35"/>
  <c r="AO44" i="35"/>
  <c r="AE16" i="29"/>
  <c r="AA18" i="29"/>
  <c r="Z18" i="29"/>
  <c r="AB18" i="29" s="1"/>
  <c r="N26" i="28" s="1"/>
  <c r="AM46" i="35" s="1"/>
  <c r="AA17" i="29"/>
  <c r="Z17" i="29"/>
  <c r="AB17" i="29" s="1"/>
  <c r="N25" i="28" s="1"/>
  <c r="AM45" i="35" s="1"/>
  <c r="N28" i="29"/>
  <c r="P16" i="29"/>
  <c r="U16" i="29"/>
  <c r="O33" i="29"/>
  <c r="T16" i="29"/>
  <c r="N33" i="29"/>
  <c r="O28" i="29"/>
  <c r="M33" i="29"/>
  <c r="M37" i="29" s="1"/>
  <c r="K37" i="29"/>
  <c r="AD28" i="29"/>
  <c r="AJ16" i="29"/>
  <c r="N14" i="29"/>
  <c r="S50" i="30"/>
  <c r="T50" i="30" s="1"/>
  <c r="AG13" i="29"/>
  <c r="AF13" i="29"/>
  <c r="AB13" i="29"/>
  <c r="AM35" i="35"/>
  <c r="AK13" i="29"/>
  <c r="AP35" i="35"/>
  <c r="AH13" i="29"/>
  <c r="V14" i="29"/>
  <c r="Z12" i="29"/>
  <c r="AA12" i="29"/>
  <c r="Y14" i="29"/>
  <c r="Z31" i="29" s="1"/>
  <c r="AM34" i="35"/>
  <c r="AB12" i="29"/>
  <c r="AH12" i="29"/>
  <c r="AP34" i="35"/>
  <c r="AB11" i="29"/>
  <c r="AM33" i="35"/>
  <c r="Q15" i="28"/>
  <c r="AE11" i="29"/>
  <c r="AN33" i="35"/>
  <c r="N31" i="29"/>
  <c r="O18" i="28"/>
  <c r="AK11" i="29"/>
  <c r="T14" i="29"/>
  <c r="Z11" i="29"/>
  <c r="AA11" i="29"/>
  <c r="AK36" i="35"/>
  <c r="AB10" i="29"/>
  <c r="AM32" i="35"/>
  <c r="Z10" i="29"/>
  <c r="AA10" i="29"/>
  <c r="AH10" i="29"/>
  <c r="AP32" i="35"/>
  <c r="AA9" i="29"/>
  <c r="Z9" i="29"/>
  <c r="AH9" i="29"/>
  <c r="AP31" i="35"/>
  <c r="AE8" i="29"/>
  <c r="AF8" i="29" s="1"/>
  <c r="AN30" i="35"/>
  <c r="AN36" i="35" s="1"/>
  <c r="Q12" i="28"/>
  <c r="AB8" i="29"/>
  <c r="AM30" i="35"/>
  <c r="Z8" i="29"/>
  <c r="Z7" i="29"/>
  <c r="U14" i="29"/>
  <c r="AA7" i="29"/>
  <c r="R106" i="30"/>
  <c r="L106" i="30"/>
  <c r="N18" i="28"/>
  <c r="AB7" i="29"/>
  <c r="AM29" i="35"/>
  <c r="I75" i="32"/>
  <c r="AH7" i="29"/>
  <c r="AP29" i="35"/>
  <c r="J57" i="27"/>
  <c r="J80" i="32" s="1"/>
  <c r="J38" i="27"/>
  <c r="X71" i="35" s="1"/>
  <c r="Q46" i="28"/>
  <c r="AP68" i="35" s="1"/>
  <c r="K76" i="32"/>
  <c r="M76" i="32" s="1"/>
  <c r="J19" i="27"/>
  <c r="X58" i="35" s="1"/>
  <c r="AU11" i="35"/>
  <c r="Q32" i="27"/>
  <c r="AU12" i="35" s="1"/>
  <c r="Q30" i="27"/>
  <c r="AU10" i="35" s="1"/>
  <c r="P30" i="27"/>
  <c r="AT10" i="35" s="1"/>
  <c r="AT9" i="35"/>
  <c r="AT11" i="35"/>
  <c r="P32" i="27"/>
  <c r="AT12" i="35" s="1"/>
  <c r="K34" i="27"/>
  <c r="Y67" i="35" s="1"/>
  <c r="Y41" i="35"/>
  <c r="M72" i="32"/>
  <c r="J81" i="32"/>
  <c r="O19" i="28"/>
  <c r="AG40" i="29"/>
  <c r="AE43" i="29"/>
  <c r="H19" i="28"/>
  <c r="P43" i="29"/>
  <c r="U40" i="29"/>
  <c r="AA40" i="29" s="1"/>
  <c r="S43" i="29"/>
  <c r="H81" i="32" s="1"/>
  <c r="I19" i="28"/>
  <c r="AH43" i="29"/>
  <c r="Q19" i="28"/>
  <c r="AP38" i="35" s="1"/>
  <c r="V43" i="29"/>
  <c r="K19" i="28"/>
  <c r="I81" i="32"/>
  <c r="Y43" i="29"/>
  <c r="L19" i="28"/>
  <c r="N19" i="28"/>
  <c r="AM38" i="35" s="1"/>
  <c r="AB43" i="29"/>
  <c r="I43" i="29"/>
  <c r="O40" i="29"/>
  <c r="O43" i="29" s="1"/>
  <c r="X22" i="35"/>
  <c r="J29" i="27"/>
  <c r="X64" i="35" s="1"/>
  <c r="K46" i="32"/>
  <c r="C49" i="33"/>
  <c r="C45" i="33"/>
  <c r="D45" i="33" s="1"/>
  <c r="E45" i="33" s="1"/>
  <c r="F45" i="33" s="1"/>
  <c r="C46" i="33"/>
  <c r="D46" i="33" s="1"/>
  <c r="E46" i="33" s="1"/>
  <c r="F46" i="33" s="1"/>
  <c r="G46" i="33" s="1"/>
  <c r="C43" i="33"/>
  <c r="D43" i="33" s="1"/>
  <c r="D39" i="33"/>
  <c r="E39" i="33" s="1"/>
  <c r="C44" i="33"/>
  <c r="D44" i="33" s="1"/>
  <c r="E44" i="33" s="1"/>
  <c r="H28" i="32"/>
  <c r="I31" i="32" s="1"/>
  <c r="S7" i="33"/>
  <c r="S8" i="33" s="1"/>
  <c r="I23" i="30" s="1"/>
  <c r="AK13" i="35"/>
  <c r="I43" i="32"/>
  <c r="J55" i="27"/>
  <c r="AK17" i="35"/>
  <c r="J59" i="27"/>
  <c r="K87" i="32"/>
  <c r="F66" i="35"/>
  <c r="H26" i="20"/>
  <c r="G70" i="35" s="1"/>
  <c r="Q20" i="27"/>
  <c r="Q74" i="27" s="1"/>
  <c r="AK8" i="35"/>
  <c r="I38" i="32"/>
  <c r="J50" i="27"/>
  <c r="P20" i="27"/>
  <c r="P74" i="27" s="1"/>
  <c r="E26" i="20"/>
  <c r="F26" i="20" s="1"/>
  <c r="E70" i="35" s="1"/>
  <c r="D66" i="35"/>
  <c r="C27" i="22"/>
  <c r="H25" i="32" s="1"/>
  <c r="H27" i="32" s="1"/>
  <c r="X38" i="35"/>
  <c r="Q47" i="28"/>
  <c r="J32" i="27"/>
  <c r="K67" i="32"/>
  <c r="W66" i="35"/>
  <c r="J31" i="27"/>
  <c r="K59" i="32"/>
  <c r="X33" i="35"/>
  <c r="K55" i="32"/>
  <c r="Y29" i="35" s="1"/>
  <c r="X29" i="35"/>
  <c r="W14" i="35"/>
  <c r="J32" i="32"/>
  <c r="H12" i="32"/>
  <c r="Y62" i="35"/>
  <c r="W48" i="22"/>
  <c r="H23" i="32"/>
  <c r="H20" i="32" s="1"/>
  <c r="V62" i="35"/>
  <c r="I17" i="32"/>
  <c r="V10" i="35"/>
  <c r="AL59" i="35" l="1"/>
  <c r="Y28" i="29"/>
  <c r="H91" i="30"/>
  <c r="I89" i="30"/>
  <c r="Z34" i="29"/>
  <c r="AG24" i="29"/>
  <c r="AF24" i="29"/>
  <c r="AH24" i="29" s="1"/>
  <c r="Q34" i="28" s="1"/>
  <c r="AP54" i="35" s="1"/>
  <c r="AG23" i="29"/>
  <c r="AF23" i="29"/>
  <c r="AH23" i="29" s="1"/>
  <c r="Q33" i="28" s="1"/>
  <c r="AP53" i="35" s="1"/>
  <c r="Z20" i="29"/>
  <c r="AB20" i="29" s="1"/>
  <c r="N29" i="28" s="1"/>
  <c r="AM49" i="35" s="1"/>
  <c r="AA20" i="29"/>
  <c r="AE21" i="29"/>
  <c r="AO50" i="35"/>
  <c r="AA21" i="29"/>
  <c r="Z21" i="29"/>
  <c r="AB21" i="29" s="1"/>
  <c r="N30" i="28" s="1"/>
  <c r="AM50" i="35" s="1"/>
  <c r="AO49" i="35"/>
  <c r="AE20" i="29"/>
  <c r="AA19" i="29"/>
  <c r="Z19" i="29"/>
  <c r="AB19" i="29" s="1"/>
  <c r="N28" i="28" s="1"/>
  <c r="AM48" i="35" s="1"/>
  <c r="AO48" i="35"/>
  <c r="AO59" i="35" s="1"/>
  <c r="AE19" i="29"/>
  <c r="AM27" i="29"/>
  <c r="AL36" i="29" s="1"/>
  <c r="AL27" i="29"/>
  <c r="AN27" i="29" s="1"/>
  <c r="AF36" i="29"/>
  <c r="AM25" i="29"/>
  <c r="AL25" i="29"/>
  <c r="AN25" i="29" s="1"/>
  <c r="AG22" i="29"/>
  <c r="AF22" i="29"/>
  <c r="AH22" i="29" s="1"/>
  <c r="Q32" i="28" s="1"/>
  <c r="AP52" i="35" s="1"/>
  <c r="AK24" i="29"/>
  <c r="AK23" i="29"/>
  <c r="G92" i="30"/>
  <c r="P92" i="30"/>
  <c r="M92" i="30"/>
  <c r="K92" i="30"/>
  <c r="I92" i="30"/>
  <c r="H92" i="30"/>
  <c r="R92" i="30"/>
  <c r="O92" i="30"/>
  <c r="N92" i="30"/>
  <c r="L92" i="30"/>
  <c r="J92" i="30"/>
  <c r="Q92" i="30"/>
  <c r="J87" i="30"/>
  <c r="I88" i="30"/>
  <c r="S93" i="30"/>
  <c r="T93" i="30" s="1"/>
  <c r="AV27" i="30"/>
  <c r="L71" i="30"/>
  <c r="M69" i="30"/>
  <c r="F49" i="22"/>
  <c r="F47" i="22"/>
  <c r="K13" i="32" s="1"/>
  <c r="E47" i="22"/>
  <c r="J13" i="32" s="1"/>
  <c r="E49" i="22"/>
  <c r="S39" i="33"/>
  <c r="S43" i="33" s="1"/>
  <c r="S44" i="33" s="1"/>
  <c r="I79" i="30" s="1"/>
  <c r="R42" i="33"/>
  <c r="R44" i="33" s="1"/>
  <c r="H79" i="30" s="1"/>
  <c r="D50" i="26"/>
  <c r="H20" i="27"/>
  <c r="V59" i="35" s="1"/>
  <c r="D47" i="35"/>
  <c r="H60" i="26"/>
  <c r="H46" i="35" s="1"/>
  <c r="W53" i="22"/>
  <c r="J32" i="1"/>
  <c r="T42" i="27" s="1"/>
  <c r="F12" i="2"/>
  <c r="F14" i="2" s="1"/>
  <c r="I11" i="20"/>
  <c r="H54" i="27" s="1"/>
  <c r="H42" i="32" s="1"/>
  <c r="V19" i="35" s="1"/>
  <c r="W52" i="22"/>
  <c r="S84" i="30"/>
  <c r="T84" i="30" s="1"/>
  <c r="L63" i="1"/>
  <c r="L74" i="1"/>
  <c r="E61" i="26"/>
  <c r="U78" i="30"/>
  <c r="K15" i="20"/>
  <c r="I41" i="32"/>
  <c r="AK10" i="35"/>
  <c r="I51" i="27"/>
  <c r="I40" i="32" s="1"/>
  <c r="W18" i="35" s="1"/>
  <c r="F3" i="33"/>
  <c r="F8" i="33" s="1"/>
  <c r="F11" i="33" s="1"/>
  <c r="J11" i="30" s="1"/>
  <c r="E7" i="33"/>
  <c r="E11" i="33" s="1"/>
  <c r="I11" i="30" s="1"/>
  <c r="C11" i="33"/>
  <c r="G11" i="30" s="1"/>
  <c r="O94" i="30"/>
  <c r="P94" i="30"/>
  <c r="I94" i="30"/>
  <c r="Q94" i="30"/>
  <c r="M94" i="30"/>
  <c r="H94" i="30"/>
  <c r="L94" i="30"/>
  <c r="R94" i="30"/>
  <c r="K94" i="30"/>
  <c r="J94" i="30"/>
  <c r="N94" i="30"/>
  <c r="AF35" i="29"/>
  <c r="AM26" i="29"/>
  <c r="AL35" i="29" s="1"/>
  <c r="AL26" i="29"/>
  <c r="AN26" i="29" s="1"/>
  <c r="O30" i="20"/>
  <c r="N74" i="35" s="1"/>
  <c r="G31" i="1"/>
  <c r="I17" i="20"/>
  <c r="H61" i="35" s="1"/>
  <c r="G11" i="1"/>
  <c r="H31" i="1"/>
  <c r="H44" i="1" s="1"/>
  <c r="K17" i="20" s="1"/>
  <c r="J61" i="35" s="1"/>
  <c r="S23" i="30"/>
  <c r="D6" i="33"/>
  <c r="D11" i="33" s="1"/>
  <c r="H11" i="30" s="1"/>
  <c r="D42" i="33"/>
  <c r="D47" i="33" s="1"/>
  <c r="H67" i="30" s="1"/>
  <c r="C19" i="33"/>
  <c r="C23" i="33"/>
  <c r="C24" i="33"/>
  <c r="C18" i="33"/>
  <c r="C20" i="33"/>
  <c r="C22" i="33"/>
  <c r="C25" i="33"/>
  <c r="C26" i="33"/>
  <c r="I34" i="33" s="1"/>
  <c r="D13" i="33"/>
  <c r="C17" i="33"/>
  <c r="C21" i="33"/>
  <c r="Q21" i="27"/>
  <c r="N16" i="20"/>
  <c r="K60" i="35"/>
  <c r="E66" i="35"/>
  <c r="P21" i="27"/>
  <c r="Q18" i="28"/>
  <c r="AG8" i="29"/>
  <c r="AK8" i="29" s="1"/>
  <c r="J42" i="1"/>
  <c r="L42" i="1" s="1"/>
  <c r="AE41" i="30"/>
  <c r="H2" i="33"/>
  <c r="H27" i="33" s="1"/>
  <c r="P2" i="22"/>
  <c r="L21" i="30"/>
  <c r="L47" i="30" s="1"/>
  <c r="M9" i="30"/>
  <c r="N76" i="35"/>
  <c r="U15" i="27"/>
  <c r="M30" i="20"/>
  <c r="L74" i="35" s="1"/>
  <c r="AX27" i="30"/>
  <c r="S38" i="30"/>
  <c r="T38" i="30" s="1"/>
  <c r="N37" i="29"/>
  <c r="I74" i="32"/>
  <c r="W43" i="35" s="1"/>
  <c r="T85" i="27"/>
  <c r="V13" i="35"/>
  <c r="K57" i="27"/>
  <c r="AO15" i="35" s="1"/>
  <c r="AM15" i="35"/>
  <c r="X66" i="35"/>
  <c r="Q12" i="1"/>
  <c r="Q17" i="1"/>
  <c r="H8" i="2"/>
  <c r="N52" i="35"/>
  <c r="K11" i="27"/>
  <c r="J72" i="29"/>
  <c r="G15" i="35"/>
  <c r="G34" i="35" s="1"/>
  <c r="K9" i="32"/>
  <c r="L8" i="1"/>
  <c r="O9" i="28"/>
  <c r="I8" i="2"/>
  <c r="N17" i="2" s="1"/>
  <c r="U11" i="20"/>
  <c r="AK27" i="35"/>
  <c r="AK41" i="35" s="1"/>
  <c r="AK61" i="35" s="1"/>
  <c r="L21" i="28"/>
  <c r="W4" i="29" s="1"/>
  <c r="Q39" i="29"/>
  <c r="O30" i="32"/>
  <c r="O22" i="32"/>
  <c r="O26" i="32"/>
  <c r="J52" i="32"/>
  <c r="O14" i="32"/>
  <c r="X6" i="35"/>
  <c r="R46" i="27"/>
  <c r="E51" i="34" s="1"/>
  <c r="R11" i="27"/>
  <c r="E2" i="34" s="1"/>
  <c r="E26" i="34" s="1"/>
  <c r="H47" i="27"/>
  <c r="L17" i="2"/>
  <c r="I11" i="27"/>
  <c r="AK6" i="35"/>
  <c r="AW7" i="35" s="1"/>
  <c r="W27" i="35"/>
  <c r="W52" i="35"/>
  <c r="J12" i="30"/>
  <c r="N3" i="22" s="1"/>
  <c r="N4" i="22" s="1"/>
  <c r="L12" i="30"/>
  <c r="P3" i="22" s="1"/>
  <c r="P4" i="22" s="1"/>
  <c r="N12" i="30"/>
  <c r="R3" i="22" s="1"/>
  <c r="R4" i="22" s="1"/>
  <c r="H14" i="30"/>
  <c r="I14" i="30"/>
  <c r="K14" i="30"/>
  <c r="I10" i="2"/>
  <c r="O11" i="20" s="1"/>
  <c r="O14" i="20" s="1"/>
  <c r="S68" i="30"/>
  <c r="M12" i="30"/>
  <c r="Q3" i="22" s="1"/>
  <c r="Q4" i="22" s="1"/>
  <c r="K12" i="30"/>
  <c r="O3" i="22" s="1"/>
  <c r="O4" i="22" s="1"/>
  <c r="I13" i="2"/>
  <c r="J14" i="30"/>
  <c r="G12" i="30"/>
  <c r="K3" i="22" s="1"/>
  <c r="K4" i="22" s="1"/>
  <c r="H12" i="30"/>
  <c r="L3" i="22" s="1"/>
  <c r="L4" i="22" s="1"/>
  <c r="G14" i="30"/>
  <c r="I12" i="30"/>
  <c r="M3" i="22" s="1"/>
  <c r="M4" i="22" s="1"/>
  <c r="H10" i="2"/>
  <c r="M11" i="20" s="1"/>
  <c r="J86" i="32" s="1"/>
  <c r="J82" i="32" s="1"/>
  <c r="R14" i="30"/>
  <c r="R12" i="30"/>
  <c r="V3" i="22" s="1"/>
  <c r="V4" i="22" s="1"/>
  <c r="I11" i="2"/>
  <c r="G12" i="2"/>
  <c r="G14" i="2" s="1"/>
  <c r="H13" i="2"/>
  <c r="H11" i="2"/>
  <c r="M15" i="20" s="1"/>
  <c r="I54" i="27"/>
  <c r="AK12" i="35" s="1"/>
  <c r="H14" i="33"/>
  <c r="P5" i="22"/>
  <c r="P6" i="22" s="1"/>
  <c r="S13" i="27"/>
  <c r="K14" i="20"/>
  <c r="J55" i="35"/>
  <c r="I45" i="32"/>
  <c r="I86" i="32"/>
  <c r="I82" i="32" s="1"/>
  <c r="I58" i="27"/>
  <c r="I94" i="32" s="1"/>
  <c r="W48" i="35" s="1"/>
  <c r="W18" i="22"/>
  <c r="K19" i="22"/>
  <c r="W19" i="22" s="1"/>
  <c r="K49" i="22"/>
  <c r="S83" i="30"/>
  <c r="T83" i="30" s="1"/>
  <c r="L46" i="1"/>
  <c r="S42" i="27"/>
  <c r="S43" i="27" s="1"/>
  <c r="BD27" i="30"/>
  <c r="BC27" i="30"/>
  <c r="BM27" i="30" s="1"/>
  <c r="J74" i="35"/>
  <c r="L37" i="1"/>
  <c r="L32" i="1" s="1"/>
  <c r="AM50" i="29"/>
  <c r="AM47" i="29"/>
  <c r="AG44" i="29"/>
  <c r="J71" i="32" s="1"/>
  <c r="J69" i="32" s="1"/>
  <c r="AA56" i="29"/>
  <c r="K30" i="27"/>
  <c r="Y65" i="35" s="1"/>
  <c r="AF18" i="29"/>
  <c r="AH18" i="29" s="1"/>
  <c r="Q26" i="28" s="1"/>
  <c r="AP46" i="35" s="1"/>
  <c r="AG18" i="29"/>
  <c r="AK18" i="29" s="1"/>
  <c r="AG17" i="29"/>
  <c r="AF17" i="29"/>
  <c r="AH17" i="29" s="1"/>
  <c r="Q25" i="28" s="1"/>
  <c r="AP45" i="35" s="1"/>
  <c r="T28" i="29"/>
  <c r="V16" i="29"/>
  <c r="Z16" i="29"/>
  <c r="U28" i="29"/>
  <c r="T33" i="29"/>
  <c r="T37" i="29" s="1"/>
  <c r="AA16" i="29"/>
  <c r="H24" i="28"/>
  <c r="P28" i="29"/>
  <c r="AM36" i="35"/>
  <c r="AE14" i="29"/>
  <c r="AF31" i="29" s="1"/>
  <c r="J75" i="32"/>
  <c r="AM13" i="29"/>
  <c r="AL13" i="29"/>
  <c r="AG12" i="29"/>
  <c r="AF12" i="29"/>
  <c r="AG11" i="29"/>
  <c r="AF11" i="29"/>
  <c r="AH11" i="29"/>
  <c r="AP33" i="35"/>
  <c r="AG10" i="29"/>
  <c r="AF10" i="29"/>
  <c r="AG9" i="29"/>
  <c r="AF9" i="29"/>
  <c r="AH8" i="29"/>
  <c r="AP30" i="35"/>
  <c r="AB14" i="29"/>
  <c r="S106" i="30"/>
  <c r="T106" i="30" s="1"/>
  <c r="AG7" i="29"/>
  <c r="AF7" i="29"/>
  <c r="AA14" i="29"/>
  <c r="O31" i="29"/>
  <c r="O37" i="29" s="1"/>
  <c r="H66" i="32"/>
  <c r="V37" i="35" s="1"/>
  <c r="Z14" i="29"/>
  <c r="K19" i="27"/>
  <c r="Y58" i="35" s="1"/>
  <c r="K38" i="27"/>
  <c r="Y71" i="35" s="1"/>
  <c r="AJ38" i="35"/>
  <c r="U43" i="29"/>
  <c r="H71" i="32"/>
  <c r="H69" i="32" s="1"/>
  <c r="AA43" i="29"/>
  <c r="I71" i="32"/>
  <c r="I69" i="32" s="1"/>
  <c r="AG38" i="35"/>
  <c r="U48" i="30"/>
  <c r="J36" i="27"/>
  <c r="X69" i="35" s="1"/>
  <c r="AK38" i="35"/>
  <c r="M50" i="28"/>
  <c r="AL72" i="35" s="1"/>
  <c r="J50" i="28"/>
  <c r="AI72" i="35" s="1"/>
  <c r="I36" i="27"/>
  <c r="W69" i="35" s="1"/>
  <c r="AH38" i="35"/>
  <c r="U104" i="30"/>
  <c r="AG43" i="29"/>
  <c r="AN38" i="35"/>
  <c r="K36" i="27"/>
  <c r="Y69" i="35" s="1"/>
  <c r="P50" i="28"/>
  <c r="AO72" i="35" s="1"/>
  <c r="K29" i="27"/>
  <c r="Y64" i="35" s="1"/>
  <c r="Y22" i="35"/>
  <c r="F39" i="33"/>
  <c r="E43" i="33"/>
  <c r="E47" i="33" s="1"/>
  <c r="I67" i="30" s="1"/>
  <c r="K52" i="27"/>
  <c r="AM10" i="35"/>
  <c r="J41" i="32"/>
  <c r="C54" i="33"/>
  <c r="C58" i="33"/>
  <c r="D49" i="33"/>
  <c r="C61" i="33"/>
  <c r="C62" i="33"/>
  <c r="I70" i="33" s="1"/>
  <c r="C59" i="33"/>
  <c r="C55" i="33"/>
  <c r="C60" i="33"/>
  <c r="C57" i="33"/>
  <c r="C56" i="33"/>
  <c r="C53" i="33"/>
  <c r="J43" i="32"/>
  <c r="K55" i="27"/>
  <c r="AM13" i="35"/>
  <c r="AM8" i="35"/>
  <c r="J38" i="32"/>
  <c r="K50" i="27"/>
  <c r="AM17" i="35"/>
  <c r="K59" i="27"/>
  <c r="F70" i="35"/>
  <c r="G15" i="27"/>
  <c r="G31" i="20"/>
  <c r="H31" i="20" s="1"/>
  <c r="Q24" i="27" s="1"/>
  <c r="D29" i="34" s="1"/>
  <c r="E31" i="20"/>
  <c r="F31" i="20" s="1"/>
  <c r="P24" i="27" s="1"/>
  <c r="C29" i="34" s="1"/>
  <c r="D70" i="35"/>
  <c r="F15" i="27"/>
  <c r="Y38" i="35"/>
  <c r="K32" i="27"/>
  <c r="K31" i="27"/>
  <c r="Y33" i="35"/>
  <c r="X14" i="35"/>
  <c r="K32" i="32"/>
  <c r="I15" i="32"/>
  <c r="V8" i="35"/>
  <c r="I28" i="32"/>
  <c r="V11" i="35"/>
  <c r="I23" i="32"/>
  <c r="S18" i="30"/>
  <c r="W10" i="35"/>
  <c r="J17" i="32"/>
  <c r="AE28" i="29" l="1"/>
  <c r="J89" i="30"/>
  <c r="I91" i="30"/>
  <c r="AG21" i="29"/>
  <c r="AF21" i="29"/>
  <c r="AH21" i="29" s="1"/>
  <c r="Q30" i="28" s="1"/>
  <c r="AP50" i="35" s="1"/>
  <c r="AF20" i="29"/>
  <c r="AH20" i="29" s="1"/>
  <c r="Q29" i="28" s="1"/>
  <c r="AP49" i="35" s="1"/>
  <c r="AG20" i="29"/>
  <c r="AF19" i="29"/>
  <c r="AH19" i="29" s="1"/>
  <c r="Q28" i="28" s="1"/>
  <c r="AP48" i="35" s="1"/>
  <c r="AG19" i="29"/>
  <c r="AK22" i="29"/>
  <c r="AM24" i="29"/>
  <c r="AL34" i="29" s="1"/>
  <c r="AF34" i="29"/>
  <c r="AL24" i="29"/>
  <c r="AN24" i="29" s="1"/>
  <c r="AM23" i="29"/>
  <c r="AL23" i="29"/>
  <c r="AN23" i="29" s="1"/>
  <c r="K89" i="30"/>
  <c r="J91" i="30"/>
  <c r="S92" i="30"/>
  <c r="T92" i="30" s="1"/>
  <c r="K87" i="30"/>
  <c r="J88" i="30"/>
  <c r="R86" i="27"/>
  <c r="J50" i="26"/>
  <c r="C66" i="26"/>
  <c r="M14" i="30"/>
  <c r="Q5" i="22" s="1"/>
  <c r="Q6" i="22" s="1"/>
  <c r="M71" i="30"/>
  <c r="N69" i="30"/>
  <c r="N68" i="30" s="1"/>
  <c r="R34" i="22" s="1"/>
  <c r="R35" i="22" s="1"/>
  <c r="K20" i="27"/>
  <c r="Y59" i="35" s="1"/>
  <c r="G61" i="26"/>
  <c r="J20" i="27"/>
  <c r="X59" i="35" s="1"/>
  <c r="F61" i="26"/>
  <c r="D39" i="35"/>
  <c r="H51" i="27"/>
  <c r="H40" i="32" s="1"/>
  <c r="C40" i="33" s="1"/>
  <c r="H58" i="27"/>
  <c r="H94" i="32" s="1"/>
  <c r="V48" i="35" s="1"/>
  <c r="AI12" i="35"/>
  <c r="H45" i="32"/>
  <c r="H53" i="27" s="1"/>
  <c r="AI11" i="35" s="1"/>
  <c r="H55" i="35"/>
  <c r="I14" i="20"/>
  <c r="J29" i="20" s="1"/>
  <c r="I74" i="35" s="1"/>
  <c r="H86" i="32"/>
  <c r="H82" i="32" s="1"/>
  <c r="V46" i="35" s="1"/>
  <c r="R13" i="27"/>
  <c r="E3" i="34" s="1"/>
  <c r="AK9" i="35"/>
  <c r="M74" i="30"/>
  <c r="S74" i="30" s="1"/>
  <c r="E47" i="35"/>
  <c r="E50" i="26"/>
  <c r="E39" i="35" s="1"/>
  <c r="I12" i="2"/>
  <c r="I14" i="2" s="1"/>
  <c r="O15" i="20"/>
  <c r="G3" i="33"/>
  <c r="G9" i="33" s="1"/>
  <c r="G11" i="33" s="1"/>
  <c r="K11" i="30" s="1"/>
  <c r="H24" i="32"/>
  <c r="V12" i="35" s="1"/>
  <c r="K5" i="22"/>
  <c r="K6" i="22" s="1"/>
  <c r="G14" i="33"/>
  <c r="O7" i="22"/>
  <c r="O8" i="22" s="1"/>
  <c r="M5" i="22"/>
  <c r="M6" i="22" s="1"/>
  <c r="M7" i="22"/>
  <c r="M8" i="22" s="1"/>
  <c r="R7" i="22"/>
  <c r="R8" i="22" s="1"/>
  <c r="D14" i="33"/>
  <c r="D15" i="33" s="1"/>
  <c r="D28" i="33" s="1"/>
  <c r="L7" i="22"/>
  <c r="L8" i="22" s="1"/>
  <c r="F14" i="33"/>
  <c r="N7" i="22"/>
  <c r="N8" i="22" s="1"/>
  <c r="S7" i="22"/>
  <c r="S8" i="22" s="1"/>
  <c r="N14" i="33"/>
  <c r="V7" i="22"/>
  <c r="V8" i="22" s="1"/>
  <c r="U7" i="22"/>
  <c r="U8" i="22" s="1"/>
  <c r="T7" i="22"/>
  <c r="T8" i="22" s="1"/>
  <c r="Q7" i="22"/>
  <c r="Q8" i="22" s="1"/>
  <c r="I21" i="20"/>
  <c r="S94" i="30"/>
  <c r="T94" i="30" s="1"/>
  <c r="G32" i="33"/>
  <c r="F31" i="33"/>
  <c r="E30" i="33"/>
  <c r="P30" i="20"/>
  <c r="O75" i="35" s="1"/>
  <c r="J31" i="1"/>
  <c r="J44" i="1" s="1"/>
  <c r="K11" i="1" s="1"/>
  <c r="AP36" i="35"/>
  <c r="I31" i="1"/>
  <c r="I11" i="1"/>
  <c r="H33" i="33"/>
  <c r="D23" i="33"/>
  <c r="D21" i="33"/>
  <c r="D19" i="33"/>
  <c r="D17" i="33"/>
  <c r="D26" i="33"/>
  <c r="J34" i="33" s="1"/>
  <c r="E13" i="33"/>
  <c r="D24" i="33"/>
  <c r="D22" i="33"/>
  <c r="D18" i="33"/>
  <c r="D25" i="33"/>
  <c r="D20" i="33"/>
  <c r="K80" i="32"/>
  <c r="Q22" i="27"/>
  <c r="D28" i="34"/>
  <c r="P16" i="20"/>
  <c r="O60" i="35" s="1"/>
  <c r="M60" i="35"/>
  <c r="P22" i="27"/>
  <c r="C28" i="34"/>
  <c r="H12" i="2"/>
  <c r="H14" i="2" s="1"/>
  <c r="AK14" i="29"/>
  <c r="AL31" i="29" s="1"/>
  <c r="AM8" i="29"/>
  <c r="AL8" i="29"/>
  <c r="AF41" i="30"/>
  <c r="I2" i="33"/>
  <c r="I27" i="33" s="1"/>
  <c r="N9" i="30"/>
  <c r="M21" i="30"/>
  <c r="M47" i="30" s="1"/>
  <c r="Q2" i="22"/>
  <c r="K22" i="30"/>
  <c r="O10" i="22" s="1"/>
  <c r="O11" i="22" s="1"/>
  <c r="J74" i="32"/>
  <c r="X43" i="35" s="1"/>
  <c r="U85" i="27"/>
  <c r="Y66" i="35"/>
  <c r="Y6" i="35"/>
  <c r="K52" i="32"/>
  <c r="P26" i="32"/>
  <c r="P30" i="32"/>
  <c r="P14" i="32"/>
  <c r="P22" i="32"/>
  <c r="X27" i="35"/>
  <c r="X52" i="35"/>
  <c r="AM6" i="35"/>
  <c r="AX7" i="35" s="1"/>
  <c r="W39" i="29"/>
  <c r="K47" i="27"/>
  <c r="U46" i="27"/>
  <c r="H51" i="34" s="1"/>
  <c r="U11" i="27"/>
  <c r="H2" i="34" s="1"/>
  <c r="H26" i="34" s="1"/>
  <c r="M17" i="2"/>
  <c r="J11" i="27"/>
  <c r="O21" i="28"/>
  <c r="AN27" i="35"/>
  <c r="AN41" i="35" s="1"/>
  <c r="AN61" i="35" s="1"/>
  <c r="S11" i="27"/>
  <c r="F2" i="34" s="1"/>
  <c r="F26" i="34" s="1"/>
  <c r="S46" i="27"/>
  <c r="F51" i="34" s="1"/>
  <c r="I47" i="27"/>
  <c r="R17" i="1"/>
  <c r="R12" i="1"/>
  <c r="P9" i="22"/>
  <c r="J51" i="27"/>
  <c r="J40" i="32" s="1"/>
  <c r="X18" i="35" s="1"/>
  <c r="E14" i="33"/>
  <c r="L5" i="22"/>
  <c r="L6" i="22" s="1"/>
  <c r="J68" i="30"/>
  <c r="N34" i="22" s="1"/>
  <c r="N35" i="22" s="1"/>
  <c r="G68" i="30"/>
  <c r="K34" i="22" s="1"/>
  <c r="K35" i="22" s="1"/>
  <c r="H68" i="30"/>
  <c r="L34" i="22" s="1"/>
  <c r="L35" i="22" s="1"/>
  <c r="R68" i="30"/>
  <c r="V34" i="22" s="1"/>
  <c r="V35" i="22" s="1"/>
  <c r="S70" i="30"/>
  <c r="I70" i="30" s="1"/>
  <c r="K68" i="30"/>
  <c r="O34" i="22" s="1"/>
  <c r="O35" i="22" s="1"/>
  <c r="M68" i="30"/>
  <c r="Q34" i="22" s="1"/>
  <c r="Q35" i="22" s="1"/>
  <c r="C14" i="33"/>
  <c r="C15" i="33" s="1"/>
  <c r="C28" i="33" s="1"/>
  <c r="C35" i="33" s="1"/>
  <c r="G16" i="30" s="1"/>
  <c r="N55" i="35"/>
  <c r="O5" i="22"/>
  <c r="O6" i="22" s="1"/>
  <c r="K86" i="32"/>
  <c r="K82" i="32" s="1"/>
  <c r="Y46" i="35" s="1"/>
  <c r="K45" i="32"/>
  <c r="Y21" i="35" s="1"/>
  <c r="U13" i="27"/>
  <c r="H3" i="34" s="1"/>
  <c r="I68" i="30"/>
  <c r="M34" i="22" s="1"/>
  <c r="M35" i="22" s="1"/>
  <c r="L68" i="30"/>
  <c r="P34" i="22" s="1"/>
  <c r="P35" i="22" s="1"/>
  <c r="N5" i="22"/>
  <c r="N6" i="22" s="1"/>
  <c r="J45" i="32"/>
  <c r="J53" i="27" s="1"/>
  <c r="AM11" i="35" s="1"/>
  <c r="L55" i="35"/>
  <c r="J58" i="27"/>
  <c r="AM16" i="35" s="1"/>
  <c r="J54" i="27"/>
  <c r="J42" i="32" s="1"/>
  <c r="M14" i="20"/>
  <c r="T13" i="27"/>
  <c r="T14" i="27" s="1"/>
  <c r="L77" i="35" s="1"/>
  <c r="J22" i="30"/>
  <c r="N10" i="22" s="1"/>
  <c r="N11" i="22" s="1"/>
  <c r="M22" i="30"/>
  <c r="Q10" i="22" s="1"/>
  <c r="Q11" i="22" s="1"/>
  <c r="V5" i="22"/>
  <c r="V6" i="22" s="1"/>
  <c r="L22" i="30"/>
  <c r="P10" i="22" s="1"/>
  <c r="P11" i="22" s="1"/>
  <c r="P22" i="30"/>
  <c r="T10" i="22" s="1"/>
  <c r="T11" i="22" s="1"/>
  <c r="O22" i="30"/>
  <c r="S10" i="22" s="1"/>
  <c r="S11" i="22" s="1"/>
  <c r="Q22" i="30"/>
  <c r="U10" i="22" s="1"/>
  <c r="U11" i="22" s="1"/>
  <c r="H59" i="35"/>
  <c r="G22" i="30"/>
  <c r="K10" i="22" s="1"/>
  <c r="H22" i="30"/>
  <c r="L10" i="22" s="1"/>
  <c r="L11" i="22" s="1"/>
  <c r="N22" i="30"/>
  <c r="R10" i="22" s="1"/>
  <c r="R11" i="22" s="1"/>
  <c r="I22" i="30"/>
  <c r="M10" i="22" s="1"/>
  <c r="M11" i="22" s="1"/>
  <c r="H49" i="27"/>
  <c r="H37" i="32" s="1"/>
  <c r="I19" i="20" s="1"/>
  <c r="R22" i="30"/>
  <c r="V10" i="22" s="1"/>
  <c r="V11" i="22" s="1"/>
  <c r="AK16" i="35"/>
  <c r="F67" i="33"/>
  <c r="W21" i="35"/>
  <c r="I53" i="27"/>
  <c r="AK11" i="35" s="1"/>
  <c r="J37" i="27"/>
  <c r="X70" i="35" s="1"/>
  <c r="F3" i="34"/>
  <c r="S14" i="27"/>
  <c r="J77" i="35" s="1"/>
  <c r="K16" i="20"/>
  <c r="J58" i="35"/>
  <c r="L23" i="20"/>
  <c r="K67" i="35" s="1"/>
  <c r="L29" i="20"/>
  <c r="K74" i="35" s="1"/>
  <c r="L24" i="20"/>
  <c r="K68" i="35" s="1"/>
  <c r="I42" i="32"/>
  <c r="W19" i="35" s="1"/>
  <c r="X46" i="35"/>
  <c r="L30" i="20"/>
  <c r="K75" i="35" s="1"/>
  <c r="W46" i="35"/>
  <c r="N58" i="35"/>
  <c r="P29" i="20"/>
  <c r="O74" i="35" s="1"/>
  <c r="P23" i="20"/>
  <c r="O67" i="35" s="1"/>
  <c r="P24" i="20"/>
  <c r="O68" i="35" s="1"/>
  <c r="W49" i="22"/>
  <c r="K50" i="22"/>
  <c r="W50" i="22" s="1"/>
  <c r="L17" i="20"/>
  <c r="K61" i="35" s="1"/>
  <c r="BN27" i="30"/>
  <c r="BE27" i="30"/>
  <c r="BO27" i="30" s="1"/>
  <c r="L31" i="1"/>
  <c r="L44" i="1" s="1"/>
  <c r="U42" i="27"/>
  <c r="U43" i="27" s="1"/>
  <c r="AG56" i="29"/>
  <c r="AM44" i="29"/>
  <c r="AL18" i="29"/>
  <c r="AN18" i="29" s="1"/>
  <c r="AM18" i="29"/>
  <c r="AL17" i="29"/>
  <c r="AN17" i="29" s="1"/>
  <c r="AM17" i="29"/>
  <c r="H39" i="28"/>
  <c r="AG44" i="35"/>
  <c r="AG59" i="35" s="1"/>
  <c r="Z33" i="29"/>
  <c r="Z37" i="29" s="1"/>
  <c r="AG16" i="29"/>
  <c r="AK16" i="29" s="1"/>
  <c r="AF16" i="29"/>
  <c r="AA28" i="29"/>
  <c r="Z28" i="29"/>
  <c r="AB16" i="29"/>
  <c r="V28" i="29"/>
  <c r="K24" i="28"/>
  <c r="AH14" i="29"/>
  <c r="AM12" i="29"/>
  <c r="AL12" i="29"/>
  <c r="AM11" i="29"/>
  <c r="AL11" i="29"/>
  <c r="AL10" i="29"/>
  <c r="AM10" i="29"/>
  <c r="AM9" i="29"/>
  <c r="AL9" i="29"/>
  <c r="AF14" i="29"/>
  <c r="U31" i="29"/>
  <c r="I66" i="32"/>
  <c r="W37" i="35" s="1"/>
  <c r="AL7" i="29"/>
  <c r="AG14" i="29"/>
  <c r="AM7" i="29"/>
  <c r="W40" i="35"/>
  <c r="V40" i="35"/>
  <c r="H65" i="32"/>
  <c r="X40" i="35"/>
  <c r="L104" i="30"/>
  <c r="L110" i="30" s="1"/>
  <c r="K104" i="30"/>
  <c r="K110" i="30" s="1"/>
  <c r="R104" i="30"/>
  <c r="R110" i="30" s="1"/>
  <c r="J104" i="30"/>
  <c r="J110" i="30" s="1"/>
  <c r="Q104" i="30"/>
  <c r="Q110" i="30" s="1"/>
  <c r="I104" i="30"/>
  <c r="I110" i="30" s="1"/>
  <c r="P104" i="30"/>
  <c r="P110" i="30" s="1"/>
  <c r="H104" i="30"/>
  <c r="H110" i="30" s="1"/>
  <c r="O104" i="30"/>
  <c r="O110" i="30" s="1"/>
  <c r="G104" i="30"/>
  <c r="N104" i="30"/>
  <c r="N110" i="30" s="1"/>
  <c r="M104" i="30"/>
  <c r="M110" i="30" s="1"/>
  <c r="R48" i="30"/>
  <c r="R54" i="30" s="1"/>
  <c r="J48" i="30"/>
  <c r="J54" i="30" s="1"/>
  <c r="Q48" i="30"/>
  <c r="Q54" i="30" s="1"/>
  <c r="I48" i="30"/>
  <c r="I54" i="30" s="1"/>
  <c r="P48" i="30"/>
  <c r="P54" i="30" s="1"/>
  <c r="H48" i="30"/>
  <c r="H54" i="30" s="1"/>
  <c r="O48" i="30"/>
  <c r="O54" i="30" s="1"/>
  <c r="G48" i="30"/>
  <c r="N48" i="30"/>
  <c r="N54" i="30" s="1"/>
  <c r="M48" i="30"/>
  <c r="M54" i="30" s="1"/>
  <c r="L48" i="30"/>
  <c r="L54" i="30" s="1"/>
  <c r="K48" i="30"/>
  <c r="K54" i="30" s="1"/>
  <c r="D61" i="33"/>
  <c r="D57" i="33"/>
  <c r="D58" i="33"/>
  <c r="D62" i="33"/>
  <c r="J70" i="33" s="1"/>
  <c r="D59" i="33"/>
  <c r="D60" i="33"/>
  <c r="D56" i="33"/>
  <c r="D53" i="33"/>
  <c r="D55" i="33"/>
  <c r="D54" i="33"/>
  <c r="E49" i="33"/>
  <c r="K41" i="32"/>
  <c r="AO10" i="35"/>
  <c r="K51" i="27"/>
  <c r="G68" i="33"/>
  <c r="H69" i="33"/>
  <c r="E66" i="33"/>
  <c r="F44" i="33"/>
  <c r="F47" i="33" s="1"/>
  <c r="J67" i="30" s="1"/>
  <c r="G39" i="33"/>
  <c r="I12" i="32"/>
  <c r="W8" i="35" s="1"/>
  <c r="AO13" i="35"/>
  <c r="K54" i="27"/>
  <c r="K43" i="32"/>
  <c r="AO8" i="35"/>
  <c r="K38" i="32"/>
  <c r="F75" i="35"/>
  <c r="G58" i="32"/>
  <c r="Q23" i="27"/>
  <c r="Q34" i="27"/>
  <c r="Q33" i="27"/>
  <c r="AU13" i="35" s="1"/>
  <c r="AO17" i="35"/>
  <c r="K58" i="27"/>
  <c r="F58" i="32"/>
  <c r="P23" i="27"/>
  <c r="D75" i="35"/>
  <c r="Y14" i="35"/>
  <c r="W13" i="35"/>
  <c r="J31" i="32"/>
  <c r="I20" i="32"/>
  <c r="K17" i="32"/>
  <c r="X10" i="35"/>
  <c r="AK21" i="29" l="1"/>
  <c r="AM21" i="29"/>
  <c r="AL21" i="29"/>
  <c r="AN21" i="29" s="1"/>
  <c r="AK20" i="29"/>
  <c r="AK19" i="29"/>
  <c r="AK28" i="29" s="1"/>
  <c r="K75" i="32" s="1"/>
  <c r="K74" i="32" s="1"/>
  <c r="Y43" i="35" s="1"/>
  <c r="AL22" i="29"/>
  <c r="AN22" i="29" s="1"/>
  <c r="AM22" i="29"/>
  <c r="K91" i="30"/>
  <c r="L89" i="30"/>
  <c r="L87" i="30"/>
  <c r="K88" i="30"/>
  <c r="I14" i="33"/>
  <c r="N71" i="30"/>
  <c r="N70" i="30" s="1"/>
  <c r="N78" i="30" s="1"/>
  <c r="R41" i="22" s="1"/>
  <c r="R42" i="22" s="1"/>
  <c r="N14" i="30"/>
  <c r="O69" i="30"/>
  <c r="O68" i="30" s="1"/>
  <c r="S34" i="22" s="1"/>
  <c r="S35" i="22" s="1"/>
  <c r="O12" i="30"/>
  <c r="S3" i="22" s="1"/>
  <c r="G50" i="26"/>
  <c r="G47" i="35"/>
  <c r="H61" i="26"/>
  <c r="H47" i="35" s="1"/>
  <c r="F47" i="35"/>
  <c r="F50" i="26"/>
  <c r="V21" i="35"/>
  <c r="J21" i="20"/>
  <c r="I65" i="35" s="1"/>
  <c r="AI9" i="35"/>
  <c r="AI16" i="35"/>
  <c r="H37" i="27"/>
  <c r="V70" i="35" s="1"/>
  <c r="I37" i="27"/>
  <c r="W70" i="35" s="1"/>
  <c r="J24" i="20"/>
  <c r="I68" i="35" s="1"/>
  <c r="H58" i="35"/>
  <c r="I16" i="20"/>
  <c r="H60" i="35" s="1"/>
  <c r="J15" i="20"/>
  <c r="I59" i="35" s="1"/>
  <c r="J23" i="20"/>
  <c r="I67" i="35" s="1"/>
  <c r="R14" i="27"/>
  <c r="H77" i="35" s="1"/>
  <c r="J30" i="20"/>
  <c r="I75" i="35" s="1"/>
  <c r="J17" i="20"/>
  <c r="I61" i="35" s="1"/>
  <c r="H3" i="33"/>
  <c r="H10" i="33" s="1"/>
  <c r="H11" i="33" s="1"/>
  <c r="L11" i="30" s="1"/>
  <c r="S11" i="30" s="1"/>
  <c r="S86" i="27"/>
  <c r="I27" i="32"/>
  <c r="K21" i="20" s="1"/>
  <c r="L21" i="20" s="1"/>
  <c r="K65" i="35" s="1"/>
  <c r="H16" i="32"/>
  <c r="V9" i="35" s="1"/>
  <c r="C41" i="33"/>
  <c r="C42" i="33"/>
  <c r="H65" i="35"/>
  <c r="E15" i="33"/>
  <c r="E28" i="33" s="1"/>
  <c r="M9" i="22"/>
  <c r="N9" i="22"/>
  <c r="O9" i="22"/>
  <c r="L9" i="22"/>
  <c r="G19" i="30"/>
  <c r="Q9" i="22"/>
  <c r="F30" i="33"/>
  <c r="H32" i="33"/>
  <c r="V9" i="22"/>
  <c r="K7" i="22"/>
  <c r="S17" i="30"/>
  <c r="N30" i="20"/>
  <c r="M75" i="35" s="1"/>
  <c r="I33" i="33"/>
  <c r="M70" i="30"/>
  <c r="Q36" i="22" s="1"/>
  <c r="Q37" i="22" s="1"/>
  <c r="Q40" i="22" s="1"/>
  <c r="M17" i="20"/>
  <c r="L61" i="35" s="1"/>
  <c r="K31" i="1"/>
  <c r="E20" i="33"/>
  <c r="E17" i="33"/>
  <c r="E21" i="33"/>
  <c r="E19" i="33"/>
  <c r="E26" i="33"/>
  <c r="K34" i="33" s="1"/>
  <c r="E18" i="33"/>
  <c r="E24" i="33"/>
  <c r="E25" i="33"/>
  <c r="E23" i="33"/>
  <c r="E22" i="33"/>
  <c r="F13" i="33"/>
  <c r="G31" i="33"/>
  <c r="O16" i="20"/>
  <c r="N60" i="35" s="1"/>
  <c r="J2" i="33"/>
  <c r="J27" i="33" s="1"/>
  <c r="AG41" i="30"/>
  <c r="R2" i="22"/>
  <c r="N21" i="30"/>
  <c r="N47" i="30" s="1"/>
  <c r="O9" i="30"/>
  <c r="J15" i="32"/>
  <c r="AM9" i="35"/>
  <c r="AI4" i="29"/>
  <c r="AC4" i="29"/>
  <c r="J47" i="27"/>
  <c r="T46" i="27"/>
  <c r="G51" i="34" s="1"/>
  <c r="T11" i="27"/>
  <c r="G2" i="34" s="1"/>
  <c r="G26" i="34" s="1"/>
  <c r="Y52" i="35"/>
  <c r="Y27" i="35"/>
  <c r="AO6" i="35"/>
  <c r="AY7" i="35" s="1"/>
  <c r="J70" i="30"/>
  <c r="F50" i="33" s="1"/>
  <c r="L70" i="30"/>
  <c r="L78" i="30" s="1"/>
  <c r="P41" i="22" s="1"/>
  <c r="P42" i="22" s="1"/>
  <c r="H70" i="30"/>
  <c r="H78" i="30" s="1"/>
  <c r="L41" i="22" s="1"/>
  <c r="L42" i="22" s="1"/>
  <c r="R70" i="30"/>
  <c r="V36" i="22" s="1"/>
  <c r="V37" i="22" s="1"/>
  <c r="V40" i="22" s="1"/>
  <c r="K70" i="30"/>
  <c r="O36" i="22" s="1"/>
  <c r="O37" i="22" s="1"/>
  <c r="O40" i="22" s="1"/>
  <c r="K53" i="27"/>
  <c r="AO11" i="35" s="1"/>
  <c r="G70" i="30"/>
  <c r="C50" i="33" s="1"/>
  <c r="U14" i="27"/>
  <c r="N77" i="35" s="1"/>
  <c r="J94" i="32"/>
  <c r="X48" i="35" s="1"/>
  <c r="K37" i="27"/>
  <c r="Y70" i="35" s="1"/>
  <c r="AM12" i="35"/>
  <c r="G3" i="34"/>
  <c r="X21" i="35"/>
  <c r="N29" i="20"/>
  <c r="M74" i="35" s="1"/>
  <c r="M16" i="20"/>
  <c r="L60" i="35" s="1"/>
  <c r="N24" i="20"/>
  <c r="M68" i="35" s="1"/>
  <c r="N23" i="20"/>
  <c r="M67" i="35" s="1"/>
  <c r="L58" i="35"/>
  <c r="J59" i="35"/>
  <c r="S22" i="30"/>
  <c r="T22" i="30" s="1"/>
  <c r="V16" i="35"/>
  <c r="V18" i="35"/>
  <c r="H39" i="32"/>
  <c r="V17" i="35" s="1"/>
  <c r="AI7" i="35"/>
  <c r="G67" i="33"/>
  <c r="I69" i="33"/>
  <c r="D16" i="33"/>
  <c r="E29" i="33" s="1"/>
  <c r="F66" i="33"/>
  <c r="C16" i="33"/>
  <c r="D29" i="33" s="1"/>
  <c r="D35" i="33" s="1"/>
  <c r="H16" i="30" s="1"/>
  <c r="H19" i="30" s="1"/>
  <c r="J60" i="35"/>
  <c r="U81" i="30"/>
  <c r="M36" i="22"/>
  <c r="M37" i="22" s="1"/>
  <c r="M40" i="22" s="1"/>
  <c r="E50" i="33"/>
  <c r="E51" i="33" s="1"/>
  <c r="I78" i="30"/>
  <c r="M41" i="22" s="1"/>
  <c r="M42" i="22" s="1"/>
  <c r="I39" i="32"/>
  <c r="W17" i="35" s="1"/>
  <c r="H68" i="33"/>
  <c r="O17" i="20"/>
  <c r="M31" i="1"/>
  <c r="M11" i="1"/>
  <c r="AM56" i="29"/>
  <c r="K71" i="32" s="1"/>
  <c r="K69" i="32" s="1"/>
  <c r="Y40" i="35" s="1"/>
  <c r="AF28" i="29"/>
  <c r="AH16" i="29"/>
  <c r="AM16" i="29"/>
  <c r="AF33" i="29"/>
  <c r="AF37" i="29" s="1"/>
  <c r="AL16" i="29"/>
  <c r="AN16" i="29" s="1"/>
  <c r="AG28" i="29"/>
  <c r="K39" i="28"/>
  <c r="AJ44" i="35"/>
  <c r="AJ59" i="35" s="1"/>
  <c r="N24" i="28"/>
  <c r="AB28" i="29"/>
  <c r="U39" i="30"/>
  <c r="H50" i="28"/>
  <c r="AM14" i="29"/>
  <c r="I65" i="32"/>
  <c r="W36" i="35" s="1"/>
  <c r="J66" i="32"/>
  <c r="AL14" i="29"/>
  <c r="AA31" i="29"/>
  <c r="AA37" i="29" s="1"/>
  <c r="S48" i="30"/>
  <c r="V36" i="35"/>
  <c r="R80" i="27"/>
  <c r="S104" i="30"/>
  <c r="H39" i="33"/>
  <c r="G45" i="33"/>
  <c r="G47" i="33" s="1"/>
  <c r="K67" i="30" s="1"/>
  <c r="AO9" i="35"/>
  <c r="K40" i="32"/>
  <c r="Y18" i="35" s="1"/>
  <c r="E54" i="33"/>
  <c r="F49" i="33"/>
  <c r="E61" i="33"/>
  <c r="E62" i="33"/>
  <c r="K70" i="33" s="1"/>
  <c r="E60" i="33"/>
  <c r="E55" i="33"/>
  <c r="E59" i="33"/>
  <c r="E57" i="33"/>
  <c r="E58" i="33"/>
  <c r="E53" i="33"/>
  <c r="E56" i="33"/>
  <c r="U32" i="35"/>
  <c r="H56" i="32"/>
  <c r="V30" i="35" s="1"/>
  <c r="G54" i="32"/>
  <c r="H63" i="35"/>
  <c r="J19" i="20"/>
  <c r="I63" i="35" s="1"/>
  <c r="K11" i="22"/>
  <c r="W10" i="22"/>
  <c r="X19" i="35"/>
  <c r="J39" i="32"/>
  <c r="X17" i="35" s="1"/>
  <c r="AO16" i="35"/>
  <c r="K94" i="32"/>
  <c r="Y48" i="35" s="1"/>
  <c r="AO12" i="35"/>
  <c r="K42" i="32"/>
  <c r="AU14" i="35"/>
  <c r="Q35" i="27"/>
  <c r="AU15" i="35" s="1"/>
  <c r="T32" i="35"/>
  <c r="F54" i="32"/>
  <c r="J28" i="32"/>
  <c r="J23" i="32"/>
  <c r="J20" i="32" s="1"/>
  <c r="W11" i="35"/>
  <c r="Y10" i="35"/>
  <c r="AM20" i="29" l="1"/>
  <c r="AL20" i="29"/>
  <c r="AN20" i="29" s="1"/>
  <c r="AL19" i="29"/>
  <c r="AN19" i="29" s="1"/>
  <c r="AM19" i="29"/>
  <c r="AM28" i="29" s="1"/>
  <c r="K66" i="32" s="1"/>
  <c r="K65" i="32" s="1"/>
  <c r="M89" i="30"/>
  <c r="N89" i="30"/>
  <c r="L91" i="30"/>
  <c r="N87" i="30"/>
  <c r="L88" i="30"/>
  <c r="M87" i="30"/>
  <c r="R5" i="22"/>
  <c r="J14" i="33"/>
  <c r="O71" i="30"/>
  <c r="O70" i="30" s="1"/>
  <c r="O14" i="30"/>
  <c r="S4" i="22"/>
  <c r="P69" i="30"/>
  <c r="P68" i="30" s="1"/>
  <c r="T34" i="22" s="1"/>
  <c r="P12" i="30"/>
  <c r="T3" i="22" s="1"/>
  <c r="T4" i="22" s="1"/>
  <c r="U86" i="27"/>
  <c r="G39" i="35"/>
  <c r="T86" i="27"/>
  <c r="F39" i="35"/>
  <c r="H50" i="26"/>
  <c r="H39" i="35" s="1"/>
  <c r="U25" i="30"/>
  <c r="G25" i="30" s="1"/>
  <c r="K14" i="22" s="1"/>
  <c r="I3" i="33"/>
  <c r="J3" i="33" s="1"/>
  <c r="K3" i="33" s="1"/>
  <c r="L3" i="33" s="1"/>
  <c r="M3" i="33" s="1"/>
  <c r="N3" i="33" s="1"/>
  <c r="N17" i="20"/>
  <c r="M61" i="35" s="1"/>
  <c r="I24" i="32"/>
  <c r="J27" i="32" s="1"/>
  <c r="M21" i="20" s="1"/>
  <c r="H11" i="32"/>
  <c r="V7" i="35" s="1"/>
  <c r="K78" i="30"/>
  <c r="O41" i="22" s="1"/>
  <c r="O42" i="22" s="1"/>
  <c r="M78" i="30"/>
  <c r="Q41" i="22" s="1"/>
  <c r="Q42" i="22" s="1"/>
  <c r="R78" i="30"/>
  <c r="V41" i="22" s="1"/>
  <c r="V42" i="22" s="1"/>
  <c r="J78" i="30"/>
  <c r="N41" i="22" s="1"/>
  <c r="N42" i="22" s="1"/>
  <c r="C47" i="33"/>
  <c r="G67" i="30" s="1"/>
  <c r="E35" i="33"/>
  <c r="I16" i="30" s="1"/>
  <c r="I19" i="30" s="1"/>
  <c r="E16" i="33"/>
  <c r="F29" i="33" s="1"/>
  <c r="W7" i="22"/>
  <c r="K8" i="22"/>
  <c r="I50" i="33"/>
  <c r="G30" i="33"/>
  <c r="I32" i="33"/>
  <c r="N36" i="22"/>
  <c r="N37" i="22" s="1"/>
  <c r="N40" i="22" s="1"/>
  <c r="G50" i="33"/>
  <c r="J33" i="33"/>
  <c r="F19" i="33"/>
  <c r="F26" i="33"/>
  <c r="L34" i="33" s="1"/>
  <c r="F18" i="33"/>
  <c r="F24" i="33"/>
  <c r="G13" i="33"/>
  <c r="F22" i="33"/>
  <c r="F17" i="33"/>
  <c r="F20" i="33"/>
  <c r="F15" i="33"/>
  <c r="F23" i="33"/>
  <c r="F25" i="33"/>
  <c r="F21" i="33"/>
  <c r="H31" i="33"/>
  <c r="J65" i="35"/>
  <c r="L15" i="20"/>
  <c r="K59" i="35" s="1"/>
  <c r="G78" i="30"/>
  <c r="AH41" i="30"/>
  <c r="K2" i="33"/>
  <c r="K27" i="33" s="1"/>
  <c r="S2" i="22"/>
  <c r="O21" i="30"/>
  <c r="O47" i="30" s="1"/>
  <c r="P9" i="30"/>
  <c r="J50" i="33"/>
  <c r="R36" i="22"/>
  <c r="R37" i="22" s="1"/>
  <c r="R40" i="22" s="1"/>
  <c r="J12" i="32"/>
  <c r="K15" i="32" s="1"/>
  <c r="AC39" i="29"/>
  <c r="AI39" i="29"/>
  <c r="L36" i="22"/>
  <c r="L37" i="22" s="1"/>
  <c r="L40" i="22" s="1"/>
  <c r="H50" i="33"/>
  <c r="P36" i="22"/>
  <c r="P37" i="22" s="1"/>
  <c r="P40" i="22" s="1"/>
  <c r="D50" i="33"/>
  <c r="D51" i="33" s="1"/>
  <c r="D64" i="33" s="1"/>
  <c r="N50" i="33"/>
  <c r="K36" i="22"/>
  <c r="K37" i="22" s="1"/>
  <c r="I49" i="27"/>
  <c r="I37" i="32" s="1"/>
  <c r="K81" i="30"/>
  <c r="O45" i="22" s="1"/>
  <c r="O46" i="22" s="1"/>
  <c r="R81" i="30"/>
  <c r="V45" i="22" s="1"/>
  <c r="V46" i="22" s="1"/>
  <c r="J81" i="30"/>
  <c r="N45" i="22" s="1"/>
  <c r="N46" i="22" s="1"/>
  <c r="Q81" i="30"/>
  <c r="U45" i="22" s="1"/>
  <c r="U46" i="22" s="1"/>
  <c r="I81" i="30"/>
  <c r="M45" i="22" s="1"/>
  <c r="M46" i="22" s="1"/>
  <c r="O81" i="30"/>
  <c r="S45" i="22" s="1"/>
  <c r="S46" i="22" s="1"/>
  <c r="P81" i="30"/>
  <c r="T45" i="22" s="1"/>
  <c r="T46" i="22" s="1"/>
  <c r="H81" i="30"/>
  <c r="L45" i="22" s="1"/>
  <c r="L46" i="22" s="1"/>
  <c r="G81" i="30"/>
  <c r="N81" i="30"/>
  <c r="R45" i="22" s="1"/>
  <c r="R46" i="22" s="1"/>
  <c r="M81" i="30"/>
  <c r="Q45" i="22" s="1"/>
  <c r="Q46" i="22" s="1"/>
  <c r="L81" i="30"/>
  <c r="P45" i="22" s="1"/>
  <c r="P46" i="22" s="1"/>
  <c r="H67" i="33"/>
  <c r="C51" i="33"/>
  <c r="C64" i="33" s="1"/>
  <c r="C71" i="33" s="1"/>
  <c r="G72" i="30" s="1"/>
  <c r="G75" i="30" s="1"/>
  <c r="I68" i="33"/>
  <c r="P17" i="20"/>
  <c r="O61" i="35" s="1"/>
  <c r="N61" i="35"/>
  <c r="U95" i="30"/>
  <c r="K50" i="28"/>
  <c r="AG72" i="35"/>
  <c r="I25" i="20"/>
  <c r="P39" i="30"/>
  <c r="T30" i="22" s="1"/>
  <c r="R39" i="30"/>
  <c r="K39" i="30"/>
  <c r="O30" i="22" s="1"/>
  <c r="L39" i="30"/>
  <c r="P30" i="22" s="1"/>
  <c r="Q39" i="30"/>
  <c r="U30" i="22" s="1"/>
  <c r="N39" i="30"/>
  <c r="R30" i="22" s="1"/>
  <c r="I39" i="30"/>
  <c r="M30" i="22" s="1"/>
  <c r="G39" i="30"/>
  <c r="J39" i="30"/>
  <c r="N30" i="22" s="1"/>
  <c r="H39" i="30"/>
  <c r="L30" i="22" s="1"/>
  <c r="O39" i="30"/>
  <c r="S30" i="22" s="1"/>
  <c r="M39" i="30"/>
  <c r="Q30" i="22" s="1"/>
  <c r="AL33" i="29"/>
  <c r="AH28" i="29"/>
  <c r="Q24" i="28"/>
  <c r="N39" i="28"/>
  <c r="N50" i="28" s="1"/>
  <c r="AM44" i="35"/>
  <c r="AM59" i="35" s="1"/>
  <c r="AG31" i="29"/>
  <c r="AG37" i="29" s="1"/>
  <c r="S80" i="27"/>
  <c r="T79" i="27" s="1"/>
  <c r="X37" i="35"/>
  <c r="J65" i="32"/>
  <c r="T48" i="30"/>
  <c r="T104" i="30"/>
  <c r="R81" i="27"/>
  <c r="S79" i="27"/>
  <c r="R93" i="27"/>
  <c r="F57" i="33"/>
  <c r="F54" i="33"/>
  <c r="F55" i="33"/>
  <c r="F58" i="33"/>
  <c r="F53" i="33"/>
  <c r="F56" i="33"/>
  <c r="F60" i="33"/>
  <c r="F51" i="33"/>
  <c r="F64" i="33" s="1"/>
  <c r="G49" i="33"/>
  <c r="F62" i="33"/>
  <c r="L70" i="33" s="1"/>
  <c r="F61" i="33"/>
  <c r="F59" i="33"/>
  <c r="G66" i="33"/>
  <c r="J69" i="33"/>
  <c r="E64" i="33"/>
  <c r="E52" i="33"/>
  <c r="F65" i="33" s="1"/>
  <c r="H46" i="33"/>
  <c r="H47" i="33" s="1"/>
  <c r="L67" i="30" s="1"/>
  <c r="I39" i="33"/>
  <c r="J39" i="33" s="1"/>
  <c r="K39" i="33" s="1"/>
  <c r="L39" i="33" s="1"/>
  <c r="M39" i="33" s="1"/>
  <c r="N39" i="33" s="1"/>
  <c r="U28" i="35"/>
  <c r="G96" i="32"/>
  <c r="Q76" i="27"/>
  <c r="Y19" i="35"/>
  <c r="K39" i="32"/>
  <c r="Y17" i="35" s="1"/>
  <c r="W11" i="22"/>
  <c r="T28" i="35"/>
  <c r="F96" i="32"/>
  <c r="P76" i="27"/>
  <c r="X13" i="35"/>
  <c r="K31" i="32"/>
  <c r="K23" i="32"/>
  <c r="K20" i="32" s="1"/>
  <c r="X11" i="35"/>
  <c r="M91" i="30" l="1"/>
  <c r="O89" i="30"/>
  <c r="N91" i="30"/>
  <c r="O78" i="30"/>
  <c r="S41" i="22" s="1"/>
  <c r="S42" i="22" s="1"/>
  <c r="S36" i="22"/>
  <c r="S37" i="22" s="1"/>
  <c r="S40" i="22" s="1"/>
  <c r="K50" i="33"/>
  <c r="O87" i="30"/>
  <c r="N88" i="30"/>
  <c r="M88" i="30"/>
  <c r="K14" i="33"/>
  <c r="S5" i="22"/>
  <c r="S6" i="22" s="1"/>
  <c r="S9" i="22" s="1"/>
  <c r="P71" i="30"/>
  <c r="P70" i="30" s="1"/>
  <c r="P14" i="30"/>
  <c r="S15" i="30"/>
  <c r="T15" i="30" s="1"/>
  <c r="R6" i="22"/>
  <c r="T35" i="22"/>
  <c r="Q69" i="30"/>
  <c r="Q12" i="30"/>
  <c r="U3" i="22" s="1"/>
  <c r="U4" i="22" s="1"/>
  <c r="S13" i="30"/>
  <c r="T13" i="30" s="1"/>
  <c r="L25" i="30"/>
  <c r="P14" i="22" s="1"/>
  <c r="P15" i="22" s="1"/>
  <c r="I25" i="30"/>
  <c r="M14" i="22" s="1"/>
  <c r="M15" i="22" s="1"/>
  <c r="H25" i="30"/>
  <c r="L14" i="22" s="1"/>
  <c r="L15" i="22" s="1"/>
  <c r="M25" i="30"/>
  <c r="Q14" i="22" s="1"/>
  <c r="Q15" i="22" s="1"/>
  <c r="N25" i="30"/>
  <c r="R14" i="22" s="1"/>
  <c r="R15" i="22" s="1"/>
  <c r="J25" i="30"/>
  <c r="N14" i="22" s="1"/>
  <c r="N15" i="22" s="1"/>
  <c r="P25" i="30"/>
  <c r="T14" i="22" s="1"/>
  <c r="T15" i="22" s="1"/>
  <c r="K25" i="30"/>
  <c r="O14" i="22" s="1"/>
  <c r="O15" i="22" s="1"/>
  <c r="O25" i="30"/>
  <c r="S14" i="22" s="1"/>
  <c r="S15" i="22" s="1"/>
  <c r="R25" i="30"/>
  <c r="V14" i="22" s="1"/>
  <c r="V15" i="22" s="1"/>
  <c r="Q25" i="30"/>
  <c r="U14" i="22" s="1"/>
  <c r="U15" i="22" s="1"/>
  <c r="S67" i="30"/>
  <c r="I16" i="32"/>
  <c r="W9" i="35" s="1"/>
  <c r="W12" i="35"/>
  <c r="J24" i="32"/>
  <c r="X12" i="35" s="1"/>
  <c r="K41" i="22"/>
  <c r="W8" i="22"/>
  <c r="K9" i="22"/>
  <c r="J32" i="33"/>
  <c r="G19" i="33"/>
  <c r="G22" i="33"/>
  <c r="G24" i="33"/>
  <c r="G26" i="33"/>
  <c r="M34" i="33" s="1"/>
  <c r="G25" i="33"/>
  <c r="H13" i="33"/>
  <c r="G15" i="33"/>
  <c r="G18" i="33"/>
  <c r="G20" i="33"/>
  <c r="G23" i="33"/>
  <c r="G21" i="33"/>
  <c r="G17" i="33"/>
  <c r="K33" i="33"/>
  <c r="H30" i="33"/>
  <c r="F28" i="33"/>
  <c r="F35" i="33" s="1"/>
  <c r="J16" i="30" s="1"/>
  <c r="J19" i="30" s="1"/>
  <c r="F16" i="33"/>
  <c r="G29" i="33" s="1"/>
  <c r="I31" i="33"/>
  <c r="X8" i="35"/>
  <c r="AI41" i="30"/>
  <c r="L2" i="33"/>
  <c r="L27" i="33" s="1"/>
  <c r="P21" i="30"/>
  <c r="P47" i="30" s="1"/>
  <c r="T2" i="22"/>
  <c r="Q9" i="30"/>
  <c r="D52" i="33"/>
  <c r="E65" i="33" s="1"/>
  <c r="E71" i="33" s="1"/>
  <c r="I72" i="30" s="1"/>
  <c r="I75" i="30" s="1"/>
  <c r="AK7" i="35"/>
  <c r="C52" i="33"/>
  <c r="D65" i="33" s="1"/>
  <c r="D71" i="33" s="1"/>
  <c r="H72" i="30" s="1"/>
  <c r="H75" i="30" s="1"/>
  <c r="I67" i="33"/>
  <c r="H66" i="33"/>
  <c r="K40" i="22"/>
  <c r="K15" i="22"/>
  <c r="S81" i="30"/>
  <c r="T81" i="30" s="1"/>
  <c r="K45" i="22"/>
  <c r="K69" i="33"/>
  <c r="X30" i="22"/>
  <c r="V30" i="22"/>
  <c r="M25" i="20"/>
  <c r="AM72" i="35"/>
  <c r="AP44" i="35"/>
  <c r="AP59" i="35" s="1"/>
  <c r="Q39" i="28"/>
  <c r="Q50" i="28" s="1"/>
  <c r="Y37" i="35"/>
  <c r="J25" i="20"/>
  <c r="I69" i="35" s="1"/>
  <c r="H69" i="35"/>
  <c r="S39" i="30"/>
  <c r="T39" i="30" s="1"/>
  <c r="K30" i="22"/>
  <c r="K25" i="20"/>
  <c r="AJ72" i="35"/>
  <c r="R95" i="30"/>
  <c r="V61" i="22" s="1"/>
  <c r="L95" i="30"/>
  <c r="P61" i="22" s="1"/>
  <c r="G95" i="30"/>
  <c r="I95" i="30"/>
  <c r="M61" i="22" s="1"/>
  <c r="P95" i="30"/>
  <c r="T61" i="22" s="1"/>
  <c r="Q95" i="30"/>
  <c r="U61" i="22" s="1"/>
  <c r="J95" i="30"/>
  <c r="N61" i="22" s="1"/>
  <c r="M95" i="30"/>
  <c r="Q61" i="22" s="1"/>
  <c r="O95" i="30"/>
  <c r="S61" i="22" s="1"/>
  <c r="H95" i="30"/>
  <c r="L61" i="22" s="1"/>
  <c r="N95" i="30"/>
  <c r="R61" i="22" s="1"/>
  <c r="K95" i="30"/>
  <c r="O61" i="22" s="1"/>
  <c r="S81" i="27"/>
  <c r="S93" i="27"/>
  <c r="Y36" i="35"/>
  <c r="U80" i="27"/>
  <c r="U93" i="27" s="1"/>
  <c r="X36" i="35"/>
  <c r="T80" i="27"/>
  <c r="F71" i="33"/>
  <c r="J72" i="30" s="1"/>
  <c r="J75" i="30" s="1"/>
  <c r="F52" i="33"/>
  <c r="G65" i="33" s="1"/>
  <c r="J68" i="33"/>
  <c r="G53" i="33"/>
  <c r="G62" i="33"/>
  <c r="M70" i="33" s="1"/>
  <c r="G59" i="33"/>
  <c r="G60" i="33"/>
  <c r="G51" i="33"/>
  <c r="G64" i="33" s="1"/>
  <c r="H49" i="33"/>
  <c r="G58" i="33"/>
  <c r="G61" i="33"/>
  <c r="G56" i="33"/>
  <c r="G55" i="33"/>
  <c r="G54" i="33"/>
  <c r="G57" i="33"/>
  <c r="K28" i="32"/>
  <c r="Y13" i="35" s="1"/>
  <c r="R75" i="27"/>
  <c r="Q39" i="27"/>
  <c r="AU19" i="35" s="1"/>
  <c r="U49" i="35"/>
  <c r="Q47" i="27"/>
  <c r="D4" i="34"/>
  <c r="Q37" i="27"/>
  <c r="W16" i="35"/>
  <c r="K19" i="20"/>
  <c r="P37" i="27"/>
  <c r="T49" i="35"/>
  <c r="P47" i="27"/>
  <c r="C4" i="34"/>
  <c r="Q75" i="27"/>
  <c r="Q77" i="27" s="1"/>
  <c r="Q82" i="27" s="1"/>
  <c r="Q16" i="27" s="1"/>
  <c r="P39" i="27"/>
  <c r="AT19" i="35" s="1"/>
  <c r="P77" i="27"/>
  <c r="P82" i="27" s="1"/>
  <c r="P16" i="27" s="1"/>
  <c r="K12" i="32"/>
  <c r="Y8" i="35" s="1"/>
  <c r="Y11" i="35"/>
  <c r="L65" i="35"/>
  <c r="N21" i="20"/>
  <c r="M65" i="35" s="1"/>
  <c r="O91" i="30" l="1"/>
  <c r="P89" i="30"/>
  <c r="O88" i="30"/>
  <c r="P87" i="30"/>
  <c r="R9" i="22"/>
  <c r="L14" i="33"/>
  <c r="T5" i="22"/>
  <c r="P78" i="30"/>
  <c r="T36" i="22"/>
  <c r="L50" i="33"/>
  <c r="Q71" i="30"/>
  <c r="Q14" i="30"/>
  <c r="W4" i="22"/>
  <c r="W3" i="22"/>
  <c r="S69" i="30"/>
  <c r="T69" i="30" s="1"/>
  <c r="Q68" i="30"/>
  <c r="U34" i="22" s="1"/>
  <c r="S25" i="30"/>
  <c r="T25" i="30" s="1"/>
  <c r="W14" i="22"/>
  <c r="J16" i="32"/>
  <c r="J11" i="32" s="1"/>
  <c r="X7" i="35" s="1"/>
  <c r="I11" i="32"/>
  <c r="W7" i="35" s="1"/>
  <c r="K27" i="32"/>
  <c r="K24" i="32" s="1"/>
  <c r="K42" i="22"/>
  <c r="I30" i="33"/>
  <c r="K32" i="33"/>
  <c r="G28" i="33"/>
  <c r="G35" i="33" s="1"/>
  <c r="K16" i="30" s="1"/>
  <c r="K19" i="30" s="1"/>
  <c r="G16" i="33"/>
  <c r="H29" i="33" s="1"/>
  <c r="H24" i="33"/>
  <c r="H22" i="33"/>
  <c r="H20" i="33"/>
  <c r="H25" i="33"/>
  <c r="H21" i="33"/>
  <c r="H26" i="33"/>
  <c r="N34" i="33" s="1"/>
  <c r="H18" i="33"/>
  <c r="H17" i="33"/>
  <c r="H15" i="33"/>
  <c r="H23" i="33"/>
  <c r="I13" i="33"/>
  <c r="H19" i="33"/>
  <c r="L33" i="33"/>
  <c r="J31" i="33"/>
  <c r="U2" i="22"/>
  <c r="Q21" i="30"/>
  <c r="Q47" i="30" s="1"/>
  <c r="R9" i="30"/>
  <c r="AJ41" i="30"/>
  <c r="M2" i="33"/>
  <c r="M27" i="33" s="1"/>
  <c r="AU17" i="35"/>
  <c r="Q44" i="27"/>
  <c r="Q45" i="27" s="1"/>
  <c r="AT17" i="35"/>
  <c r="P44" i="27"/>
  <c r="P45" i="27" s="1"/>
  <c r="I66" i="33"/>
  <c r="W15" i="22"/>
  <c r="L69" i="33"/>
  <c r="K46" i="22"/>
  <c r="W46" i="22" s="1"/>
  <c r="W45" i="22"/>
  <c r="W30" i="22"/>
  <c r="K61" i="22"/>
  <c r="W61" i="22" s="1"/>
  <c r="S95" i="30"/>
  <c r="T95" i="30" s="1"/>
  <c r="AP72" i="35"/>
  <c r="O25" i="20"/>
  <c r="L25" i="20"/>
  <c r="K69" i="35" s="1"/>
  <c r="J69" i="35"/>
  <c r="N25" i="20"/>
  <c r="M69" i="35" s="1"/>
  <c r="L69" i="35"/>
  <c r="T93" i="27"/>
  <c r="U79" i="27"/>
  <c r="U81" i="27" s="1"/>
  <c r="T81" i="27"/>
  <c r="J67" i="33"/>
  <c r="K68" i="33"/>
  <c r="I49" i="33"/>
  <c r="H58" i="33"/>
  <c r="H61" i="33"/>
  <c r="H59" i="33"/>
  <c r="H54" i="33"/>
  <c r="H56" i="33"/>
  <c r="H57" i="33"/>
  <c r="H55" i="33"/>
  <c r="H62" i="33"/>
  <c r="N70" i="33" s="1"/>
  <c r="H60" i="33"/>
  <c r="H51" i="33"/>
  <c r="H64" i="33" s="1"/>
  <c r="H53" i="33"/>
  <c r="G71" i="33"/>
  <c r="K72" i="30" s="1"/>
  <c r="K75" i="30" s="1"/>
  <c r="G52" i="33"/>
  <c r="H65" i="33" s="1"/>
  <c r="Q40" i="27"/>
  <c r="AU20" i="35" s="1"/>
  <c r="P40" i="27"/>
  <c r="AT20" i="35" s="1"/>
  <c r="Q38" i="27"/>
  <c r="AU18" i="35" s="1"/>
  <c r="J63" i="35"/>
  <c r="L19" i="20"/>
  <c r="K63" i="35" s="1"/>
  <c r="Q51" i="27"/>
  <c r="D52" i="34"/>
  <c r="N15" i="20"/>
  <c r="M59" i="35" s="1"/>
  <c r="L59" i="35"/>
  <c r="J49" i="27"/>
  <c r="Q25" i="27"/>
  <c r="D30" i="34" s="1"/>
  <c r="D5" i="34"/>
  <c r="P25" i="27"/>
  <c r="C30" i="34" s="1"/>
  <c r="C5" i="34"/>
  <c r="C52" i="34"/>
  <c r="P51" i="27"/>
  <c r="C54" i="34" s="1"/>
  <c r="P38" i="27"/>
  <c r="AT18" i="35" s="1"/>
  <c r="P91" i="30" l="1"/>
  <c r="Q89" i="30"/>
  <c r="Q87" i="30"/>
  <c r="P88" i="30"/>
  <c r="U5" i="22"/>
  <c r="U6" i="22" s="1"/>
  <c r="U9" i="22" s="1"/>
  <c r="M14" i="33"/>
  <c r="Q70" i="30"/>
  <c r="S71" i="30"/>
  <c r="T71" i="30" s="1"/>
  <c r="T37" i="22"/>
  <c r="T41" i="22"/>
  <c r="T6" i="22"/>
  <c r="U35" i="22"/>
  <c r="W34" i="22"/>
  <c r="O21" i="20"/>
  <c r="N65" i="35" s="1"/>
  <c r="X9" i="35"/>
  <c r="I25" i="33"/>
  <c r="I20" i="33"/>
  <c r="I23" i="33"/>
  <c r="I17" i="33"/>
  <c r="I21" i="33"/>
  <c r="I15" i="33"/>
  <c r="I22" i="33"/>
  <c r="I18" i="33"/>
  <c r="I19" i="33"/>
  <c r="I26" i="33"/>
  <c r="I24" i="33"/>
  <c r="J13" i="33"/>
  <c r="K31" i="33"/>
  <c r="L32" i="33"/>
  <c r="H28" i="33"/>
  <c r="H35" i="33" s="1"/>
  <c r="L16" i="30" s="1"/>
  <c r="L19" i="30" s="1"/>
  <c r="H16" i="33"/>
  <c r="I29" i="33" s="1"/>
  <c r="M33" i="33"/>
  <c r="J30" i="33"/>
  <c r="P21" i="20"/>
  <c r="O65" i="35" s="1"/>
  <c r="V2" i="22"/>
  <c r="R21" i="30"/>
  <c r="R47" i="30" s="1"/>
  <c r="AK41" i="30"/>
  <c r="N2" i="33"/>
  <c r="N27" i="33" s="1"/>
  <c r="G65" i="30"/>
  <c r="J66" i="33"/>
  <c r="L68" i="33"/>
  <c r="M69" i="33"/>
  <c r="P25" i="20"/>
  <c r="O69" i="35" s="1"/>
  <c r="N69" i="35"/>
  <c r="H71" i="33"/>
  <c r="L72" i="30" s="1"/>
  <c r="L75" i="30" s="1"/>
  <c r="I58" i="33"/>
  <c r="I56" i="33"/>
  <c r="I51" i="33"/>
  <c r="I64" i="33" s="1"/>
  <c r="I59" i="33"/>
  <c r="I54" i="33"/>
  <c r="I57" i="33"/>
  <c r="I53" i="33"/>
  <c r="I62" i="33"/>
  <c r="I61" i="33"/>
  <c r="I55" i="33"/>
  <c r="J49" i="33"/>
  <c r="I60" i="33"/>
  <c r="K67" i="33"/>
  <c r="H52" i="33"/>
  <c r="I65" i="33" s="1"/>
  <c r="R52" i="27"/>
  <c r="D54" i="34"/>
  <c r="AM7" i="35"/>
  <c r="J37" i="32"/>
  <c r="K16" i="32"/>
  <c r="Y12" i="35"/>
  <c r="R89" i="30" l="1"/>
  <c r="Q91" i="30"/>
  <c r="R87" i="30"/>
  <c r="Q88" i="30"/>
  <c r="W5" i="22"/>
  <c r="T9" i="22"/>
  <c r="W9" i="22" s="1"/>
  <c r="W6" i="22"/>
  <c r="T42" i="22"/>
  <c r="T40" i="22"/>
  <c r="Q78" i="30"/>
  <c r="U36" i="22"/>
  <c r="M50" i="33"/>
  <c r="W35" i="22"/>
  <c r="N33" i="33"/>
  <c r="K30" i="33"/>
  <c r="M32" i="33"/>
  <c r="I28" i="33"/>
  <c r="I35" i="33" s="1"/>
  <c r="M16" i="30" s="1"/>
  <c r="M19" i="30" s="1"/>
  <c r="I16" i="33"/>
  <c r="J29" i="33" s="1"/>
  <c r="J21" i="33"/>
  <c r="J15" i="33"/>
  <c r="J19" i="33"/>
  <c r="J18" i="33"/>
  <c r="J24" i="33"/>
  <c r="J20" i="33"/>
  <c r="J26" i="33"/>
  <c r="J23" i="33"/>
  <c r="J22" i="33"/>
  <c r="K13" i="33"/>
  <c r="J25" i="33"/>
  <c r="J17" i="33"/>
  <c r="L31" i="33"/>
  <c r="G77" i="30"/>
  <c r="G103" i="30" s="1"/>
  <c r="AA100" i="30" s="1"/>
  <c r="H65" i="30"/>
  <c r="K33" i="22"/>
  <c r="C12" i="33"/>
  <c r="C38" i="33"/>
  <c r="N69" i="33"/>
  <c r="I52" i="33"/>
  <c r="J65" i="33" s="1"/>
  <c r="K66" i="33"/>
  <c r="J57" i="33"/>
  <c r="J51" i="33"/>
  <c r="J64" i="33" s="1"/>
  <c r="J62" i="33"/>
  <c r="J61" i="33"/>
  <c r="J60" i="33"/>
  <c r="J55" i="33"/>
  <c r="J58" i="33"/>
  <c r="J59" i="33"/>
  <c r="J56" i="33"/>
  <c r="J53" i="33"/>
  <c r="J54" i="33"/>
  <c r="K49" i="33"/>
  <c r="I71" i="33"/>
  <c r="M72" i="30" s="1"/>
  <c r="M75" i="30" s="1"/>
  <c r="L67" i="33"/>
  <c r="M68" i="33"/>
  <c r="X16" i="35"/>
  <c r="M19" i="20"/>
  <c r="R53" i="27"/>
  <c r="H39" i="27"/>
  <c r="K11" i="32"/>
  <c r="Y7" i="35" s="1"/>
  <c r="Y9" i="35"/>
  <c r="S89" i="30" l="1"/>
  <c r="T89" i="30" s="1"/>
  <c r="R91" i="30"/>
  <c r="S91" i="30" s="1"/>
  <c r="S87" i="30"/>
  <c r="T87" i="30" s="1"/>
  <c r="R88" i="30"/>
  <c r="S88" i="30" s="1"/>
  <c r="U37" i="22"/>
  <c r="W36" i="22"/>
  <c r="U41" i="22"/>
  <c r="S78" i="30"/>
  <c r="T78" i="30" s="1"/>
  <c r="N32" i="33"/>
  <c r="M31" i="33"/>
  <c r="L30" i="33"/>
  <c r="K24" i="33"/>
  <c r="K23" i="33"/>
  <c r="K22" i="33"/>
  <c r="K25" i="33"/>
  <c r="K20" i="33"/>
  <c r="K18" i="33"/>
  <c r="K26" i="33"/>
  <c r="K21" i="33"/>
  <c r="K15" i="33"/>
  <c r="K19" i="33"/>
  <c r="L13" i="33"/>
  <c r="K17" i="33"/>
  <c r="J28" i="33"/>
  <c r="J35" i="33" s="1"/>
  <c r="N16" i="30" s="1"/>
  <c r="N19" i="30" s="1"/>
  <c r="J16" i="33"/>
  <c r="K29" i="33" s="1"/>
  <c r="C48" i="33"/>
  <c r="Q38" i="33"/>
  <c r="C63" i="33"/>
  <c r="I65" i="30"/>
  <c r="H77" i="30"/>
  <c r="H103" i="30" s="1"/>
  <c r="AB100" i="30" s="1"/>
  <c r="L33" i="22"/>
  <c r="D38" i="33"/>
  <c r="D12" i="33"/>
  <c r="M67" i="33"/>
  <c r="J71" i="33"/>
  <c r="N72" i="30" s="1"/>
  <c r="N75" i="30" s="1"/>
  <c r="N68" i="33"/>
  <c r="L49" i="33"/>
  <c r="K51" i="33"/>
  <c r="K61" i="33"/>
  <c r="K59" i="33"/>
  <c r="K62" i="33"/>
  <c r="K57" i="33"/>
  <c r="K58" i="33"/>
  <c r="K53" i="33"/>
  <c r="K60" i="33"/>
  <c r="K55" i="33"/>
  <c r="K54" i="33"/>
  <c r="K56" i="33"/>
  <c r="L66" i="33"/>
  <c r="J52" i="33"/>
  <c r="K65" i="33" s="1"/>
  <c r="V72" i="35"/>
  <c r="H57" i="32"/>
  <c r="G51" i="30" s="1"/>
  <c r="G54" i="30" s="1"/>
  <c r="N59" i="35"/>
  <c r="P15" i="20"/>
  <c r="O59" i="35" s="1"/>
  <c r="K49" i="27"/>
  <c r="L63" i="35"/>
  <c r="N19" i="20"/>
  <c r="M63" i="35" s="1"/>
  <c r="W37" i="22" l="1"/>
  <c r="U40" i="22"/>
  <c r="W40" i="22" s="1"/>
  <c r="U42" i="22"/>
  <c r="W42" i="22" s="1"/>
  <c r="W41" i="22"/>
  <c r="M30" i="33"/>
  <c r="N31" i="33"/>
  <c r="L22" i="33"/>
  <c r="L15" i="33"/>
  <c r="L18" i="33"/>
  <c r="L20" i="33"/>
  <c r="L25" i="33"/>
  <c r="L23" i="33"/>
  <c r="L21" i="33"/>
  <c r="L19" i="33"/>
  <c r="L17" i="33"/>
  <c r="L26" i="33"/>
  <c r="M13" i="33"/>
  <c r="L24" i="33"/>
  <c r="K28" i="33"/>
  <c r="K35" i="33" s="1"/>
  <c r="O16" i="30" s="1"/>
  <c r="O19" i="30" s="1"/>
  <c r="K16" i="33"/>
  <c r="L29" i="33" s="1"/>
  <c r="S51" i="30"/>
  <c r="S54" i="30" s="1"/>
  <c r="D48" i="33"/>
  <c r="D63" i="33"/>
  <c r="R38" i="33"/>
  <c r="I77" i="30"/>
  <c r="I103" i="30" s="1"/>
  <c r="AC100" i="30" s="1"/>
  <c r="M33" i="22"/>
  <c r="E12" i="33"/>
  <c r="E38" i="33"/>
  <c r="J65" i="30"/>
  <c r="M66" i="33"/>
  <c r="N67" i="33"/>
  <c r="K64" i="33"/>
  <c r="K71" i="33" s="1"/>
  <c r="O72" i="30" s="1"/>
  <c r="O75" i="30" s="1"/>
  <c r="K52" i="33"/>
  <c r="L65" i="33" s="1"/>
  <c r="L58" i="33"/>
  <c r="L55" i="33"/>
  <c r="L56" i="33"/>
  <c r="L53" i="33"/>
  <c r="L62" i="33"/>
  <c r="L54" i="33"/>
  <c r="M49" i="33"/>
  <c r="L61" i="33"/>
  <c r="L51" i="33"/>
  <c r="L64" i="33" s="1"/>
  <c r="L59" i="33"/>
  <c r="L60" i="33"/>
  <c r="L57" i="33"/>
  <c r="K37" i="32"/>
  <c r="AO7" i="35"/>
  <c r="V31" i="35"/>
  <c r="N30" i="33" l="1"/>
  <c r="M15" i="33"/>
  <c r="M26" i="33"/>
  <c r="M23" i="33"/>
  <c r="M17" i="33"/>
  <c r="M24" i="33"/>
  <c r="M25" i="33"/>
  <c r="M22" i="33"/>
  <c r="M19" i="33"/>
  <c r="M20" i="33"/>
  <c r="N13" i="33"/>
  <c r="M18" i="33"/>
  <c r="M21" i="33"/>
  <c r="L28" i="33"/>
  <c r="L35" i="33" s="1"/>
  <c r="P16" i="30" s="1"/>
  <c r="P19" i="30" s="1"/>
  <c r="L16" i="33"/>
  <c r="M29" i="33" s="1"/>
  <c r="S38" i="33"/>
  <c r="E48" i="33"/>
  <c r="E63" i="33"/>
  <c r="N33" i="22"/>
  <c r="F38" i="33"/>
  <c r="F12" i="33"/>
  <c r="K65" i="30"/>
  <c r="J77" i="30"/>
  <c r="J103" i="30" s="1"/>
  <c r="AD100" i="30" s="1"/>
  <c r="L71" i="33"/>
  <c r="P72" i="30" s="1"/>
  <c r="P75" i="30" s="1"/>
  <c r="N49" i="33"/>
  <c r="M53" i="33"/>
  <c r="M61" i="33"/>
  <c r="M56" i="33"/>
  <c r="M62" i="33"/>
  <c r="M59" i="33"/>
  <c r="M57" i="33"/>
  <c r="M60" i="33"/>
  <c r="M58" i="33"/>
  <c r="M55" i="33"/>
  <c r="M51" i="33"/>
  <c r="M64" i="33" s="1"/>
  <c r="M54" i="33"/>
  <c r="L52" i="33"/>
  <c r="M65" i="33" s="1"/>
  <c r="N66" i="33"/>
  <c r="Y16" i="35"/>
  <c r="O19" i="20"/>
  <c r="N26" i="33" l="1"/>
  <c r="N24" i="33"/>
  <c r="N17" i="33"/>
  <c r="N18" i="33"/>
  <c r="N22" i="33"/>
  <c r="N15" i="33"/>
  <c r="N20" i="33"/>
  <c r="N25" i="33"/>
  <c r="N19" i="33"/>
  <c r="N23" i="33"/>
  <c r="N21" i="33"/>
  <c r="M28" i="33"/>
  <c r="M35" i="33" s="1"/>
  <c r="Q16" i="30" s="1"/>
  <c r="Q19" i="30" s="1"/>
  <c r="M16" i="33"/>
  <c r="N29" i="33" s="1"/>
  <c r="G38" i="33"/>
  <c r="G12" i="33"/>
  <c r="L65" i="30"/>
  <c r="K77" i="30"/>
  <c r="K103" i="30" s="1"/>
  <c r="AE100" i="30" s="1"/>
  <c r="O33" i="22"/>
  <c r="F63" i="33"/>
  <c r="F48" i="33"/>
  <c r="M52" i="33"/>
  <c r="N65" i="33" s="1"/>
  <c r="M71" i="33"/>
  <c r="Q72" i="30" s="1"/>
  <c r="N59" i="33"/>
  <c r="N58" i="33"/>
  <c r="N57" i="33"/>
  <c r="N55" i="33"/>
  <c r="N53" i="33"/>
  <c r="N62" i="33"/>
  <c r="N56" i="33"/>
  <c r="N60" i="33"/>
  <c r="N61" i="33"/>
  <c r="N54" i="33"/>
  <c r="N51" i="33"/>
  <c r="N63" i="35"/>
  <c r="P19" i="20"/>
  <c r="O63" i="35" s="1"/>
  <c r="N28" i="33" l="1"/>
  <c r="N35" i="33" s="1"/>
  <c r="R16" i="30" s="1"/>
  <c r="N16" i="33"/>
  <c r="H12" i="33"/>
  <c r="M65" i="30"/>
  <c r="L77" i="30"/>
  <c r="L103" i="30" s="1"/>
  <c r="AF100" i="30" s="1"/>
  <c r="P33" i="22"/>
  <c r="H38" i="33"/>
  <c r="G63" i="33"/>
  <c r="G48" i="33"/>
  <c r="N64" i="33"/>
  <c r="N71" i="33" s="1"/>
  <c r="R72" i="30" s="1"/>
  <c r="R75" i="30" s="1"/>
  <c r="N52" i="33"/>
  <c r="Q75" i="30"/>
  <c r="S16" i="30" l="1"/>
  <c r="R19" i="30"/>
  <c r="H63" i="33"/>
  <c r="H48" i="33"/>
  <c r="N65" i="30"/>
  <c r="M77" i="30"/>
  <c r="M103" i="30" s="1"/>
  <c r="AG100" i="30" s="1"/>
  <c r="Q33" i="22"/>
  <c r="I38" i="33"/>
  <c r="I12" i="33"/>
  <c r="S72" i="30"/>
  <c r="S75" i="30"/>
  <c r="S19" i="30" l="1"/>
  <c r="I48" i="33"/>
  <c r="I63" i="33"/>
  <c r="O65" i="30"/>
  <c r="N77" i="30"/>
  <c r="N103" i="30" s="1"/>
  <c r="AH100" i="30" s="1"/>
  <c r="R33" i="22"/>
  <c r="J38" i="33"/>
  <c r="J12" i="33"/>
  <c r="J48" i="33" l="1"/>
  <c r="J63" i="33"/>
  <c r="O77" i="30"/>
  <c r="O103" i="30" s="1"/>
  <c r="AI100" i="30" s="1"/>
  <c r="P65" i="30"/>
  <c r="S33" i="22"/>
  <c r="K12" i="33"/>
  <c r="K38" i="33"/>
  <c r="K48" i="33" l="1"/>
  <c r="K63" i="33"/>
  <c r="Q65" i="30"/>
  <c r="P77" i="30"/>
  <c r="P103" i="30" s="1"/>
  <c r="AJ100" i="30" s="1"/>
  <c r="T33" i="22"/>
  <c r="L38" i="33"/>
  <c r="L12" i="33"/>
  <c r="L48" i="33" l="1"/>
  <c r="L63" i="33"/>
  <c r="Q77" i="30"/>
  <c r="Q103" i="30" s="1"/>
  <c r="AK100" i="30" s="1"/>
  <c r="U33" i="22"/>
  <c r="M38" i="33"/>
  <c r="M12" i="33"/>
  <c r="R65" i="30"/>
  <c r="V33" i="22" l="1"/>
  <c r="W33" i="22" s="1"/>
  <c r="N38" i="33"/>
  <c r="R77" i="30"/>
  <c r="R103" i="30" s="1"/>
  <c r="AL100" i="30" s="1"/>
  <c r="N12" i="33"/>
  <c r="M63" i="33"/>
  <c r="M48" i="33"/>
  <c r="N63" i="33" l="1"/>
  <c r="N48" i="33"/>
  <c r="U98" i="30" l="1"/>
  <c r="N98" i="30" s="1"/>
  <c r="H120" i="1"/>
  <c r="O120" i="1"/>
  <c r="J120" i="1" l="1"/>
  <c r="L120" i="1" s="1"/>
  <c r="G98" i="30"/>
  <c r="O98" i="30"/>
  <c r="H98" i="30"/>
  <c r="R98" i="30"/>
  <c r="I98" i="30"/>
  <c r="K98" i="30"/>
  <c r="J98" i="30"/>
  <c r="M98" i="30"/>
  <c r="Q98" i="30"/>
  <c r="P98" i="30"/>
  <c r="L98" i="30"/>
  <c r="S98" i="30" l="1"/>
  <c r="T98" i="30" s="1"/>
  <c r="F55" i="1" l="1"/>
  <c r="D73" i="29" s="1"/>
  <c r="D52" i="1"/>
  <c r="D45" i="1" s="1"/>
  <c r="D80" i="29" l="1"/>
  <c r="D74" i="29"/>
  <c r="D79" i="29" s="1"/>
  <c r="H55" i="1"/>
  <c r="F73" i="29" s="1"/>
  <c r="B126" i="1"/>
  <c r="J55" i="1"/>
  <c r="H73" i="29" s="1"/>
  <c r="H52" i="1"/>
  <c r="H45" i="1" s="1"/>
  <c r="E108" i="1"/>
  <c r="E118" i="1"/>
  <c r="E69" i="1"/>
  <c r="E83" i="1"/>
  <c r="E52" i="1"/>
  <c r="G44" i="27"/>
  <c r="E79" i="1"/>
  <c r="E117" i="1"/>
  <c r="E74" i="1"/>
  <c r="E113" i="1"/>
  <c r="E88" i="1"/>
  <c r="E86" i="1"/>
  <c r="E46" i="1"/>
  <c r="R43" i="27" s="1"/>
  <c r="D125" i="1"/>
  <c r="E87" i="1"/>
  <c r="E99" i="1"/>
  <c r="E94" i="1"/>
  <c r="E104" i="1"/>
  <c r="E63" i="1"/>
  <c r="F52" i="1"/>
  <c r="F45" i="1" s="1"/>
  <c r="F80" i="29" l="1"/>
  <c r="F74" i="29"/>
  <c r="F79" i="29" s="1"/>
  <c r="U85" i="30" s="1" a="1"/>
  <c r="U85" i="30" s="1"/>
  <c r="H74" i="29"/>
  <c r="H79" i="29" s="1"/>
  <c r="H80" i="29"/>
  <c r="G69" i="1"/>
  <c r="G121" i="1"/>
  <c r="G63" i="1"/>
  <c r="G108" i="1"/>
  <c r="G113" i="1"/>
  <c r="G117" i="1"/>
  <c r="G83" i="1"/>
  <c r="G74" i="1"/>
  <c r="G88" i="1"/>
  <c r="G94" i="1"/>
  <c r="G46" i="1"/>
  <c r="T43" i="27" s="1"/>
  <c r="G119" i="1"/>
  <c r="G123" i="1"/>
  <c r="G87" i="1"/>
  <c r="G86" i="1"/>
  <c r="G122" i="1"/>
  <c r="G79" i="1"/>
  <c r="G120" i="1"/>
  <c r="I18" i="20"/>
  <c r="F125" i="1"/>
  <c r="G99" i="1"/>
  <c r="G124" i="1"/>
  <c r="G118" i="1"/>
  <c r="G104" i="1"/>
  <c r="G52" i="1"/>
  <c r="E122" i="1"/>
  <c r="E120" i="1"/>
  <c r="E123" i="1"/>
  <c r="E121" i="1"/>
  <c r="D126" i="1"/>
  <c r="E124" i="1"/>
  <c r="E119" i="1"/>
  <c r="K18" i="20"/>
  <c r="I79" i="1"/>
  <c r="H125" i="1"/>
  <c r="I122" i="1"/>
  <c r="I123" i="1"/>
  <c r="I83" i="1"/>
  <c r="I113" i="1"/>
  <c r="I99" i="1"/>
  <c r="I87" i="1"/>
  <c r="I121" i="1"/>
  <c r="I69" i="1"/>
  <c r="I52" i="1"/>
  <c r="I63" i="1"/>
  <c r="I74" i="1"/>
  <c r="I104" i="1"/>
  <c r="I88" i="1"/>
  <c r="I120" i="1"/>
  <c r="I118" i="1"/>
  <c r="I124" i="1"/>
  <c r="I86" i="1"/>
  <c r="I108" i="1"/>
  <c r="I46" i="1"/>
  <c r="I117" i="1"/>
  <c r="I119" i="1"/>
  <c r="I94" i="1"/>
  <c r="J52" i="1"/>
  <c r="J45" i="1" s="1"/>
  <c r="L55" i="1"/>
  <c r="J73" i="29" s="1"/>
  <c r="L52" i="1" l="1"/>
  <c r="L45" i="1" s="1"/>
  <c r="M120" i="1" s="1"/>
  <c r="J18" i="20"/>
  <c r="I62" i="35" s="1"/>
  <c r="H56" i="27"/>
  <c r="L18" i="20"/>
  <c r="K62" i="35" s="1"/>
  <c r="I56" i="27"/>
  <c r="H82" i="29"/>
  <c r="H81" i="29" s="1"/>
  <c r="L85" i="30"/>
  <c r="P54" i="22" s="1"/>
  <c r="P85" i="30"/>
  <c r="T54" i="22" s="1"/>
  <c r="K85" i="30"/>
  <c r="O54" i="22" s="1"/>
  <c r="I85" i="30"/>
  <c r="M54" i="22" s="1"/>
  <c r="J85" i="30"/>
  <c r="N54" i="22" s="1"/>
  <c r="M85" i="30"/>
  <c r="Q54" i="22" s="1"/>
  <c r="Q85" i="30"/>
  <c r="U54" i="22" s="1"/>
  <c r="N85" i="30"/>
  <c r="R54" i="22" s="1"/>
  <c r="H85" i="30"/>
  <c r="L54" i="22" s="1"/>
  <c r="O85" i="30"/>
  <c r="S54" i="22" s="1"/>
  <c r="G85" i="30"/>
  <c r="R85" i="30"/>
  <c r="V54" i="22" s="1"/>
  <c r="F82" i="29"/>
  <c r="F81" i="29" s="1"/>
  <c r="F85" i="30" s="1"/>
  <c r="J54" i="22" s="1"/>
  <c r="H35" i="20"/>
  <c r="I20" i="20"/>
  <c r="J20" i="20" s="1"/>
  <c r="H62" i="35"/>
  <c r="K63" i="1"/>
  <c r="K113" i="1"/>
  <c r="K117" i="1"/>
  <c r="K52" i="1"/>
  <c r="K74" i="1"/>
  <c r="M18" i="20"/>
  <c r="J125" i="1"/>
  <c r="K108" i="1"/>
  <c r="K119" i="1"/>
  <c r="K87" i="1"/>
  <c r="K123" i="1"/>
  <c r="K124" i="1"/>
  <c r="K122" i="1"/>
  <c r="K83" i="1"/>
  <c r="K121" i="1"/>
  <c r="K99" i="1"/>
  <c r="K118" i="1"/>
  <c r="K120" i="1"/>
  <c r="K104" i="1"/>
  <c r="K46" i="1"/>
  <c r="K94" i="1"/>
  <c r="K79" i="1"/>
  <c r="K88" i="1"/>
  <c r="K86" i="1"/>
  <c r="K69" i="1"/>
  <c r="K20" i="20"/>
  <c r="L20" i="20" s="1"/>
  <c r="J62" i="35"/>
  <c r="Q55" i="22" l="1"/>
  <c r="Q56" i="22" s="1"/>
  <c r="Q57" i="22" s="1"/>
  <c r="O86" i="30" s="1"/>
  <c r="P55" i="22"/>
  <c r="P56" i="22" s="1"/>
  <c r="P57" i="22" s="1"/>
  <c r="N86" i="30" s="1"/>
  <c r="N55" i="22"/>
  <c r="N56" i="22" s="1"/>
  <c r="N57" i="22" s="1"/>
  <c r="L86" i="30" s="1"/>
  <c r="M55" i="22"/>
  <c r="M56" i="22" s="1"/>
  <c r="M57" i="22" s="1"/>
  <c r="K86" i="30" s="1"/>
  <c r="O55" i="22"/>
  <c r="O56" i="22" s="1"/>
  <c r="O57" i="22" s="1"/>
  <c r="M86" i="30" s="1"/>
  <c r="T55" i="22"/>
  <c r="T56" i="22" s="1"/>
  <c r="T57" i="22" s="1"/>
  <c r="R86" i="30" s="1"/>
  <c r="V55" i="22"/>
  <c r="V56" i="22" s="1"/>
  <c r="V57" i="22" s="1"/>
  <c r="L55" i="22"/>
  <c r="L56" i="22" s="1"/>
  <c r="L57" i="22" s="1"/>
  <c r="J86" i="30" s="1"/>
  <c r="S55" i="22"/>
  <c r="S56" i="22" s="1"/>
  <c r="S57" i="22" s="1"/>
  <c r="Q86" i="30" s="1"/>
  <c r="R55" i="22"/>
  <c r="R56" i="22" s="1"/>
  <c r="R57" i="22" s="1"/>
  <c r="P86" i="30" s="1"/>
  <c r="U55" i="22"/>
  <c r="U56" i="22" s="1"/>
  <c r="U57" i="22" s="1"/>
  <c r="M88" i="1"/>
  <c r="M108" i="1"/>
  <c r="M113" i="1"/>
  <c r="M69" i="1"/>
  <c r="M52" i="1"/>
  <c r="M122" i="1"/>
  <c r="M86" i="1"/>
  <c r="M74" i="1"/>
  <c r="M124" i="1"/>
  <c r="M46" i="1"/>
  <c r="M104" i="1"/>
  <c r="M94" i="1"/>
  <c r="O18" i="20"/>
  <c r="N62" i="35" s="1"/>
  <c r="M99" i="1"/>
  <c r="M118" i="1"/>
  <c r="M117" i="1"/>
  <c r="M121" i="1"/>
  <c r="M119" i="1"/>
  <c r="L125" i="1"/>
  <c r="M83" i="1"/>
  <c r="M87" i="1"/>
  <c r="M63" i="1"/>
  <c r="M79" i="1"/>
  <c r="M123" i="1"/>
  <c r="J74" i="29"/>
  <c r="J80" i="29"/>
  <c r="AI14" i="35"/>
  <c r="H60" i="27"/>
  <c r="H79" i="32"/>
  <c r="H78" i="32" s="1"/>
  <c r="I79" i="32"/>
  <c r="I78" i="32" s="1"/>
  <c r="AK14" i="35"/>
  <c r="I60" i="27"/>
  <c r="P18" i="20"/>
  <c r="O62" i="35" s="1"/>
  <c r="K56" i="27"/>
  <c r="N18" i="20"/>
  <c r="M62" i="35" s="1"/>
  <c r="J56" i="27"/>
  <c r="K64" i="35"/>
  <c r="S19" i="27"/>
  <c r="F27" i="34" s="1"/>
  <c r="R19" i="27"/>
  <c r="E27" i="34" s="1"/>
  <c r="I64" i="35"/>
  <c r="K54" i="22"/>
  <c r="S85" i="30"/>
  <c r="T85" i="30" s="1"/>
  <c r="J64" i="35"/>
  <c r="K22" i="20"/>
  <c r="S18" i="27"/>
  <c r="M20" i="20"/>
  <c r="N20" i="20" s="1"/>
  <c r="L62" i="35"/>
  <c r="I22" i="20"/>
  <c r="H64" i="35"/>
  <c r="R18" i="27"/>
  <c r="O20" i="20" l="1"/>
  <c r="P20" i="20" s="1"/>
  <c r="O64" i="35" s="1"/>
  <c r="J79" i="29"/>
  <c r="J82" i="29"/>
  <c r="J81" i="29" s="1"/>
  <c r="Q40" i="33"/>
  <c r="Q41" i="33" s="1"/>
  <c r="Q44" i="33" s="1"/>
  <c r="G79" i="30" s="1"/>
  <c r="S79" i="30" s="1"/>
  <c r="H73" i="32"/>
  <c r="V45" i="35"/>
  <c r="H61" i="27"/>
  <c r="AI18" i="35"/>
  <c r="J79" i="32"/>
  <c r="J78" i="32" s="1"/>
  <c r="AM14" i="35"/>
  <c r="J60" i="27"/>
  <c r="AK18" i="35"/>
  <c r="I61" i="27"/>
  <c r="AO14" i="35"/>
  <c r="K60" i="27"/>
  <c r="K79" i="32"/>
  <c r="K78" i="32" s="1"/>
  <c r="I73" i="32"/>
  <c r="W45" i="35"/>
  <c r="M64" i="35"/>
  <c r="T19" i="27"/>
  <c r="G27" i="34" s="1"/>
  <c r="L22" i="20"/>
  <c r="J22" i="20"/>
  <c r="K55" i="22"/>
  <c r="W54" i="22"/>
  <c r="I26" i="20"/>
  <c r="J26" i="20" s="1"/>
  <c r="I70" i="35" s="1"/>
  <c r="R20" i="27"/>
  <c r="H66" i="35"/>
  <c r="T18" i="27"/>
  <c r="M22" i="20"/>
  <c r="L64" i="35"/>
  <c r="S20" i="27"/>
  <c r="K26" i="20"/>
  <c r="L26" i="20" s="1"/>
  <c r="K70" i="35" s="1"/>
  <c r="J66" i="35"/>
  <c r="N64" i="35" l="1"/>
  <c r="O22" i="20"/>
  <c r="U20" i="27" s="1"/>
  <c r="U19" i="27"/>
  <c r="H27" i="34" s="1"/>
  <c r="U18" i="27"/>
  <c r="V42" i="35"/>
  <c r="R48" i="27"/>
  <c r="E53" i="34" s="1"/>
  <c r="AI19" i="35"/>
  <c r="H28" i="27"/>
  <c r="R87" i="27"/>
  <c r="Y45" i="35"/>
  <c r="K73" i="32"/>
  <c r="AO18" i="35"/>
  <c r="K61" i="27"/>
  <c r="J61" i="27"/>
  <c r="AM18" i="35"/>
  <c r="W42" i="35"/>
  <c r="S48" i="27"/>
  <c r="F53" i="34" s="1"/>
  <c r="I28" i="27"/>
  <c r="W63" i="35" s="1"/>
  <c r="AK19" i="35"/>
  <c r="S87" i="27"/>
  <c r="S84" i="27" s="1"/>
  <c r="X45" i="35"/>
  <c r="J73" i="32"/>
  <c r="N22" i="20"/>
  <c r="I66" i="35"/>
  <c r="R21" i="27"/>
  <c r="S21" i="27"/>
  <c r="K66" i="35"/>
  <c r="W55" i="22"/>
  <c r="K56" i="22"/>
  <c r="J70" i="35"/>
  <c r="K27" i="20"/>
  <c r="T20" i="27"/>
  <c r="M26" i="20"/>
  <c r="N26" i="20" s="1"/>
  <c r="M70" i="35" s="1"/>
  <c r="L66" i="35"/>
  <c r="I27" i="20"/>
  <c r="H70" i="35"/>
  <c r="P22" i="20" l="1"/>
  <c r="U21" i="27" s="1"/>
  <c r="N66" i="35"/>
  <c r="O26" i="20"/>
  <c r="P26" i="20" s="1"/>
  <c r="O70" i="35" s="1"/>
  <c r="V63" i="35"/>
  <c r="H41" i="27"/>
  <c r="V74" i="35" s="1"/>
  <c r="Y42" i="35"/>
  <c r="U48" i="27"/>
  <c r="H53" i="34" s="1"/>
  <c r="X42" i="35"/>
  <c r="T48" i="27"/>
  <c r="G53" i="34" s="1"/>
  <c r="T87" i="27"/>
  <c r="T84" i="27" s="1"/>
  <c r="AM19" i="35"/>
  <c r="J28" i="27"/>
  <c r="X63" i="35" s="1"/>
  <c r="U87" i="27"/>
  <c r="U84" i="27" s="1"/>
  <c r="AO19" i="35"/>
  <c r="K28" i="27"/>
  <c r="Y63" i="35" s="1"/>
  <c r="K31" i="20"/>
  <c r="L31" i="20" s="1"/>
  <c r="S24" i="27" s="1"/>
  <c r="F29" i="34" s="1"/>
  <c r="L27" i="20"/>
  <c r="K72" i="35" s="1"/>
  <c r="S26" i="27"/>
  <c r="S27" i="27" s="1"/>
  <c r="E28" i="34"/>
  <c r="R22" i="27"/>
  <c r="R74" i="27"/>
  <c r="J27" i="20"/>
  <c r="I72" i="35" s="1"/>
  <c r="R26" i="27"/>
  <c r="R27" i="27" s="1"/>
  <c r="S22" i="27"/>
  <c r="F28" i="34"/>
  <c r="T21" i="27"/>
  <c r="M66" i="35"/>
  <c r="W56" i="22"/>
  <c r="K57" i="22"/>
  <c r="H15" i="27"/>
  <c r="R34" i="27" s="1"/>
  <c r="S74" i="27"/>
  <c r="I31" i="20"/>
  <c r="J31" i="20" s="1"/>
  <c r="R24" i="27" s="1"/>
  <c r="E29" i="34" s="1"/>
  <c r="I15" i="27"/>
  <c r="S34" i="27" s="1"/>
  <c r="U40" i="30"/>
  <c r="H72" i="35"/>
  <c r="M27" i="20"/>
  <c r="L70" i="35"/>
  <c r="U96" i="30"/>
  <c r="J72" i="35"/>
  <c r="R35" i="27" l="1"/>
  <c r="AV15" i="35" s="1"/>
  <c r="AV14" i="35"/>
  <c r="O66" i="35"/>
  <c r="S35" i="27"/>
  <c r="AW15" i="35" s="1"/>
  <c r="AW14" i="35"/>
  <c r="N70" i="35"/>
  <c r="O27" i="20"/>
  <c r="N72" i="35" s="1"/>
  <c r="J75" i="35"/>
  <c r="I58" i="32"/>
  <c r="W32" i="35" s="1"/>
  <c r="S23" i="27"/>
  <c r="H28" i="34"/>
  <c r="U22" i="27"/>
  <c r="L72" i="35"/>
  <c r="N27" i="20"/>
  <c r="M72" i="35" s="1"/>
  <c r="T26" i="27"/>
  <c r="T27" i="27" s="1"/>
  <c r="H21" i="27"/>
  <c r="H42" i="27" s="1"/>
  <c r="G28" i="34"/>
  <c r="T22" i="27"/>
  <c r="V54" i="35"/>
  <c r="R23" i="27"/>
  <c r="R54" i="27"/>
  <c r="I86" i="30"/>
  <c r="W57" i="22"/>
  <c r="H75" i="35"/>
  <c r="H58" i="32"/>
  <c r="H54" i="32" s="1"/>
  <c r="R33" i="27"/>
  <c r="AV13" i="35" s="1"/>
  <c r="I21" i="27"/>
  <c r="W54" i="35"/>
  <c r="S33" i="27"/>
  <c r="AW13" i="35" s="1"/>
  <c r="T74" i="27"/>
  <c r="G96" i="30"/>
  <c r="H96" i="30"/>
  <c r="I96" i="30"/>
  <c r="Q96" i="30"/>
  <c r="Q101" i="30" s="1"/>
  <c r="Q112" i="30" s="1"/>
  <c r="AK101" i="30" s="1"/>
  <c r="R96" i="30"/>
  <c r="R101" i="30" s="1"/>
  <c r="R112" i="30" s="1"/>
  <c r="AL101" i="30" s="1"/>
  <c r="O96" i="30"/>
  <c r="O101" i="30" s="1"/>
  <c r="O112" i="30" s="1"/>
  <c r="AI101" i="30" s="1"/>
  <c r="L96" i="30"/>
  <c r="L101" i="30" s="1"/>
  <c r="L112" i="30" s="1"/>
  <c r="AF101" i="30" s="1"/>
  <c r="K96" i="30"/>
  <c r="K101" i="30" s="1"/>
  <c r="K112" i="30" s="1"/>
  <c r="AE101" i="30" s="1"/>
  <c r="P96" i="30"/>
  <c r="P101" i="30" s="1"/>
  <c r="P112" i="30" s="1"/>
  <c r="AJ101" i="30" s="1"/>
  <c r="J96" i="30"/>
  <c r="J101" i="30" s="1"/>
  <c r="J112" i="30" s="1"/>
  <c r="AD101" i="30" s="1"/>
  <c r="M96" i="30"/>
  <c r="M101" i="30" s="1"/>
  <c r="M112" i="30" s="1"/>
  <c r="AG101" i="30" s="1"/>
  <c r="N96" i="30"/>
  <c r="N101" i="30" s="1"/>
  <c r="N112" i="30" s="1"/>
  <c r="AH101" i="30" s="1"/>
  <c r="J15" i="27"/>
  <c r="T34" i="27" s="1"/>
  <c r="M31" i="20"/>
  <c r="N31" i="20" s="1"/>
  <c r="T24" i="27" s="1"/>
  <c r="G29" i="34" s="1"/>
  <c r="M40" i="30"/>
  <c r="P40" i="30"/>
  <c r="L40" i="30"/>
  <c r="N40" i="30"/>
  <c r="O40" i="30"/>
  <c r="R40" i="30"/>
  <c r="K40" i="30"/>
  <c r="I40" i="30"/>
  <c r="H40" i="30"/>
  <c r="Q40" i="30"/>
  <c r="J40" i="30"/>
  <c r="G40" i="30"/>
  <c r="G45" i="30" s="1"/>
  <c r="G56" i="30" s="1"/>
  <c r="U26" i="27" l="1"/>
  <c r="U27" i="27" s="1"/>
  <c r="P27" i="20"/>
  <c r="O72" i="35" s="1"/>
  <c r="AX14" i="35"/>
  <c r="T35" i="27"/>
  <c r="AX15" i="35" s="1"/>
  <c r="O31" i="20"/>
  <c r="K58" i="32" s="1"/>
  <c r="Y32" i="35" s="1"/>
  <c r="K15" i="27"/>
  <c r="U74" i="27"/>
  <c r="I101" i="30"/>
  <c r="I112" i="30" s="1"/>
  <c r="AC101" i="30" s="1"/>
  <c r="V60" i="35"/>
  <c r="I56" i="32"/>
  <c r="W30" i="35" s="1"/>
  <c r="V32" i="35"/>
  <c r="W60" i="35"/>
  <c r="S40" i="30"/>
  <c r="T40" i="30" s="1"/>
  <c r="H43" i="27"/>
  <c r="V75" i="35"/>
  <c r="J58" i="32"/>
  <c r="X32" i="35" s="1"/>
  <c r="T23" i="27"/>
  <c r="L75" i="35"/>
  <c r="J21" i="27"/>
  <c r="T33" i="27"/>
  <c r="AX13" i="35" s="1"/>
  <c r="X54" i="35"/>
  <c r="S96" i="30"/>
  <c r="T96" i="30" s="1"/>
  <c r="H96" i="32"/>
  <c r="R76" i="27"/>
  <c r="R88" i="27"/>
  <c r="R89" i="27" s="1"/>
  <c r="R84" i="27" s="1"/>
  <c r="V28" i="35"/>
  <c r="P31" i="20" l="1"/>
  <c r="U24" i="27" s="1"/>
  <c r="H29" i="34" s="1"/>
  <c r="Y54" i="35"/>
  <c r="U34" i="27"/>
  <c r="N75" i="35"/>
  <c r="U23" i="27"/>
  <c r="K21" i="27"/>
  <c r="Y60" i="35" s="1"/>
  <c r="U33" i="27"/>
  <c r="AY13" i="35" s="1"/>
  <c r="V76" i="35"/>
  <c r="H44" i="27"/>
  <c r="V77" i="35" s="1"/>
  <c r="X60" i="35"/>
  <c r="V49" i="35"/>
  <c r="H47" i="32"/>
  <c r="R37" i="27"/>
  <c r="AV17" i="35" s="1"/>
  <c r="R47" i="27"/>
  <c r="E4" i="34"/>
  <c r="S75" i="27"/>
  <c r="R77" i="27"/>
  <c r="R82" i="27" s="1"/>
  <c r="R16" i="27" s="1"/>
  <c r="U35" i="27" l="1"/>
  <c r="AY15" i="35" s="1"/>
  <c r="AY14" i="35"/>
  <c r="R29" i="27"/>
  <c r="R44" i="27" s="1"/>
  <c r="R45" i="27" s="1"/>
  <c r="R31" i="27"/>
  <c r="R38" i="27"/>
  <c r="AV18" i="35" s="1"/>
  <c r="V23" i="35"/>
  <c r="H36" i="32"/>
  <c r="R94" i="27"/>
  <c r="R39" i="27" s="1"/>
  <c r="R51" i="27"/>
  <c r="E52" i="34"/>
  <c r="E5" i="34"/>
  <c r="R25" i="27"/>
  <c r="E30" i="34" s="1"/>
  <c r="R32" i="27" l="1"/>
  <c r="AV12" i="35" s="1"/>
  <c r="AV11" i="35"/>
  <c r="R30" i="27"/>
  <c r="AV10" i="35" s="1"/>
  <c r="AV9" i="35"/>
  <c r="AV19" i="35"/>
  <c r="R40" i="27"/>
  <c r="AV20" i="35" s="1"/>
  <c r="E54" i="34"/>
  <c r="S52" i="27"/>
  <c r="V15" i="35"/>
  <c r="H49" i="32"/>
  <c r="V24" i="35" s="1"/>
  <c r="I39" i="27" l="1"/>
  <c r="S54" i="27"/>
  <c r="S53" i="27"/>
  <c r="I57" i="32" l="1"/>
  <c r="G107" i="30"/>
  <c r="W72" i="35"/>
  <c r="I41" i="27"/>
  <c r="S107" i="30" l="1"/>
  <c r="S110" i="30" s="1"/>
  <c r="G110" i="30"/>
  <c r="W31" i="35"/>
  <c r="J56" i="32"/>
  <c r="I54" i="32"/>
  <c r="W74" i="35"/>
  <c r="I42" i="27"/>
  <c r="X30" i="35" l="1"/>
  <c r="S76" i="27"/>
  <c r="S88" i="27"/>
  <c r="W28" i="35"/>
  <c r="I96" i="32"/>
  <c r="I43" i="27"/>
  <c r="W75" i="35"/>
  <c r="T75" i="27" l="1"/>
  <c r="S77" i="27"/>
  <c r="S82" i="27" s="1"/>
  <c r="S16" i="27" s="1"/>
  <c r="W76" i="35"/>
  <c r="I44" i="27"/>
  <c r="W77" i="35" s="1"/>
  <c r="S47" i="27"/>
  <c r="F4" i="34"/>
  <c r="S37" i="27"/>
  <c r="AW17" i="35" s="1"/>
  <c r="W49" i="35"/>
  <c r="I47" i="32"/>
  <c r="S29" i="27" l="1"/>
  <c r="S44" i="27" s="1"/>
  <c r="S45" i="27" s="1"/>
  <c r="S31" i="27"/>
  <c r="S38" i="27"/>
  <c r="AW18" i="35" s="1"/>
  <c r="W23" i="35"/>
  <c r="I36" i="32"/>
  <c r="S94" i="27"/>
  <c r="S39" i="27" s="1"/>
  <c r="S51" i="27"/>
  <c r="F52" i="34"/>
  <c r="F5" i="34"/>
  <c r="S25" i="27"/>
  <c r="F30" i="34" s="1"/>
  <c r="S32" i="27" l="1"/>
  <c r="AW12" i="35" s="1"/>
  <c r="AW11" i="35"/>
  <c r="S30" i="27"/>
  <c r="AW10" i="35" s="1"/>
  <c r="AW9" i="35"/>
  <c r="AW19" i="35"/>
  <c r="S40" i="27"/>
  <c r="AW20" i="35" s="1"/>
  <c r="F54" i="34"/>
  <c r="T52" i="27"/>
  <c r="I49" i="32"/>
  <c r="W15" i="35"/>
  <c r="T54" i="27" l="1"/>
  <c r="J39" i="27"/>
  <c r="T53" i="27"/>
  <c r="W24" i="35"/>
  <c r="J57" i="32" l="1"/>
  <c r="J41" i="27"/>
  <c r="X72" i="35"/>
  <c r="X74" i="35" l="1"/>
  <c r="J42" i="27"/>
  <c r="X31" i="35"/>
  <c r="K56" i="32"/>
  <c r="J54" i="32"/>
  <c r="Y30" i="35" l="1"/>
  <c r="J43" i="27"/>
  <c r="X75" i="35"/>
  <c r="J96" i="32"/>
  <c r="T88" i="27"/>
  <c r="T76" i="27"/>
  <c r="X28" i="35"/>
  <c r="U75" i="27" l="1"/>
  <c r="T77" i="27"/>
  <c r="T82" i="27" s="1"/>
  <c r="T16" i="27" s="1"/>
  <c r="X76" i="35"/>
  <c r="J44" i="27"/>
  <c r="X77" i="35" s="1"/>
  <c r="G4" i="34"/>
  <c r="T47" i="27"/>
  <c r="X49" i="35"/>
  <c r="T37" i="27"/>
  <c r="AX17" i="35" s="1"/>
  <c r="J47" i="32"/>
  <c r="T29" i="27" l="1"/>
  <c r="T44" i="27" s="1"/>
  <c r="T45" i="27" s="1"/>
  <c r="T31" i="27"/>
  <c r="G52" i="34"/>
  <c r="T51" i="27"/>
  <c r="T38" i="27"/>
  <c r="AX18" i="35" s="1"/>
  <c r="T94" i="27"/>
  <c r="T39" i="27" s="1"/>
  <c r="J36" i="32"/>
  <c r="X23" i="35"/>
  <c r="T25" i="27"/>
  <c r="G30" i="34" s="1"/>
  <c r="G5" i="34"/>
  <c r="T32" i="27" l="1"/>
  <c r="AX12" i="35" s="1"/>
  <c r="AX11" i="35"/>
  <c r="T30" i="27"/>
  <c r="AX10" i="35" s="1"/>
  <c r="AX9" i="35"/>
  <c r="AX19" i="35"/>
  <c r="T40" i="27"/>
  <c r="AX20" i="35" s="1"/>
  <c r="G54" i="34"/>
  <c r="U52" i="27"/>
  <c r="J49" i="32"/>
  <c r="X15" i="35"/>
  <c r="U54" i="27" l="1"/>
  <c r="K39" i="27"/>
  <c r="U53" i="27"/>
  <c r="X24" i="35"/>
  <c r="K41" i="27" l="1"/>
  <c r="K57" i="32"/>
  <c r="Y72" i="35"/>
  <c r="Y74" i="35" l="1"/>
  <c r="K42" i="27"/>
  <c r="Y31" i="35"/>
  <c r="K54" i="32"/>
  <c r="K43" i="27" l="1"/>
  <c r="Y75" i="35"/>
  <c r="Y28" i="35"/>
  <c r="K96" i="32"/>
  <c r="U76" i="27"/>
  <c r="U77" i="27" s="1"/>
  <c r="U82" i="27" s="1"/>
  <c r="U16" i="27" s="1"/>
  <c r="U88" i="27"/>
  <c r="U47" i="27" l="1"/>
  <c r="U37" i="27"/>
  <c r="AY17" i="35" s="1"/>
  <c r="H4" i="34"/>
  <c r="K47" i="32"/>
  <c r="Y49" i="35"/>
  <c r="U25" i="27"/>
  <c r="H30" i="34" s="1"/>
  <c r="H5" i="34"/>
  <c r="Y76" i="35"/>
  <c r="K44" i="27"/>
  <c r="Y77" i="35" s="1"/>
  <c r="U29" i="27" l="1"/>
  <c r="U44" i="27" s="1"/>
  <c r="U45" i="27" s="1"/>
  <c r="U31" i="27"/>
  <c r="U38" i="27"/>
  <c r="AY18" i="35" s="1"/>
  <c r="Y23" i="35"/>
  <c r="U94" i="27"/>
  <c r="U39" i="27" s="1"/>
  <c r="K36" i="32"/>
  <c r="H52" i="34"/>
  <c r="U51" i="27"/>
  <c r="H54" i="34" s="1"/>
  <c r="AY19" i="35" l="1"/>
  <c r="U40" i="27"/>
  <c r="AY20" i="35" s="1"/>
  <c r="U32" i="27"/>
  <c r="AY12" i="35" s="1"/>
  <c r="AY11" i="35"/>
  <c r="U30" i="27"/>
  <c r="AY10" i="35" s="1"/>
  <c r="AY9" i="35"/>
  <c r="Y15" i="35"/>
  <c r="K49" i="32"/>
  <c r="Y24" i="35" l="1"/>
  <c r="M96" i="32"/>
  <c r="M49" i="32" s="1"/>
  <c r="D82" i="29"/>
  <c r="D81" i="29" l="1"/>
  <c r="F29" i="30" s="1"/>
  <c r="J23" i="22" s="1"/>
  <c r="U29" i="30" l="1"/>
  <c r="L29" i="30" s="1"/>
  <c r="P23" i="22" s="1"/>
  <c r="P24" i="22" s="1"/>
  <c r="P25" i="22" s="1"/>
  <c r="P26" i="22" s="1"/>
  <c r="N30" i="30" s="1"/>
  <c r="O29" i="30" l="1"/>
  <c r="S23" i="22" s="1"/>
  <c r="S24" i="22" s="1"/>
  <c r="S25" i="22" s="1"/>
  <c r="S26" i="22" s="1"/>
  <c r="Q30" i="30" s="1"/>
  <c r="Q29" i="30"/>
  <c r="U23" i="22" s="1"/>
  <c r="U24" i="22" s="1"/>
  <c r="U25" i="22" s="1"/>
  <c r="U26" i="22" s="1"/>
  <c r="G86" i="30" s="1"/>
  <c r="G101" i="30" s="1"/>
  <c r="J29" i="30"/>
  <c r="N23" i="22" s="1"/>
  <c r="N24" i="22" s="1"/>
  <c r="N25" i="22" s="1"/>
  <c r="N26" i="22" s="1"/>
  <c r="L30" i="30" s="1"/>
  <c r="L45" i="30" s="1"/>
  <c r="L56" i="30" s="1"/>
  <c r="AE42" i="30" s="1"/>
  <c r="R29" i="30"/>
  <c r="V23" i="22" s="1"/>
  <c r="V24" i="22" s="1"/>
  <c r="V25" i="22" s="1"/>
  <c r="V26" i="22" s="1"/>
  <c r="H86" i="30" s="1"/>
  <c r="H101" i="30" s="1"/>
  <c r="H112" i="30" s="1"/>
  <c r="AB101" i="30" s="1"/>
  <c r="H29" i="30"/>
  <c r="H45" i="30" s="1"/>
  <c r="H56" i="30" s="1"/>
  <c r="AA42" i="30" s="1"/>
  <c r="P29" i="30"/>
  <c r="T23" i="22" s="1"/>
  <c r="T24" i="22" s="1"/>
  <c r="T25" i="22" s="1"/>
  <c r="T26" i="22" s="1"/>
  <c r="R30" i="30" s="1"/>
  <c r="G29" i="30"/>
  <c r="I29" i="30"/>
  <c r="M23" i="22" s="1"/>
  <c r="M24" i="22" s="1"/>
  <c r="M25" i="22" s="1"/>
  <c r="M26" i="22" s="1"/>
  <c r="K30" i="30" s="1"/>
  <c r="M29" i="30"/>
  <c r="Q23" i="22" s="1"/>
  <c r="Q24" i="22" s="1"/>
  <c r="Q25" i="22" s="1"/>
  <c r="Q26" i="22" s="1"/>
  <c r="O30" i="30" s="1"/>
  <c r="K29" i="30"/>
  <c r="O23" i="22" s="1"/>
  <c r="O24" i="22" s="1"/>
  <c r="O25" i="22" s="1"/>
  <c r="O26" i="22" s="1"/>
  <c r="M30" i="30" s="1"/>
  <c r="N29" i="30"/>
  <c r="S86" i="30" l="1"/>
  <c r="L23" i="22"/>
  <c r="L24" i="22" s="1"/>
  <c r="L25" i="22" s="1"/>
  <c r="L26" i="22" s="1"/>
  <c r="J30" i="30" s="1"/>
  <c r="R23" i="22"/>
  <c r="R24" i="22" s="1"/>
  <c r="R25" i="22" s="1"/>
  <c r="R26" i="22" s="1"/>
  <c r="P30" i="30" s="1"/>
  <c r="K45" i="30"/>
  <c r="K56" i="30" s="1"/>
  <c r="AD42" i="30" s="1"/>
  <c r="K23" i="22"/>
  <c r="K24" i="22" s="1"/>
  <c r="K25" i="22" s="1"/>
  <c r="S29" i="30"/>
  <c r="T29" i="30" s="1"/>
  <c r="G112" i="30"/>
  <c r="S101" i="30"/>
  <c r="G57" i="30"/>
  <c r="Z42" i="30"/>
  <c r="W23" i="22" l="1"/>
  <c r="W24" i="22"/>
  <c r="Z43" i="30"/>
  <c r="H10" i="30"/>
  <c r="H57" i="30" s="1"/>
  <c r="K26" i="22"/>
  <c r="W25" i="22"/>
  <c r="S112" i="30"/>
  <c r="AA101" i="30"/>
  <c r="W26" i="22" l="1"/>
  <c r="I30" i="30"/>
  <c r="I10" i="30"/>
  <c r="AA43" i="30"/>
  <c r="S30" i="30" l="1"/>
  <c r="I45" i="30"/>
  <c r="I56" i="30" l="1"/>
  <c r="AB42" i="30" l="1"/>
  <c r="I57" i="30"/>
  <c r="J10" i="30" l="1"/>
  <c r="AB43" i="30"/>
  <c r="N35" i="30" l="1"/>
  <c r="N45" i="30" s="1"/>
  <c r="N56" i="30" s="1"/>
  <c r="AG42" i="30" s="1"/>
  <c r="J45" i="30"/>
  <c r="J56" i="30" l="1"/>
  <c r="J57" i="30" l="1"/>
  <c r="AC42" i="30"/>
  <c r="AC43" i="30" l="1"/>
  <c r="K10" i="30"/>
  <c r="K57" i="30" s="1"/>
  <c r="AD43" i="30" l="1"/>
  <c r="L10" i="30"/>
  <c r="L57" i="30" s="1"/>
  <c r="AE43" i="30" l="1"/>
  <c r="M10" i="30"/>
  <c r="R35" i="30" l="1"/>
  <c r="R45" i="30" s="1"/>
  <c r="R56" i="30" s="1"/>
  <c r="AK42" i="30" s="1"/>
  <c r="M35" i="30"/>
  <c r="M45" i="30" s="1"/>
  <c r="M56" i="30" l="1"/>
  <c r="AF42" i="30" l="1"/>
  <c r="M57" i="30"/>
  <c r="AF43" i="30" l="1"/>
  <c r="N10" i="30"/>
  <c r="N57" i="30" s="1"/>
  <c r="O10" i="30" l="1"/>
  <c r="AG43" i="30"/>
  <c r="O35" i="30" l="1"/>
  <c r="O45" i="30" s="1"/>
  <c r="Q35" i="30"/>
  <c r="Q45" i="30" s="1"/>
  <c r="Q56" i="30" s="1"/>
  <c r="AJ42" i="30" s="1"/>
  <c r="P35" i="30"/>
  <c r="P45" i="30" s="1"/>
  <c r="P56" i="30" s="1"/>
  <c r="AI42" i="30" s="1"/>
  <c r="S34" i="30"/>
  <c r="T33" i="30" s="1"/>
  <c r="S35" i="30" l="1"/>
  <c r="O56" i="30"/>
  <c r="S45" i="30"/>
  <c r="S56" i="30" l="1"/>
  <c r="AH42" i="30"/>
  <c r="AL42" i="30" s="1"/>
  <c r="O57" i="30"/>
  <c r="P10" i="30" l="1"/>
  <c r="P57" i="30" s="1"/>
  <c r="AH43" i="30"/>
  <c r="AI43" i="30" l="1"/>
  <c r="Q10" i="30"/>
  <c r="Q57" i="30" s="1"/>
  <c r="AJ43" i="30" l="1"/>
  <c r="R10" i="30"/>
  <c r="R57" i="30" s="1"/>
  <c r="AK43" i="30" l="1"/>
  <c r="G66" i="30"/>
  <c r="G113" i="30" s="1"/>
  <c r="AA102" i="30" l="1"/>
  <c r="H66" i="30"/>
  <c r="H113" i="30" s="1"/>
  <c r="AB102" i="30" l="1"/>
  <c r="I66" i="30"/>
  <c r="I113" i="30" s="1"/>
  <c r="AC102" i="30" l="1"/>
  <c r="J66" i="30"/>
  <c r="J113" i="30" s="1"/>
  <c r="AD102" i="30" l="1"/>
  <c r="K66" i="30"/>
  <c r="K113" i="30" s="1"/>
  <c r="AE102" i="30" l="1"/>
  <c r="L66" i="30"/>
  <c r="L113" i="30" s="1"/>
  <c r="M66" i="30" l="1"/>
  <c r="M113" i="30" s="1"/>
  <c r="AF102" i="30"/>
  <c r="AG102" i="30" l="1"/>
  <c r="N66" i="30"/>
  <c r="N113" i="30" s="1"/>
  <c r="AH102" i="30" l="1"/>
  <c r="O66" i="30"/>
  <c r="O113" i="30" s="1"/>
  <c r="AI102" i="30" l="1"/>
  <c r="P66" i="30"/>
  <c r="P113" i="30" s="1"/>
  <c r="AJ102" i="30" l="1"/>
  <c r="Q66" i="30"/>
  <c r="Q113" i="30" s="1"/>
  <c r="AK102" i="30" l="1"/>
  <c r="R66" i="30"/>
  <c r="R113" i="30" s="1"/>
  <c r="AL102" i="3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Jadelcons</author>
  </authors>
  <commentList>
    <comment ref="A3" authorId="0" shapeId="0" xr:uid="{431C8219-73E7-41A3-A1BE-A7C6B3C5307F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KOKONAISLUKUINA! </t>
        </r>
        <r>
          <rPr>
            <sz val="10"/>
            <color indexed="81"/>
            <rFont val="Tahoma"/>
            <family val="2"/>
          </rPr>
          <t xml:space="preserve">
Laskentaohjelmassa täytetään vain keltaisia ruutuja (soluja). Muut solut ovat tarkoituksella lukittu. Laskennan edetessä ohjelma laskee lukittuihin soluihin arvoja. Täytä sivu kerrallaan seuraamalla vasemman reunan numerointia.
</t>
        </r>
        <r>
          <rPr>
            <b/>
            <i/>
            <sz val="10"/>
            <color indexed="81"/>
            <rFont val="Tahoma"/>
            <family val="2"/>
          </rPr>
          <t>Leasing -rahoituksella vuokrattavat koneet yms. käsitellään taulukossa 5. E1 Kustannukset. Jos vuokrattava kohde lunastetaan sopimuskauden päätyttyä, se sijoitetaan investointina tähän taulukkoon.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Mikäli investointeja ei tehdä voit siirtyä suoraan kohtaan 2. T2 TULOSSUUNNNITELMA. </t>
        </r>
        <r>
          <rPr>
            <sz val="10"/>
            <color indexed="81"/>
            <rFont val="Tahoma"/>
            <family val="2"/>
          </rPr>
          <t xml:space="preserve">
Rivit 1 - 7: Investoinnit on arvioitava toteutumisajankohdan mukaisesti.
Rivi 9: Käyttöpääoman lisäyksellä tarkoitetaan investoinnin aiheuttamaa pysyvää käyttöpääoman lisätarvetta. 
          Käyttöpääoma = Vaihto-omaisuus + myyntisaamiset - ostovelat - saadut ennakkomaksut.
Rivi 10: Liiketoimintakaupan tavaravarasto ja/tai alkuvaraston hankintahinta 
Rivi 12: Oman pääoman lisäykset.
Rivi 13: Tulorahoitus, joka voidaan käyttää tähän investointiin.
Rivi 14: Pääomalainan lisäys.
Rivi 15: Omaisuuden ja sijoitusten myynnistä saadut rahat.</t>
        </r>
      </text>
    </comment>
    <comment ref="D16" authorId="1" shapeId="0" xr:uid="{00000000-0006-0000-0100-000001000000}">
      <text>
        <r>
          <rPr>
            <sz val="9"/>
            <color indexed="81"/>
            <rFont val="Tahoma"/>
            <family val="2"/>
          </rPr>
          <t>Tilikauden päättymisvuosi.</t>
        </r>
      </text>
    </comment>
    <comment ref="C20" authorId="0" shapeId="0" xr:uid="{1DEAF4A4-C657-46A8-8340-26A99E72E7B5}">
      <text>
        <r>
          <rPr>
            <b/>
            <sz val="10"/>
            <color indexed="81"/>
            <rFont val="Tahoma"/>
            <family val="2"/>
          </rPr>
          <t xml:space="preserve">Kiinteistöinvestoinnit, joista voidaan tehdä poistoja ja vähentää arvonlisävero! </t>
        </r>
        <r>
          <rPr>
            <sz val="10"/>
            <color indexed="81"/>
            <rFont val="Tahoma"/>
            <family val="2"/>
          </rPr>
          <t>Jos arvonlisäveroa ei voida vähentää sijoita investointi kohtaan 3. Rakennukset ja rakennelmat</t>
        </r>
      </text>
    </comment>
    <comment ref="C24" authorId="0" shapeId="0" xr:uid="{10715ED7-5126-4C64-8C42-E4E52737B939}">
      <text>
        <r>
          <rPr>
            <sz val="10"/>
            <color indexed="81"/>
            <rFont val="Tahoma"/>
            <family val="2"/>
          </rPr>
          <t>Rakennukset, kiinteistöt ja rakennelmat, joista voidaan tehdä poistoja, mutta ei voida vähentää arvonlisäveroa.</t>
        </r>
      </text>
    </comment>
    <comment ref="C27" authorId="1" shapeId="0" xr:uid="{E0EF0475-A53B-45B7-9E72-EE2A869A921C}">
      <text>
        <r>
          <rPr>
            <sz val="10"/>
            <color indexed="81"/>
            <rFont val="Tahoma"/>
            <family val="2"/>
          </rPr>
          <t xml:space="preserve">Investoinnit (ei leasingrahoitus), joista voidaan vähentää arvonlisävero. Vaihtokaupassa käytä välirahan määrää. </t>
        </r>
      </text>
    </comment>
    <comment ref="C30" authorId="1" shapeId="0" xr:uid="{5AB4698A-8DE1-4859-B9C9-6476E31AF4DF}">
      <text>
        <r>
          <rPr>
            <sz val="10"/>
            <color indexed="81"/>
            <rFont val="Tahoma"/>
            <family val="2"/>
          </rPr>
          <t xml:space="preserve">Koneet ja kalusto investoinnit, joista </t>
        </r>
        <r>
          <rPr>
            <b/>
            <sz val="10"/>
            <color indexed="81"/>
            <rFont val="Tahoma"/>
            <family val="2"/>
          </rPr>
          <t>ei voida vähentää arvonlisäveroa (ei leasingrahoitus). Vaihtokaupassa kirjoita välirahan määrä.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Esim. ulkomailta ostettavat koneet ja laitteet, yrityskaupassa siirtyvä kalusto, osto yksityishenkilöltä, työsuhdeautot.</t>
        </r>
      </text>
    </comment>
    <comment ref="C32" authorId="1" shapeId="0" xr:uid="{588C156B-7F9F-45E2-A6F7-C48CB7901441}">
      <text>
        <r>
          <rPr>
            <sz val="10"/>
            <color indexed="81"/>
            <rFont val="Tahoma"/>
            <family val="2"/>
          </rPr>
          <t>Muut aineelliset hyödykkeet ovat kirjanpidossa omaisuuseriä, jotka eivät ole rakennuksia, maa-alueita tai irtaimistoa, kuten:
- luonnonvarat esim. soran-ottopaikat, louhokset, turvesuot, sillat, altaat, mineraaliesiintymät, hedelmätarhat
- taide-esineet
- yrityksen käytössä olevat eläimet
- yrityksen omistamalle tontille tehtävät investoinnit esim. maanrakennus, asfaltointi, salaojitus</t>
        </r>
      </text>
    </comment>
    <comment ref="C35" authorId="0" shapeId="0" xr:uid="{EB98F272-C13B-4F50-A753-0F7C6632D21B}">
      <text>
        <r>
          <rPr>
            <b/>
            <sz val="10"/>
            <color indexed="81"/>
            <rFont val="Tahoma"/>
            <family val="2"/>
          </rPr>
          <t>Aineettomat hyödykkeet verotonta tai alv 0 %</t>
        </r>
        <r>
          <rPr>
            <sz val="10"/>
            <color indexed="81"/>
            <rFont val="Tahoma"/>
            <family val="2"/>
          </rPr>
          <t xml:space="preserve">
- Yrityskaupassa yrityksen liikearvo (goodwill, ei yrityksen ostohinta)
- Aineettomat oikeudet (patentti, tavaramerkki, ohjelmisto tms.) ei sis. arvonlisäveroa  
- Merkittävän tuotehitysprojektin palkka- ja markkinointimenot (projektin osuus palkka- ja 
  markkinontikustannuksista vähennettävä taulukossa 5. E1 Kustannukset.)
- Alv-% painotettu keskiarvo, jos tuotekehityskustannuksia.
</t>
        </r>
        <r>
          <rPr>
            <b/>
            <sz val="10"/>
            <color indexed="81"/>
            <rFont val="Tahoma"/>
            <family val="2"/>
          </rPr>
          <t xml:space="preserve">Aineettomat hyödykkeet sis. alv
</t>
        </r>
        <r>
          <rPr>
            <sz val="10"/>
            <color indexed="81"/>
            <rFont val="Tahoma"/>
            <family val="2"/>
          </rPr>
          <t xml:space="preserve">- Merkittävään tuotekehitysprojektiin sisältyvät aineet ja tarvikkeet sekä ulkopuoliset alihankintaostot. 
- Alv-verollisen liiketoiminnan käytössä olevan vuokra-asunnon ja osakehuoneiston perusparannukseen 
  sis. työt ja tarvikkeet.
</t>
        </r>
        <r>
          <rPr>
            <b/>
            <sz val="10"/>
            <color indexed="81"/>
            <rFont val="Tahoma"/>
            <family val="2"/>
          </rPr>
          <t>JOS USEITA ERI ALV-KANTOJA, KIRJOITA KESKIMÄÄRÄINEN ALV.</t>
        </r>
      </text>
    </comment>
    <comment ref="C38" authorId="0" shapeId="0" xr:uid="{BE10664B-CCF8-4BEB-8B8F-DCF13FEB2029}">
      <text>
        <r>
          <rPr>
            <sz val="10"/>
            <color indexed="81"/>
            <rFont val="Tahoma"/>
            <family val="2"/>
          </rPr>
          <t xml:space="preserve">Osakeyhtiön osakkeiden, liikehuoneiston- ja toimitilojen osakkeiden sekä muun sijoitusomaisuuden hankintahinta, joka ei sisällä arvonlisäveroa.
</t>
        </r>
        <r>
          <rPr>
            <b/>
            <sz val="10"/>
            <color indexed="81"/>
            <rFont val="Tahoma"/>
            <family val="2"/>
          </rPr>
          <t xml:space="preserve">Yrityskaupassa käyttöpääoma:
</t>
        </r>
        <r>
          <rPr>
            <sz val="10"/>
            <color indexed="81"/>
            <rFont val="Tahoma"/>
            <family val="2"/>
          </rPr>
          <t>Yrityskaupassa pankkitili- ja käteisvarat jäävät yleensä myyjälle, jolloin käyttöpääoma lisätään tähän kohtaan kauppahinnan lisäksi.</t>
        </r>
      </text>
    </comment>
    <comment ref="C39" authorId="1" shapeId="0" xr:uid="{B1F03BA6-E454-48FD-B580-5B57FB9EBE0A}">
      <text>
        <r>
          <rPr>
            <sz val="10"/>
            <color indexed="81"/>
            <rFont val="Tahoma"/>
            <family val="2"/>
          </rPr>
          <t xml:space="preserve">Voiko kommentissa harhautua sijoittamann tähän vaihto-omaisuutta?
</t>
        </r>
        <r>
          <rPr>
            <strike/>
            <sz val="10"/>
            <color indexed="81"/>
            <rFont val="Tahoma"/>
            <family val="2"/>
          </rPr>
          <t xml:space="preserve">Yritystoiminnan laajennus vaatii lisää käyttöpääomaa, sillä yleensä vaihto-omaisuuden (varaston) arvo kasvaa kiinteiden kulujen ohella. 
Yrityskaupassa ostettava vaihto-omaisuus otetaan huomioon käyttöpääomana. </t>
        </r>
      </text>
    </comment>
    <comment ref="D40" authorId="0" shapeId="0" xr:uid="{0FB12128-158C-47FB-8492-B59491E9E213}">
      <text>
        <r>
          <rPr>
            <sz val="10"/>
            <color indexed="81"/>
            <rFont val="Tahoma"/>
            <family val="2"/>
          </rPr>
          <t xml:space="preserve">Yrityskaupassa ja uuden tuotemyynnin käynnistämiseksi ostettava vaihto-omaisuus "alkuvarasto", jonka kuluttaminen kestää useita kuukausia. Normaalisti yritystä käynnistettäessä alkuvarasto hankitaan käyttöpääomalla. Alkuvarastoon käytettävä rahamäärä vähennetään käyttöpääoman määrästä kohdassa 9. 
- liiketoimintakaupan tavaravarasto alv 0 %
- alkuvaraston tuotteet sis. alv </t>
        </r>
      </text>
    </comment>
    <comment ref="D41" authorId="2" shapeId="0" xr:uid="{6CA442C1-DFC1-46F4-A4A8-A966C31E045D}">
      <text>
        <r>
          <rPr>
            <sz val="10"/>
            <color indexed="81"/>
            <rFont val="Tahoma"/>
            <family val="2"/>
          </rPr>
          <t>- Liiketoimintakaupan tavaravarasto alv 0 %
- Alkuvarasto sisältää arvonlisäveron. Jos useita eri alv-kantoja, 
  aseta painotettu keskiarvo.</t>
        </r>
      </text>
    </comment>
    <comment ref="D48" authorId="1" shapeId="0" xr:uid="{00000000-0006-0000-0100-00001B000000}">
      <text>
        <r>
          <rPr>
            <b/>
            <sz val="10"/>
            <color indexed="81"/>
            <rFont val="Tahoma"/>
            <family val="2"/>
          </rPr>
          <t>Osakepääoman korotus tai alennus!</t>
        </r>
        <r>
          <rPr>
            <sz val="10"/>
            <color indexed="81"/>
            <rFont val="Tahoma"/>
            <family val="2"/>
          </rPr>
          <t xml:space="preserve"> 
Osakepääomaa voidaan maksaa myös apporttiomaisuutena (esim. koneet ja rakennukset). Omaisuuden arvo merkitään tähän ja samansuuruisena taulukon yläosaan PÄÄOMANTARVE - valitse oikea nimike (alv 0 %).
Osakepääomaa voidaan alentaa palauttamalla sitä osakkaille tai siirtämällä osakepääomaa SVOP-rahastoon.</t>
        </r>
      </text>
    </comment>
    <comment ref="E48" authorId="1" shapeId="0" xr:uid="{00000000-0006-0000-0100-00001C000000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F48" authorId="1" shapeId="0" xr:uid="{BB2C769B-7836-4CB9-BB97-168B5DC15883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G48" authorId="1" shapeId="0" xr:uid="{AB7A0F25-260E-4F2A-B884-1B1D14B1B1FD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C49" authorId="1" shapeId="0" xr:uid="{00000000-0006-0000-0100-00001F000000}">
      <text>
        <r>
          <rPr>
            <sz val="10"/>
            <color indexed="81"/>
            <rFont val="Tahoma"/>
            <family val="2"/>
          </rPr>
          <t xml:space="preserve">Osakepääoman lisäksi voidaan sijoittaa Sijoitetun vapaan pääoman rahastoon (SVOP) oman pääoman ehtoisesti. </t>
        </r>
      </text>
    </comment>
    <comment ref="D49" authorId="1" shapeId="0" xr:uid="{21769E1E-5E71-4D80-BB40-14862E22A3BB}">
      <text>
        <r>
          <rPr>
            <sz val="10"/>
            <color indexed="81"/>
            <rFont val="Tahoma"/>
            <family val="2"/>
          </rPr>
          <t>Vain SVOP-rahaston lisäys! Vähennys merkitään 3. T3 TASEen riville 61.</t>
        </r>
      </text>
    </comment>
    <comment ref="E49" authorId="1" shapeId="0" xr:uid="{D2A96AEC-33D1-499D-9BAE-8E65ADD04D9A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F49" authorId="1" shapeId="0" xr:uid="{00000000-0006-0000-0100-00002200000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G49" authorId="1" shapeId="0" xr:uid="{C3188EBE-BDD9-46E7-B9D6-3A897D802F7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C51" authorId="1" shapeId="0" xr:uid="{399772A3-9EAC-4DA7-9103-20E82E938377}">
      <text>
        <r>
          <rPr>
            <b/>
            <sz val="10"/>
            <color indexed="81"/>
            <rFont val="Tahoma"/>
            <family val="2"/>
          </rPr>
          <t>Pääomalainat merkitään vain tähän, ei taulukkoon 
4.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4. T7 LAINAT-taulukkoon.</t>
        </r>
      </text>
    </comment>
    <comment ref="D51" authorId="1" shapeId="0" xr:uid="{00000000-0006-0000-0100-000024000000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E51" authorId="1" shapeId="0" xr:uid="{7949653D-E3AA-454F-8F97-79FC76F1D65C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F51" authorId="1" shapeId="0" xr:uid="{5D76C880-E2FA-4276-8B73-59469245499F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G51" authorId="1" shapeId="0" xr:uid="{E5CC1F66-D4AC-4C2F-A150-BE286B8F12BE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C52" authorId="1" shapeId="0" xr:uid="{60EB9A4F-C48B-4AA7-A985-31F76DF2FAAD}">
      <text>
        <r>
          <rPr>
            <b/>
            <sz val="10"/>
            <color indexed="81"/>
            <rFont val="Tahoma"/>
            <family val="2"/>
          </rPr>
          <t xml:space="preserve">Yrityksen oma rahoitus esim. omaisuuden myynti.
Jos yrityksen omaisuutta myydään, vähennä myyntihinta alv. 0% Taseesta 
</t>
        </r>
        <r>
          <rPr>
            <sz val="10"/>
            <color indexed="81"/>
            <rFont val="Tahoma"/>
            <family val="2"/>
          </rPr>
          <t>3. T3 TASE Vastaavaa/Pysyvät vastaavat riville "Vähennykset tilikaudella" omaisuuslajin kohdalle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Henri Järvinen</author>
  </authors>
  <commentList>
    <comment ref="A2" authorId="0" shapeId="0" xr:uid="{75151B2C-9F9D-42CA-9A04-82107BCDF14C}">
      <text>
        <r>
          <rPr>
            <b/>
            <sz val="10"/>
            <color indexed="81"/>
            <rFont val="Tahoma"/>
            <family val="2"/>
          </rPr>
          <t xml:space="preserve">KIRJOITA RAHASUMMAT ILMAN SENTTEJÄ KOKONAISLUKUINA keltaisiin soluihin! Huomaa etumerkki! 
</t>
        </r>
        <r>
          <rPr>
            <sz val="10"/>
            <color indexed="81"/>
            <rFont val="Tahoma"/>
            <family val="2"/>
          </rPr>
          <t>Voit sijoittaa yksi tai kaksi toteutunutta tilikautta ohjelmaan. Sijoita viimeinen toteutunut tilikausi tai meneillään olevan tilikauden ennuste sarakkeeseen G.</t>
        </r>
      </text>
    </comment>
    <comment ref="I10" authorId="1" shapeId="0" xr:uid="{75D31834-4CA5-4A62-9A3B-4FCEE8A0F68B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1" authorId="1" shapeId="0" xr:uid="{CB2EF9EA-25F8-406C-9CB7-FEE302320E1E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1" authorId="2" shapeId="0" xr:uid="{00000000-0006-0000-0200-000001000000}">
      <text>
        <r>
          <rPr>
            <b/>
            <sz val="9"/>
            <color indexed="81"/>
            <rFont val="Tahoma"/>
            <family val="2"/>
          </rPr>
          <t>Ennustevuosien liikevaihdot ennustetaan taulukossa
6. E2 LIIKEVAIHTO ja täyttöjärjestyksen kohdassa 5.</t>
        </r>
      </text>
    </comment>
    <comment ref="C12" authorId="1" shapeId="0" xr:uid="{00000000-0006-0000-0200-000002000000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rojaltit jne. </t>
        </r>
      </text>
    </comment>
    <comment ref="E12" authorId="1" shapeId="0" xr:uid="{837E761D-8A1E-48B1-B127-231FD65100BF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2" authorId="1" shapeId="0" xr:uid="{00000000-0006-0000-0200-000003000000}">
      <text>
        <r>
          <rPr>
            <sz val="10"/>
            <color indexed="81"/>
            <rFont val="Tahoma"/>
            <family val="2"/>
          </rPr>
          <t>Muut tuotot voidaan kirjoittaa suoraan soluun tai lisää viereisen Muistiinpanoja-alueen taulukkoon %-kasvu!</t>
        </r>
      </text>
    </comment>
    <comment ref="E13" authorId="1" shapeId="0" xr:uid="{416F0108-61A0-48FD-A1F8-8B543B8F9DC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E15" authorId="1" shapeId="0" xr:uid="{EB07C40C-8DBC-4460-A301-A396EAB8C43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5" authorId="1" shapeId="0" xr:uid="{5D695AA5-46BB-47FA-82CA-8EEB044F8B6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5" authorId="1" shapeId="0" xr:uid="{C9C14D3F-3EB4-4CDC-B646-998CF72275AB}">
      <text>
        <r>
          <rPr>
            <sz val="10"/>
            <color indexed="81"/>
            <rFont val="Tahoma"/>
            <family val="2"/>
          </rPr>
          <t>Tuote/palvelukohtaiset raaka-aine ja tarvikeostot sijoitetaan taulukoon E2 LIIKEVAIHTO
-&gt; Ainekäytön/hankintojen prosenttiosuus myynnistä</t>
        </r>
      </text>
    </comment>
    <comment ref="C16" authorId="1" shapeId="0" xr:uid="{C12F2B10-191B-4E4A-A3C1-CE1F82FAEAD1}">
      <text>
        <r>
          <rPr>
            <sz val="10"/>
            <color indexed="81"/>
            <rFont val="Tahoma"/>
            <family val="2"/>
          </rPr>
          <t>Liikevaihtoon liittyvät esim. alihankinnat, tuotannon vuokratyövoima.</t>
        </r>
      </text>
    </comment>
    <comment ref="E16" authorId="1" shapeId="0" xr:uid="{844E3601-020F-4DF1-A1C1-16CC229DA71C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6" authorId="1" shapeId="0" xr:uid="{57C83A57-4D1F-4445-9937-25CA57A07803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J16" authorId="1" shapeId="0" xr:uid="{0CFA6B2B-3871-48CF-BEDE-9E2D8DDAC6EB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L16" authorId="1" shapeId="0" xr:uid="{8EF74A9B-A16A-4252-8F4F-183D0BF28269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N16" authorId="1" shapeId="0" xr:uid="{0C9B5033-ADE9-43A0-84C2-3E6D51E51388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P16" authorId="1" shapeId="0" xr:uid="{450DA42C-25AB-4D8E-8368-61737E6B33D1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E17" authorId="1" shapeId="0" xr:uid="{27F04433-7CB2-4158-8004-D2DFF45F3C5D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7" authorId="1" shapeId="0" xr:uid="{F4F1EFEB-B609-49DB-BAD7-26DAA36D7045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7" authorId="1" shapeId="0" xr:uid="{00000000-0006-0000-0200-00000E000000}">
      <text>
        <r>
          <rPr>
            <sz val="10"/>
            <color indexed="81"/>
            <rFont val="Tahoma"/>
            <family val="2"/>
          </rPr>
          <t>Sisältää myös lomapalkan sivukuluineen! Mikäli lomapalkkoja ei makseta, voit poistaa ne kohdassa 2. T3 TASE -&gt; 5. Siirtovelat -&gt; Lomapalkkavelat.
Kirjanpidossa henkilöstökuluihin on lisättävä työntekijän ansaitsemat laskennalliset lomarahat, jonka vuoksi solun luku on suurempi kuin henkilöstökulut 5. E1 KUSTANNUKSET-taulukossa.</t>
        </r>
      </text>
    </comment>
    <comment ref="E18" authorId="1" shapeId="0" xr:uid="{CC220CB2-4B46-47A5-924B-C517F8EA24E4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8" authorId="1" shapeId="0" xr:uid="{9D912D4F-667E-40CE-85AC-82B5C14E0677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9" authorId="0" shapeId="0" xr:uid="{C9E79BB0-F68E-4D31-9D7E-360C518228A6}">
      <text>
        <r>
          <rPr>
            <sz val="10"/>
            <color indexed="81"/>
            <rFont val="Tahoma"/>
            <family val="2"/>
          </rPr>
          <t>Varaston muutos eli vaihto-omaisuuden muutos edelliseen tilikauteen (T3 Tase, rivi 39).</t>
        </r>
      </text>
    </comment>
    <comment ref="E21" authorId="1" shapeId="0" xr:uid="{00000000-0006-0000-0200-000014000000}">
      <text>
        <r>
          <rPr>
            <sz val="10"/>
            <color indexed="81"/>
            <rFont val="Tahoma"/>
            <family val="2"/>
          </rPr>
          <t xml:space="preserve">Kirjoita etumerkki miinukseksi kokonaislukuina ilman senttejä!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G21" authorId="1" shapeId="0" xr:uid="{5D86D8C5-BF41-4260-86CF-F0F481ACEA3F}">
      <text>
        <r>
          <rPr>
            <sz val="10"/>
            <color indexed="81"/>
            <rFont val="Tahoma"/>
            <family val="2"/>
          </rPr>
          <t xml:space="preserve">Kirjoita etumerkki miinukseksi!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E25" authorId="1" shapeId="0" xr:uid="{6F4C6428-87B1-4091-BF8D-D8309E8B630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25" authorId="1" shapeId="0" xr:uid="{CCDA6E1E-020F-40A1-956F-F5506A595955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I27" authorId="1" shapeId="0" xr:uid="{00000000-0006-0000-0200-000018000000}">
      <text>
        <r>
          <rPr>
            <sz val="10"/>
            <color indexed="81"/>
            <rFont val="Tahoma"/>
            <family val="2"/>
          </rPr>
          <t>Kaava laskee verot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alla olevan veroprosentin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ota huomioon luovutusvoiton vero ja hankintameno-olettama.</t>
        </r>
      </text>
    </comment>
    <comment ref="I28" authorId="1" shapeId="0" xr:uid="{00000000-0006-0000-0200-000019000000}">
      <text>
        <r>
          <rPr>
            <sz val="10"/>
            <color indexed="81"/>
            <rFont val="Tahoma"/>
            <family val="2"/>
          </rPr>
          <t>Osakeyhtiön ja osuuskunnan tulovero on 20 %. Jos nollataan, on kohta 20 TILIKAUDEN VOITTO/TAPPIO verotettavan tulon määrä.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2" authorId="0" shapeId="0" xr:uid="{CA6E38D8-BFB5-45D1-A853-DF5891828723}">
      <text>
        <r>
          <rPr>
            <b/>
            <sz val="10"/>
            <color indexed="81"/>
            <rFont val="Tahoma"/>
            <family val="2"/>
          </rPr>
          <t>1. KIRJOITA RAHASUMMAT ILMAN SENTTEJÄ KOKONAISLUKUINA!</t>
        </r>
        <r>
          <rPr>
            <sz val="10"/>
            <color indexed="81"/>
            <rFont val="Tahoma"/>
            <family val="2"/>
          </rPr>
          <t xml:space="preserve">
2. Täytä ensimmäisellä kerralla (vaihe 3 ) vain toteutuneet tilikaudet.
3. Tarkista erityisesti solujen H86, H89 ja H95 prosenttiluvut!
4. Lisää lyhytaikaiset rahalaitoslainat soluihin H78 - K78.
5. </t>
        </r>
        <r>
          <rPr>
            <b/>
            <sz val="10"/>
            <color indexed="81"/>
            <rFont val="Tahoma"/>
            <family val="2"/>
          </rPr>
          <t xml:space="preserve">Tärkeää! </t>
        </r>
        <r>
          <rPr>
            <sz val="10"/>
            <color indexed="81"/>
            <rFont val="Tahoma"/>
            <family val="2"/>
          </rPr>
          <t>Lisää toteutuneiden kausien tilinpäätöksistä "Taseen liitetiedot" 
   luvut kohtaan "G.4 Muut lyhytaikaiset velat"</t>
        </r>
      </text>
    </comment>
    <comment ref="F12" authorId="1" shapeId="0" xr:uid="{0FD55740-37BE-4422-8F6E-B58AD41DEFE3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12" authorId="1" shapeId="0" xr:uid="{FF80C1C6-9BF9-4E33-8027-D1DF49E72E64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H13" authorId="1" shapeId="0" xr:uid="{00000000-0006-0000-0300-000001000000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M13" authorId="1" shapeId="0" xr:uid="{00000000-0006-0000-0300-000002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14" authorId="1" shapeId="0" xr:uid="{00409523-3F19-4E03-8154-981183CE84A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E15" authorId="1" shapeId="0" xr:uid="{00000000-0006-0000-0300-000007000000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15" authorId="1" shapeId="0" xr:uid="{2981C1F1-BCE0-4878-857D-21AF97DEBE8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15" authorId="1" shapeId="0" xr:uid="{00000000-0006-0000-0300-000009000000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18" authorId="1" shapeId="0" xr:uid="{00000000-0006-0000-0300-00000A000000}">
      <text>
        <r>
          <rPr>
            <sz val="10"/>
            <color indexed="81"/>
            <rFont val="Tahoma"/>
            <family val="2"/>
          </rPr>
          <t>1. T1 INVESTOINTISUUNNITELMA-taulukon kohdasta 1. Maa-alueet. Summasta vähennetty avustus.</t>
        </r>
      </text>
    </comment>
    <comment ref="H19" authorId="1" shapeId="0" xr:uid="{53AE407C-4A9E-4BF6-8217-A8EC735C9143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H21" authorId="1" shapeId="0" xr:uid="{00000000-0006-0000-0300-00000F000000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M21" authorId="1" shapeId="0" xr:uid="{00000000-0006-0000-0300-000010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2" authorId="1" shapeId="0" xr:uid="{7FBBE0BC-B49E-41F2-B3DA-151396FF1466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E23" authorId="1" shapeId="0" xr:uid="{00000000-0006-0000-0300-000015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23" authorId="1" shapeId="0" xr:uid="{39EF7283-25D7-4CBC-9736-CFAAAA4D2919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3" authorId="1" shapeId="0" xr:uid="{60200956-1AFA-405A-BBAB-E89B4E741D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5" authorId="1" shapeId="0" xr:uid="{00000000-0006-0000-0300-000018000000}">
      <text>
        <r>
          <rPr>
            <sz val="10"/>
            <color indexed="81"/>
            <rFont val="Tahoma"/>
            <family val="2"/>
          </rPr>
          <t>1. T1 INVESTOINTISUUNNITELMA-taulukon kohdasta 4. ja 5. Koneet ja kalusto. Summasta vähennetty leasingrahoitus, avustukset ja alv-palautus.</t>
        </r>
      </text>
    </comment>
    <comment ref="M25" authorId="1" shapeId="0" xr:uid="{00000000-0006-0000-0300-00001C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6" authorId="1" shapeId="0" xr:uid="{97064766-B2DF-4DC4-BE29-7E39C43F1FEF}">
      <text>
        <r>
          <rPr>
            <b/>
            <sz val="10"/>
            <color indexed="81"/>
            <rFont val="Tahoma"/>
            <family val="2"/>
          </rPr>
          <t>Omaisuuden myynti sis. alv</t>
        </r>
        <r>
          <rPr>
            <sz val="10"/>
            <color indexed="81"/>
            <rFont val="Tahoma"/>
            <family val="2"/>
          </rPr>
          <t xml:space="preserve">
Myyntisumma lisätään 9. T5 KASSABUDJETTIin kohtaan 4. Satunnaiset tuotot, omaisuuden myyntitulot. Ei vaihtokaupan hyvitystä! 
</t>
        </r>
        <r>
          <rPr>
            <b/>
            <sz val="10"/>
            <color indexed="81"/>
            <rFont val="Tahoma"/>
            <family val="2"/>
          </rPr>
          <t xml:space="preserve">Arvonlisäverottoman omaisuuden myynti
</t>
        </r>
        <r>
          <rPr>
            <sz val="10"/>
            <color indexed="81"/>
            <rFont val="Tahoma"/>
            <family val="2"/>
          </rPr>
          <t xml:space="preserve">Myyntisumma lisätään 9. T5 KASSABUDJETTIin kohtaan 5. Liiketoiminnan muut tuotot, yritystuet, (alv 0 % tulot) </t>
        </r>
      </text>
    </comment>
    <comment ref="E27" authorId="1" shapeId="0" xr:uid="{00000000-0006-0000-0300-000021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 (50 % eli kaksinkertaiset poistot
  uusiin kone- ja laiteinvestointeihin vuosina 2024–2025). 
  Koskee vain uutta kalustoa, joten laske keskimääräinen 
  poistoprosentti.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 xml:space="preserve">on mahdollista, kun kirjoitat vuosipoistoprosentin nollaksi ja kirjoitat tasapoiston suoraan soluun oikealla.
</t>
        </r>
      </text>
    </comment>
    <comment ref="H27" authorId="1" shapeId="0" xr:uid="{BF74860F-841C-407F-89A3-E7EE3072A958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7" authorId="1" shapeId="0" xr:uid="{F5CFD511-74B8-4A87-A31A-74F410057C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F28" authorId="1" shapeId="0" xr:uid="{00000000-0006-0000-0300-000024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8" authorId="1" shapeId="0" xr:uid="{4F7F22CD-5A66-4612-A4F8-4BC54D806A08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9" authorId="1" shapeId="0" xr:uid="{00000000-0006-0000-0300-000026000000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M29" authorId="1" shapeId="0" xr:uid="{00000000-0006-0000-0300-000027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30" authorId="1" shapeId="0" xr:uid="{F008CAF0-662E-4425-B263-29C121BFB8A9}">
      <text>
        <r>
          <rPr>
            <b/>
            <sz val="10"/>
            <color indexed="81"/>
            <rFont val="Tahoma"/>
            <family val="2"/>
          </rPr>
          <t>Omaisuuden myynti sis. alv</t>
        </r>
        <r>
          <rPr>
            <sz val="10"/>
            <color indexed="81"/>
            <rFont val="Tahoma"/>
            <family val="2"/>
          </rPr>
          <t xml:space="preserve">
Myyntisumma lisätään 9. T5 KASSABUDJETTIin kohtaan 4. Satunnaiset tuotot, omaisuuden myyntitulot. Ei vaihtokaupan hyvitystä! 
</t>
        </r>
        <r>
          <rPr>
            <b/>
            <sz val="10"/>
            <color indexed="81"/>
            <rFont val="Tahoma"/>
            <family val="2"/>
          </rPr>
          <t xml:space="preserve">Arvonlisäverottoman omaisuuden myynti
</t>
        </r>
        <r>
          <rPr>
            <sz val="10"/>
            <color indexed="81"/>
            <rFont val="Tahoma"/>
            <family val="2"/>
          </rPr>
          <t xml:space="preserve">Myyntisumma lisätään 9. T5 KASSABUDJETTIin kohtaan 5. Liiketoiminnan muut tuotot, yritystuet, (alv 0 % tulot) </t>
        </r>
      </text>
    </comment>
    <comment ref="E31" authorId="1" shapeId="0" xr:uid="{00000000-0006-0000-0300-00002C000000}">
      <text>
        <r>
          <rPr>
            <sz val="10"/>
            <color indexed="81"/>
            <rFont val="Tahoma"/>
            <family val="2"/>
          </rPr>
          <t>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Tasapoiston käyttö on mahdollista, kun kirjoitat vuosipoistoprosentin nollaksi ja kirjoitat tasapoiston suoraan soluun oikealla.</t>
        </r>
      </text>
    </comment>
    <comment ref="H31" authorId="1" shapeId="0" xr:uid="{A225D948-55C9-49E7-90B6-57207B35B817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31" authorId="1" shapeId="0" xr:uid="{77037BBF-D0B9-4C71-84DD-C5C38195C745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33" authorId="1" shapeId="0" xr:uid="{00000000-0006-0000-0300-00002F000000}">
      <text>
        <r>
          <rPr>
            <sz val="10"/>
            <color indexed="81"/>
            <rFont val="Tahoma"/>
            <family val="2"/>
          </rPr>
          <t>Luku siirtynyt 1. T1 INVESTOINTISUUNNITELMAn kohdasta 8. Sijoitukset. Voidaan muuttaa.</t>
        </r>
      </text>
    </comment>
    <comment ref="F37" authorId="1" shapeId="0" xr:uid="{E7D47286-C58A-49A3-AE88-D6F909DB1F6C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37" authorId="1" shapeId="0" xr:uid="{41A23FD1-8650-4FAC-A880-6DB0F5BCC76E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C38" authorId="1" shapeId="0" xr:uid="{2DCBA766-B1A5-4713-BCD8-89833A20509C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F38" authorId="1" shapeId="0" xr:uid="{00000000-0006-0000-0300-000034000000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G38" authorId="1" shapeId="0" xr:uid="{0C875F9F-6FFB-455B-9235-C13C82429AB3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H38" authorId="1" shapeId="0" xr:uid="{536D33A6-2610-417D-8853-3F4E7538FB12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C41" authorId="1" shapeId="0" xr:uid="{00000000-0006-0000-0300-00003A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41" authorId="1" shapeId="0" xr:uid="{00000000-0006-0000-0300-00003B000000}">
      <text>
        <r>
          <rPr>
            <sz val="10"/>
            <color indexed="81"/>
            <rFont val="Tahoma"/>
            <family val="2"/>
          </rPr>
          <t>Luku siirtyy 8. T4 RAHOITUSSUUNNITELMA-taulukosta soluista H52 - K52.</t>
        </r>
      </text>
    </comment>
    <comment ref="H43" authorId="1" shapeId="0" xr:uid="{00000000-0006-0000-0300-00003F000000}">
      <text>
        <r>
          <rPr>
            <sz val="10"/>
            <color indexed="81"/>
            <rFont val="Tahoma"/>
            <family val="2"/>
          </rPr>
          <t>Luku siirtyy 8. T4 RAHOITUSSUUNNITELMA-taulukosta soluista H55 - K55.</t>
        </r>
      </text>
    </comment>
    <comment ref="F44" authorId="1" shapeId="0" xr:uid="{00000000-0006-0000-0300-000043000000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avustus kuin investointiavustus </t>
        </r>
      </text>
    </comment>
    <comment ref="G44" authorId="1" shapeId="0" xr:uid="{BA681B3E-5379-4208-88B9-57353077DE82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avustus kuin investointiavustus </t>
        </r>
      </text>
    </comment>
    <comment ref="F45" authorId="1" shapeId="0" xr:uid="{00000000-0006-0000-0300-000045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G45" authorId="1" shapeId="0" xr:uid="{00000000-0006-0000-0300-000046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H47" authorId="1" shapeId="0" xr:uid="{00000000-0006-0000-0300-00004700000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I47" authorId="1" shapeId="0" xr:uid="{113234DB-27CC-45B8-9C84-D77C694D5357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J47" authorId="1" shapeId="0" xr:uid="{4F94BE8E-245E-455A-AC2E-49305AFE8544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K47" authorId="1" shapeId="0" xr:uid="{348628CB-C96C-4180-A055-DD682901C7A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F55" authorId="1" shapeId="0" xr:uid="{D6D0E1CA-FB51-44C2-8325-AEE02F48BC03}">
      <text>
        <r>
          <rPr>
            <sz val="10"/>
            <color indexed="81"/>
            <rFont val="Tahoma"/>
            <family val="2"/>
          </rPr>
          <t>Kirjoita taulukon luvut kokonaislukuna ilman senttejä! 
Toiminimi-, avoin- ja kommandiittiyhtiössä luku voi sisältää yksityisotot, ja luku voi olla negatiivinen.</t>
        </r>
      </text>
    </comment>
    <comment ref="G55" authorId="1" shapeId="0" xr:uid="{1A20528F-9A4D-492C-9473-89C04E134830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H55" authorId="1" shapeId="0" xr:uid="{0CC86F6B-6472-4D54-A4C1-BF3035DCC379}">
      <text>
        <r>
          <rPr>
            <sz val="10"/>
            <color indexed="81"/>
            <rFont val="Tahoma"/>
            <family val="2"/>
          </rPr>
          <t>Lukuun sisältyy myös pääomalainan akordi.</t>
        </r>
      </text>
    </comment>
    <comment ref="F57" authorId="1" shapeId="0" xr:uid="{98EF3938-A323-450C-8374-90917B4398B0}">
      <text>
        <r>
          <rPr>
            <sz val="10"/>
            <color indexed="81"/>
            <rFont val="Tahoma"/>
            <family val="2"/>
          </rPr>
          <t>Jos yksityisottoja ei ole vähennetty valmiiksi kohdasta C. 1 tai C. 2, voidaan ne vähentää tilikauden "C. 2 Edellisten tilikausien voitot"-luvusta.</t>
        </r>
      </text>
    </comment>
    <comment ref="G57" authorId="1" shapeId="0" xr:uid="{15ACA460-BA14-4EF7-BFAA-FB3DB7940043}">
      <text>
        <r>
          <rPr>
            <sz val="10"/>
            <color indexed="81"/>
            <rFont val="Tahoma"/>
            <family val="2"/>
          </rPr>
          <t>Jos yksityisottoja ei ole vähennetty, kohdasta C. 1 tai C. 2, voidaan ne vähentää tilikauden "C. 2 Edellisten tilikausien voitot"-luvusta.</t>
        </r>
      </text>
    </comment>
    <comment ref="H57" authorId="1" shapeId="0" xr:uid="{D20370AA-B840-4639-B9F6-BA30C6F027A5}">
      <text>
        <r>
          <rPr>
            <sz val="10"/>
            <color indexed="81"/>
            <rFont val="Tahoma"/>
            <family val="2"/>
          </rPr>
          <t xml:space="preserve">Luku siirtyy 8.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F59" authorId="1" shapeId="0" xr:uid="{436436EA-53EA-4B56-AB08-7E6CBE62ADDC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G59" authorId="1" shapeId="0" xr:uid="{00000000-0006-0000-0300-000054000000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H59" authorId="1" shapeId="0" xr:uid="{ABD9E467-B74B-4D60-977F-D83919F49BD1}">
      <text>
        <r>
          <rPr>
            <sz val="10"/>
            <color indexed="81"/>
            <rFont val="Tahoma"/>
            <family val="2"/>
          </rPr>
          <t xml:space="preserve">Sidotun vapaan pääoman rahaston (SVOP) lisäys siirtyy tähän 1. T1 INVESTOINTISUUNN.-taulukon kohdasta 
12.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H61" authorId="1" shapeId="0" xr:uid="{5300171B-E7BA-4A4D-871F-E80EE37ABECF}">
      <text>
        <r>
          <rPr>
            <sz val="10"/>
            <color indexed="81"/>
            <rFont val="Tahoma"/>
            <family val="2"/>
          </rPr>
          <t>Korjaa poistoeron määrän 
2. T2 TULOSSUUNNITELMAn kohdan 18. mukaan.</t>
        </r>
      </text>
    </comment>
    <comment ref="F62" authorId="1" shapeId="0" xr:uid="{EA93FFCC-EBC5-440F-9FE2-611B2DFFE55C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G62" authorId="1" shapeId="0" xr:uid="{824FCA8F-C8BA-4D00-B006-33E86726CC48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F64" authorId="1" shapeId="0" xr:uid="{00000000-0006-0000-0300-00005B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4" authorId="1" shapeId="0" xr:uid="{00000000-0006-0000-0300-00005C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Tuleva todennäköinen menetys, esim. luottotappio, joka ei vielä varmistunut.
</t>
        </r>
      </text>
    </comment>
    <comment ref="F65" authorId="1" shapeId="0" xr:uid="{00000000-0006-0000-0300-00005D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G65" authorId="1" shapeId="0" xr:uid="{D3974C2F-19D9-4291-BF7C-D4BF6C5F01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F66" authorId="1" shapeId="0" xr:uid="{FC563078-E4EB-4CF8-8F36-BB639CD371EB}">
      <text>
        <r>
          <rPr>
            <sz val="10"/>
            <color indexed="81"/>
            <rFont val="Tahoma"/>
            <family val="2"/>
          </rPr>
          <t>Sisältää myös eläkelainat ja muut saadut velkakirjalainat.
(Varmista, että luku on ilman seuraavan vuoden lyhennystä.)</t>
        </r>
      </text>
    </comment>
    <comment ref="G66" authorId="1" shapeId="0" xr:uid="{BED088A6-F3BB-430D-A02B-8DEBACBC3479}">
      <text>
        <r>
          <rPr>
            <sz val="10"/>
            <color indexed="81"/>
            <rFont val="Tahoma"/>
            <family val="2"/>
          </rPr>
          <t>Sisältää myös eläkelainat ja muut saadut velkakirjalainat.
(Varmista, että luku on ilman seuraavan vuoden lyhennystä.)</t>
        </r>
      </text>
    </comment>
    <comment ref="H67" authorId="0" shapeId="0" xr:uid="{895B5C5C-28C0-4BF9-B0F2-A97DD7B45050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
Lisää korkoprosentti taulukkoon 4. T7 LAINAT, rivi 47 "Pääomalainojen korot".</t>
        </r>
      </text>
    </comment>
    <comment ref="I67" authorId="0" shapeId="0" xr:uid="{C2039FDE-48BD-4255-B49F-9F6D55B3ABD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J67" authorId="0" shapeId="0" xr:uid="{7080C849-5F2A-41C5-BE56-2A6CB09C1C3F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K67" authorId="0" shapeId="0" xr:uid="{09A89F00-FBC2-4B10-B8BA-1BB1649D0AC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H68" authorId="1" shapeId="0" xr:uid="{00000000-0006-0000-0300-000065000000}">
      <text>
        <r>
          <rPr>
            <sz val="10"/>
            <color indexed="81"/>
            <rFont val="Tahoma"/>
            <family val="2"/>
          </rPr>
          <t>Tarkoitetaan pääomalainan konvertointia/muuttamista  osakepääomaksi (akordi).</t>
        </r>
      </text>
    </comment>
    <comment ref="F70" authorId="1" shapeId="0" xr:uid="{00000000-0006-0000-0300-000069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0" authorId="1" shapeId="0" xr:uid="{00000000-0006-0000-0300-00006A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F71" authorId="1" shapeId="0" xr:uid="{00000000-0006-0000-0300-00006B000000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1" authorId="1" shapeId="0" xr:uid="{00000000-0006-0000-0300-00006C000000}">
      <text>
        <r>
          <rPr>
            <sz val="10"/>
            <color indexed="81"/>
            <rFont val="Tahoma"/>
            <family val="2"/>
          </rPr>
          <t>Nykyinen pitkäaikainen (päättyy yli vuoden päästä) osamaksuvelka ilman seuraavan vuoden lyhennystä.</t>
        </r>
      </text>
    </comment>
    <comment ref="F72" authorId="1" shapeId="0" xr:uid="{46B9F8CB-1296-4F4C-AB08-56DB4F60FA6D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G72" authorId="1" shapeId="0" xr:uid="{099D5E12-AE5E-4DF9-B18F-2AC681059D3F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H72" authorId="1" shapeId="0" xr:uid="{3E663865-D600-4FF2-8881-C8D53D058874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tilikauden lopussa merkitään tähän. Lisää korkoprosentti taulukkoon 4. T7 LAINAT, rivi 48 . Velkakirjalainat merkitään taulukkoon 4. T7 LAINAT kohtaan "Uudet pitkäaikaiset lainat". </t>
        </r>
      </text>
    </comment>
    <comment ref="I72" authorId="1" shapeId="0" xr:uid="{82C8CBBD-FCFA-48C4-97B2-AFD7111B372D}">
      <text>
        <r>
          <rPr>
            <sz val="10"/>
            <color indexed="81"/>
            <rFont val="Tahoma"/>
            <family val="2"/>
          </rPr>
          <t>Lainaa lyhennetään pienentämällä saldoa.</t>
        </r>
      </text>
    </comment>
    <comment ref="F73" authorId="1" shapeId="0" xr:uid="{00000000-0006-0000-0300-000073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G73" authorId="1" shapeId="0" xr:uid="{00000000-0006-0000-0300-000074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F75" authorId="1" shapeId="0" xr:uid="{B782669E-057C-44FB-84EC-7B78F504C378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G75" authorId="1" shapeId="0" xr:uid="{00000000-0006-0000-0300-000076000000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H75" authorId="1" shapeId="0" xr:uid="{FE0C652C-51E3-4F36-BFD9-A3A86B7C47D9}">
      <text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F76" authorId="1" shapeId="0" xr:uid="{6FB7A8A1-D219-4566-816C-C475D5C66EB9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G76" authorId="1" shapeId="0" xr:uid="{0B8C4660-2AE6-468A-A9D7-EEFC3310DC15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6" authorId="1" shapeId="0" xr:uid="{B43E217D-F601-47AD-91D6-C08F98F66A67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7" authorId="1" shapeId="0" xr:uid="{BC49FD22-6348-4718-978F-A9E7ECCF097C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Pääoman muutokset siirtyvät
8. T4 RAHOITUSSUUNNITELMAan. Lisää korkoprosentti 
4. T7 LAINAT riville 47.</t>
        </r>
      </text>
    </comment>
    <comment ref="C80" authorId="1" shapeId="0" xr:uid="{00000000-0006-0000-0300-000084000000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F80" authorId="1" shapeId="0" xr:uid="{1D28703A-5319-4CA6-8AD9-A409E243EA26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G80" authorId="1" shapeId="0" xr:uid="{89A9BDE0-9760-4407-AB6B-D982CFF304CA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H80" authorId="1" shapeId="0" xr:uid="{00000000-0006-0000-0300-000087000000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F81" authorId="1" shapeId="0" xr:uid="{E322A128-B678-48C0-8693-5E90BC048A5D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G81" authorId="1" shapeId="0" xr:uid="{F898550C-9BFD-4285-97EE-EA92BEF7235E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F83" authorId="1" shapeId="0" xr:uid="{419C68AE-71FF-4721-B908-65E26C349641}">
      <text>
        <r>
          <rPr>
            <sz val="10"/>
            <color indexed="81"/>
            <rFont val="Tahoma"/>
            <family val="2"/>
          </rPr>
          <t xml:space="preserve">Jos on maksettu palkkoja tilinpäätöskuukautena, on palkkojen sivukulut maksamatta, jolloin syntyy ennakonpidätys- ja sosiaaliturvamaksuvelka.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3" authorId="1" shapeId="0" xr:uid="{C27ED229-31FF-4086-8E3D-09FF7DFF62F5}">
      <text>
        <r>
          <rPr>
            <sz val="10"/>
            <color indexed="81"/>
            <rFont val="Tahoma"/>
            <family val="2"/>
          </rPr>
          <t xml:space="preserve">Jos on maksettu palkkoja tilinpäätöskuukautena, on palkkojen sivukulut maksamatta, jolloin syntyy ennakonpidätys- ja sosiaaliturvamaksuvelka.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H83" authorId="1" shapeId="0" xr:uid="{C576EB39-2817-42E7-B138-27FE729052AE}">
      <text>
        <r>
          <rPr>
            <sz val="10"/>
            <color indexed="81"/>
            <rFont val="Tahoma"/>
            <family val="2"/>
          </rPr>
          <t>Luku sisältää vain ennakonpidätysvelan tilikauden lopussa.</t>
        </r>
      </text>
    </comment>
    <comment ref="H84" authorId="1" shapeId="0" xr:uid="{00000000-0006-0000-0300-00008D00000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F85" authorId="1" shapeId="0" xr:uid="{E82A45E8-E4EF-4439-8C32-E23CA9AFA9E0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5" authorId="1" shapeId="0" xr:uid="{DC7743CF-A7F2-405C-A4A0-B95D76E0C486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86" authorId="1" shapeId="0" xr:uid="{D7F3DA00-7BED-426F-91A0-4B983BC8CB94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G86" authorId="1" shapeId="0" xr:uid="{4D29A146-5512-4442-83D9-26AB95A81297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H86" authorId="1" shapeId="0" xr:uid="{9511F49E-3553-4F97-96BF-94D80C173ADF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arvonlisäverottomilla yrityksillä esim.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F87" authorId="1" shapeId="0" xr:uid="{00000000-0006-0000-0300-00008F000000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alv-velkaa. </t>
        </r>
      </text>
    </comment>
    <comment ref="G87" authorId="1" shapeId="0" xr:uid="{EAD38B45-DC5A-4AD1-BCE9-65728A59114F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alv-velkaa. </t>
        </r>
      </text>
    </comment>
    <comment ref="F88" authorId="1" shapeId="0" xr:uid="{7E77E037-BCBC-402D-8E5D-4C41CE3C0C4A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>Lukuun voi sisältyä myös luvut 
- ennakonpidätysvelka (tai ennakonpidätys- ja
  sotumaksuvelka verotilillä/OmaVerossa)
- sosiaaliturvamaksuvelka
- arvonlisäverovelka
- lomapalkkavelat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8" authorId="1" shapeId="0" xr:uid="{026F77DE-69EB-4F4E-8127-4BBE3B05A783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 xml:space="preserve">Lukuun voi sisältyä myös luvut 
</t>
        </r>
        <r>
          <rPr>
            <sz val="10"/>
            <color indexed="81"/>
            <rFont val="Tahoma"/>
            <family val="2"/>
          </rPr>
          <t>- ennakonpidätysvelka (tai ennakonpidätys- ja
  sotumaksuvelka verotilillä/OmaVerossa)
- sosiaaliturvamaksuvelka
- arvonlisäverovelka
- lomapalkkavelat</t>
        </r>
        <r>
          <rPr>
            <b/>
            <sz val="10"/>
            <color indexed="81"/>
            <rFont val="Tahoma"/>
            <family val="2"/>
          </rPr>
          <t xml:space="preserve">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90" authorId="1" shapeId="0" xr:uid="{4169BC08-DCC2-465C-B51F-7266B7F3A82A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 sotumaksuvelka verotilillä/OmaVerossa)
- sosiaaliturvamaksuvelka
- arvonlisäverovelka
- lomapalkkavelat
Erittele yläpuolella. Tiedot esitetään Taseen liitetiedoissa. </t>
        </r>
      </text>
    </comment>
    <comment ref="G90" authorId="1" shapeId="0" xr:uid="{088404A8-3FBE-4DF3-A181-72288F5F52FC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H90" authorId="1" shapeId="0" xr:uid="{CB09DB64-272E-4C66-A238-C42574606486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F91" authorId="1" shapeId="0" xr:uid="{7A8AE409-75D2-48C9-8597-2830886848F4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G91" authorId="1" shapeId="0" xr:uid="{EBC55736-B117-487B-8D7E-804FFC347BF8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H91" authorId="1" shapeId="0" xr:uid="{570207FC-A8D3-4E17-A77D-D8B3EFA5D24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I91" authorId="1" shapeId="0" xr:uid="{9C6AD58C-EE92-443C-B6FA-A252AA87DFA4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J91" authorId="1" shapeId="0" xr:uid="{D2520E2D-F04C-44CF-B7D4-156A8BF20D1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K91" authorId="1" shapeId="0" xr:uid="{69FA6FFF-95B6-457F-9358-8915981D5342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H93" authorId="1" shapeId="0" xr:uid="{00000000-0006-0000-0300-000099000000}">
      <text>
        <r>
          <rPr>
            <sz val="10"/>
            <color indexed="81"/>
            <rFont val="Tahoma"/>
            <family val="2"/>
          </rPr>
          <t xml:space="preserve">YEL-palkoista syntyvistä lomapalkoista ei makseta eläkemaksua, mutta muita sosiaalimaksuja noin 3 %.
2026
Yritys maksaa keskimäärin: 
- TyEL-maksua 17,1 % palkoista 
- Tapaturma- ja ammattitautivakuutus keskimäärin 0,51 % (vaihtelee 0,1 - 7 % tapaturma-alttiilla aloilla suurempi)
- Sairausvakuutusmaksu 1,91 % 
- Työttömyysvakuutusta työnantajan osuus 0,31 %
- Ryhmähenkivakuutusta 0,06 %
YHTEENSÄ: 19,79 %
</t>
        </r>
        <r>
          <rPr>
            <b/>
            <sz val="10"/>
            <color indexed="81"/>
            <rFont val="Tahoma"/>
            <family val="2"/>
          </rPr>
          <t>Jos molempia palkkoja, arvioi painotettu keskiarvo.</t>
        </r>
      </text>
    </comment>
    <comment ref="F94" authorId="1" shapeId="0" xr:uid="{58DFB113-BC87-4F18-A214-1DF7F8779FD2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  <comment ref="G94" authorId="1" shapeId="0" xr:uid="{DA0563EE-C6CA-4D7D-843D-040D93A7E531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BB2A8F0C-C6C2-415D-A086-7081831C09A2}">
      <text>
        <r>
          <rPr>
            <sz val="10"/>
            <color indexed="81"/>
            <rFont val="Tahoma"/>
            <family val="2"/>
          </rPr>
          <t xml:space="preserve">VAIN ALKUPERÄISEN SUUNNITELMAN MUKAISET LAINANLYHENNYKSET!
Ylimääräiset lainanlyhennykset / lyhennyserien muutokset merkitään taulukkoon 8. T4 RAHOITUSSUUNNITELMA -taulukon kohtaan 19.
- TARKISTA RIVIT 46, 47 ja 48 KORKOPROSENTIT!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B7" authorId="1" shapeId="0" xr:uid="{39D4E12F-3F93-412D-9BA2-121961ECDF26}">
      <text>
        <r>
          <rPr>
            <sz val="10"/>
            <color indexed="81"/>
            <rFont val="Tahoma"/>
            <family val="2"/>
          </rPr>
          <t>Velka tai sen osa,</t>
        </r>
        <r>
          <rPr>
            <b/>
            <sz val="10"/>
            <color indexed="81"/>
            <rFont val="Tahoma"/>
            <family val="2"/>
          </rPr>
          <t xml:space="preserve"> joka erääntyy maksettavaksi yhtä vuotta pidempänä aikana</t>
        </r>
        <r>
          <rPr>
            <sz val="10"/>
            <color indexed="81"/>
            <rFont val="Tahoma"/>
            <family val="2"/>
          </rPr>
          <t xml:space="preserve">.
Sisältää myös eläkelainat ja muut velkakirjalainat. Luku löytyy tilinpäätöksen kohdasta Tase / Vastaavaa / Pitkäaikainen vieras pääoma, kohta "Lainat rahalaitoksilta". (Varmista, että luvut eivät sisällä ennuste 1-vuoden lyhennystä.)
</t>
        </r>
        <r>
          <rPr>
            <b/>
            <sz val="10"/>
            <color indexed="81"/>
            <rFont val="Tahoma"/>
            <family val="2"/>
          </rPr>
          <t xml:space="preserve">
Pääomalaina merkitään </t>
        </r>
        <r>
          <rPr>
            <sz val="10"/>
            <color indexed="81"/>
            <rFont val="Tahoma"/>
            <family val="2"/>
          </rPr>
          <t xml:space="preserve">
1. T1 INVESTOINTISUUNNITELMA kohtaan 13.
</t>
        </r>
        <r>
          <rPr>
            <b/>
            <sz val="10"/>
            <color indexed="81"/>
            <rFont val="Tahoma"/>
            <family val="2"/>
          </rPr>
          <t xml:space="preserve">
Lyhytaikaiset lainat, alle 1vuosi
</t>
        </r>
        <r>
          <rPr>
            <sz val="10"/>
            <color indexed="81"/>
            <rFont val="Tahoma"/>
            <family val="2"/>
          </rPr>
          <t xml:space="preserve">Lyhytaikaiset lainat merkitään TASEeseen kohtaan </t>
        </r>
        <r>
          <rPr>
            <b/>
            <sz val="10"/>
            <color indexed="81"/>
            <rFont val="Tahoma"/>
            <family val="2"/>
          </rPr>
          <t>G. Lyhytaikaiset rahalaitoslainat</t>
        </r>
        <r>
          <rPr>
            <sz val="10"/>
            <color indexed="81"/>
            <rFont val="Tahoma"/>
            <family val="2"/>
          </rPr>
          <t xml:space="preserve"> ja korko tämän lainataulukon alaosaan: Lyhytaikaisten lainojen korot. </t>
        </r>
      </text>
    </comment>
    <comment ref="C7" authorId="1" shapeId="0" xr:uid="{802EC2A4-134E-4497-A4D4-217A225D273E}">
      <text>
        <r>
          <rPr>
            <sz val="10"/>
            <color indexed="81"/>
            <rFont val="Tahoma"/>
            <family val="2"/>
          </rPr>
          <t xml:space="preserve">Velka tai sen osa, joka erääntyy maksettavaksi </t>
        </r>
        <r>
          <rPr>
            <b/>
            <sz val="10"/>
            <color indexed="81"/>
            <rFont val="Tahoma"/>
            <family val="2"/>
          </rPr>
          <t>yhtä vuotta pidempänä aikana</t>
        </r>
        <r>
          <rPr>
            <sz val="10"/>
            <color indexed="81"/>
            <rFont val="Tahoma"/>
            <family val="2"/>
          </rPr>
          <t xml:space="preserve">.
Esim. 5 vuoden laina 100 000 €. Lainasta on neljä vuotta pitkäaikaista ja yksi vuosi lyhytaikaista lainaa eli merkitään tähän lainamääräksi 80 000 €. </t>
        </r>
      </text>
    </comment>
    <comment ref="B11" authorId="1" shapeId="0" xr:uid="{00000000-0006-0000-0800-000001000000}">
      <text>
        <r>
          <rPr>
            <sz val="10"/>
            <color indexed="81"/>
            <rFont val="Tahoma"/>
            <family val="2"/>
          </rPr>
          <t>Kirjoita rahoittaja/rahoitettava kohde.</t>
        </r>
      </text>
    </comment>
    <comment ref="C11" authorId="1" shapeId="0" xr:uid="{FD75F29B-6795-4434-9119-CE3E495AC6DC}">
      <text>
        <r>
          <rPr>
            <sz val="10"/>
            <color indexed="81"/>
            <rFont val="Tahoma"/>
            <family val="2"/>
          </rPr>
          <t>Luku löytyy tilinpäätöksen TASE-ERITTELYSTÄ, jossa kaikki pitkäaikaiset lainat ovat eritelty. Varmista</t>
        </r>
        <r>
          <rPr>
            <b/>
            <sz val="10"/>
            <color indexed="81"/>
            <rFont val="Tahoma"/>
            <family val="2"/>
          </rPr>
          <t>, että lukuun ei sisälly Ennuste 1-vuoden lyhennystä. 
Jos lainan takaisinmaksuaika on 1 vuosi, on laina lyhytaikainen,</t>
        </r>
        <r>
          <rPr>
            <sz val="10"/>
            <color indexed="81"/>
            <rFont val="Tahoma"/>
            <family val="2"/>
          </rPr>
          <t xml:space="preserve"> joka merkitään taulukkoon 3. T3 TASE -&gt; soluun G78.
</t>
        </r>
        <r>
          <rPr>
            <b/>
            <sz val="10"/>
            <color indexed="81"/>
            <rFont val="Tahoma"/>
            <family val="2"/>
          </rPr>
          <t>Esimerkki</t>
        </r>
        <r>
          <rPr>
            <sz val="10"/>
            <color indexed="81"/>
            <rFont val="Tahoma"/>
            <family val="2"/>
          </rPr>
          <t xml:space="preserve">
Lainaa aikaa jäljellä 5 vuotta = Pitkäaikaista lainaa 4 vuotta ja lyhytaikaista lainaa 1 vuosi.</t>
        </r>
      </text>
    </comment>
    <comment ref="D11" authorId="1" shapeId="0" xr:uid="{577CBD01-8EC1-4030-A4E7-0CCE5D8B3457}">
      <text>
        <r>
          <rPr>
            <b/>
            <sz val="10"/>
            <color indexed="81"/>
            <rFont val="Tahoma"/>
            <family val="2"/>
          </rPr>
          <t>Laina-aikaa oltava jäljellä vähintään kaksi vuotta.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Kirjoita kokonaislukuna!
</t>
        </r>
        <r>
          <rPr>
            <sz val="10"/>
            <color indexed="81"/>
            <rFont val="Tahoma"/>
            <family val="2"/>
          </rPr>
          <t>Jos lainan takaisinmaksuaika on 1 vuosi, on laina lyhytaikainen. Summa merkitään: 3. T3 TASE soluun G76 Lyhytaikaiset rahalaitoslainat.</t>
        </r>
      </text>
    </comment>
    <comment ref="E11" authorId="1" shapeId="0" xr:uid="{327BF9A7-38CA-4F1B-B34E-9657FCA64E02}">
      <text>
        <r>
          <rPr>
            <sz val="10"/>
            <color indexed="81"/>
            <rFont val="Tahoma"/>
            <family val="2"/>
          </rPr>
          <t>Lyhytaikaisen lainan korko merkitään taulukon alareunaan kohtaan "Lyhytaikaisten lainojen korot".</t>
        </r>
      </text>
    </comment>
    <comment ref="F11" authorId="1" shapeId="0" xr:uid="{00000000-0006-0000-0800-000005000000}">
      <text>
        <r>
          <rPr>
            <sz val="10"/>
            <color indexed="81"/>
            <rFont val="Tahoma"/>
            <family val="2"/>
          </rPr>
          <t>Luku löytyy tilinpäätöksen TASE-ERITTELYSTÄ, jossa on eritelty kaikkien pitkäaikaisten lainojen seuraavan vuoden lyhennys. Tulevien vuosien lyhennys voi poiketa tästä luvusta.</t>
        </r>
      </text>
    </comment>
    <comment ref="B17" authorId="1" shapeId="0" xr:uid="{023FD2B8-A4A2-47ED-82F8-7A476DEAC776}">
      <text>
        <r>
          <rPr>
            <sz val="10"/>
            <color indexed="81"/>
            <rFont val="Tahoma"/>
            <family val="2"/>
          </rPr>
          <t xml:space="preserve">Luotollinen tili merkitään pitkäaikaisena lainana ja laina-ajaksi esim. 20 vuotta, jos luottolimiittiä käytetään säännöllisesti. Summa on keskimääräinen käytettävä luoton määrä. </t>
        </r>
      </text>
    </comment>
    <comment ref="C18" authorId="1" shapeId="0" xr:uid="{27177A07-4724-4A2A-8C4A-1754651044A0}">
      <text>
        <r>
          <rPr>
            <sz val="10"/>
            <color indexed="81"/>
            <rFont val="Tahoma"/>
            <family val="2"/>
          </rPr>
          <t>Varmista, että luku on sama kuin solu G68 3. T3 TASEessa !! Jos lainan takaisinmaksuaika on 1 vuosi, on laina lyhytaikainen ja summa merkitään 3. T3 TASE soluun G78.</t>
        </r>
      </text>
    </comment>
    <comment ref="F18" authorId="1" shapeId="0" xr:uid="{425DE09F-D8D3-4753-9BE0-43D2C7DB31A4}">
      <text>
        <r>
          <rPr>
            <sz val="10"/>
            <color indexed="81"/>
            <rFont val="Tahoma"/>
            <family val="2"/>
          </rPr>
          <t>Varmista, että luku on sama kuin solu 3. G77 T3 TASEessa !! Jos lainan takaisinmaksuaika on 1 vuosi, on laina lyhytaikainen ja summa merkitään 3. T3 TASE soluun G78.</t>
        </r>
      </text>
    </comment>
    <comment ref="D19" authorId="1" shapeId="0" xr:uid="{00000000-0006-0000-0800-000007000000}">
      <text>
        <r>
          <rPr>
            <b/>
            <sz val="10"/>
            <color indexed="81"/>
            <rFont val="Tahoma"/>
            <family val="2"/>
          </rPr>
          <t xml:space="preserve">Osamaksuvelan taikaisinmaksuaika on oltava kokonaisluku. </t>
        </r>
        <r>
          <rPr>
            <sz val="10"/>
            <color indexed="81"/>
            <rFont val="Tahoma"/>
            <family val="2"/>
          </rPr>
          <t>Pyöristetään alaspäin. Jos lainan takaisinmaksuaika on 1 vuosi, on laina lyhytaikainen. Summa merkitään 3. T3 TASE soluun G78.</t>
        </r>
      </text>
    </comment>
    <comment ref="B24" authorId="1" shapeId="0" xr:uid="{00000000-0006-0000-0800-000009000000}">
      <text>
        <r>
          <rPr>
            <sz val="10"/>
            <color indexed="81"/>
            <rFont val="Tahoma"/>
            <family val="2"/>
          </rPr>
          <t>Pääomalaina merkitään
1. T1 INVESTOINTISUUNNITELMA kohtaan 13.</t>
        </r>
      </text>
    </comment>
    <comment ref="D24" authorId="1" shapeId="0" xr:uid="{00000000-0006-0000-0800-00000A000000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G24" authorId="1" shapeId="0" xr:uid="{00000000-0006-0000-0800-00000B000000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G25" authorId="1" shapeId="0" xr:uid="{EF850BEE-47EB-47D7-866B-9EBB40F80045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G26" authorId="1" shapeId="0" xr:uid="{CFF291CA-0F06-4EA6-9A51-0851E6D972F1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28" authorId="1" shapeId="0" xr:uid="{85F1DB7D-0BCA-41D8-ADB5-F01FD92F9E3F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J28" authorId="1" shapeId="0" xr:uid="{492B60AF-9638-4DC1-9FAF-17EFEFAB3594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28" authorId="1" shapeId="0" xr:uid="{078ECF23-6CEB-437B-A13B-9E0F1166715B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J29" authorId="1" shapeId="0" xr:uid="{144A2EE1-63E5-44B0-8F71-BDA4EDBEC0F6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J30" authorId="1" shapeId="0" xr:uid="{6636322A-C4B1-4468-8DE9-F4E906EC8345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32" authorId="1" shapeId="0" xr:uid="{D4EC1E9B-AFAE-4EA0-97C2-6FBD72E64FC0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M32" authorId="1" shapeId="0" xr:uid="{149A2FFB-ACC1-4991-9BEB-9F2FB547A144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2" authorId="1" shapeId="0" xr:uid="{9A926849-6BE1-4DF4-A8F7-39A9BEFB64F0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M33" authorId="1" shapeId="0" xr:uid="{667A0DAF-C998-4BFB-80DF-9E230F4B62D9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34" authorId="1" shapeId="0" xr:uid="{92719414-5C9A-4764-9FBC-BE1378FB37DF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36" authorId="1" shapeId="0" xr:uid="{9D1A5F04-909C-4996-AA93-268F5443BAFC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P36" authorId="1" shapeId="0" xr:uid="{B434E4C6-C44E-4DCB-8F9F-EAD8292B8902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7" authorId="1" shapeId="0" xr:uid="{0EF69672-DB8E-4A6C-BF06-714B5CC5D47C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8" authorId="1" shapeId="0" xr:uid="{9C3D08E9-20CF-46C7-9C2F-33A0FFB66E87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41" authorId="1" shapeId="0" xr:uid="{00000000-0006-0000-0800-000015000000}">
      <text>
        <r>
          <rPr>
            <sz val="10"/>
            <color indexed="81"/>
            <rFont val="Tahoma"/>
            <family val="2"/>
          </rPr>
          <t>Voit kirjoittaa rahoittajan nimen ja mitä osamaksulla on rahoitettu.</t>
        </r>
      </text>
    </comment>
    <comment ref="D41" authorId="1" shapeId="0" xr:uid="{00000000-0006-0000-0800-000016000000}">
      <text>
        <r>
          <rPr>
            <b/>
            <sz val="10"/>
            <color indexed="81"/>
            <rFont val="Tahoma"/>
            <family val="2"/>
          </rPr>
          <t xml:space="preserve">Luvun on oltava kokonaisluku. </t>
        </r>
        <r>
          <rPr>
            <sz val="10"/>
            <color indexed="81"/>
            <rFont val="Tahoma"/>
            <family val="2"/>
          </rPr>
          <t>Osamaksuvelan lyhin laina-aika on 2 vuotta.</t>
        </r>
      </text>
    </comment>
    <comment ref="C46" authorId="1" shapeId="0" xr:uid="{7CEFFA36-6A97-4AF4-9055-0C8D773FD112}">
      <text>
        <r>
          <rPr>
            <sz val="10"/>
            <color indexed="81"/>
            <rFont val="Tahoma"/>
            <family val="2"/>
          </rPr>
          <t>Siirtyy taulukosta 3. T3 TASE, solu H76</t>
        </r>
      </text>
    </comment>
    <comment ref="E46" authorId="0" shapeId="0" xr:uid="{9048E873-AC6A-4BDA-9BD6-3C42CEBFE123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7" authorId="1" shapeId="0" xr:uid="{00E3B892-4C0C-41BF-95E0-A429B58CAB09}">
      <text>
        <r>
          <rPr>
            <sz val="10"/>
            <color indexed="81"/>
            <rFont val="Tahoma"/>
            <family val="2"/>
          </rPr>
          <t>Siirtyy 3. T3 TASEen soluista G67 ja G77.</t>
        </r>
      </text>
    </comment>
    <comment ref="E47" authorId="0" shapeId="0" xr:uid="{8A7C6F8C-F55D-46C9-8F42-F0C6C74803D0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8" authorId="1" shapeId="0" xr:uid="{386DBB12-AF0C-45E8-AE24-391B293099DF}">
      <text>
        <r>
          <rPr>
            <sz val="10"/>
            <color indexed="81"/>
            <rFont val="Tahoma"/>
            <family val="2"/>
          </rPr>
          <t>Siirtyy 3. T3 TASEen solusta G72.</t>
        </r>
      </text>
    </comment>
    <comment ref="E48" authorId="0" shapeId="0" xr:uid="{D669020F-4DB5-47F4-8039-7FDBA056C3FF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H49" authorId="0" shapeId="0" xr:uid="{29EED2BD-AC2E-4461-8C2D-5B2F07D6C3FF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K49" authorId="0" shapeId="0" xr:uid="{3EEE7368-1B5F-4EDA-8A9D-4788D43A552C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N49" authorId="0" shapeId="0" xr:uid="{8BCDF58A-7184-4760-A13E-8C2E84DBBBC5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Q49" authorId="0" shapeId="0" xr:uid="{E6D6D232-5F5F-4E2F-BCF9-7F6109E87472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A3" authorId="0" shapeId="0" xr:uid="{00E52F5C-0A3B-4CDA-9C5F-40440B365A76}">
      <text>
        <r>
          <rPr>
            <b/>
            <sz val="10"/>
            <color indexed="81"/>
            <rFont val="Tahoma"/>
            <family val="2"/>
          </rPr>
          <t>KAIKKI LUVUT + MERKKISINÄ!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Aloita sarakkeesta D toteutuneen tilikauden tiedoilla kohdasta 3. LIIKETOIMINNAN MUUT KULUT. </t>
        </r>
        <r>
          <rPr>
            <sz val="10"/>
            <color indexed="81"/>
            <rFont val="Tahoma"/>
            <family val="2"/>
          </rPr>
          <t xml:space="preserve">
Jos Ennuste 1 - tilikauden pituus on muu kuin 12 kk, muuta kulut vastaavasti. 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kokonaislukuina.
</t>
        </r>
        <r>
          <rPr>
            <b/>
            <sz val="11"/>
            <color indexed="81"/>
            <rFont val="Tahoma"/>
            <family val="2"/>
          </rPr>
          <t xml:space="preserve">Huomioi laskennassa investoinnin vaikutukset kustannuksiin tuleville vuosille: </t>
        </r>
        <r>
          <rPr>
            <b/>
            <sz val="10"/>
            <color indexed="81"/>
            <rFont val="Tahoma"/>
            <family val="2"/>
          </rPr>
          <t xml:space="preserve">
Kone-/laiteinvestoinnit:</t>
        </r>
        <r>
          <rPr>
            <sz val="10"/>
            <color indexed="81"/>
            <rFont val="Tahoma"/>
            <family val="2"/>
          </rPr>
          <t xml:space="preserve"> raaka-aineet, työvoimakulut, sähkö, vesi, polttoaine, vakuutus, huolto, korjaus, ohjelmat jne...
</t>
        </r>
        <r>
          <rPr>
            <b/>
            <sz val="10"/>
            <color indexed="81"/>
            <rFont val="Tahoma"/>
            <family val="2"/>
          </rPr>
          <t>Kiinteistöinvestoinnit:</t>
        </r>
        <r>
          <rPr>
            <sz val="10"/>
            <color indexed="81"/>
            <rFont val="Tahoma"/>
            <family val="2"/>
          </rPr>
          <t xml:space="preserve"> lämmitys, sähkö, vesi, kiinteistövero, vakuutus, siivous, vartiointi, jäte jne... </t>
        </r>
      </text>
    </comment>
    <comment ref="F10" authorId="0" shapeId="0" xr:uid="{7F8E3DDC-8ED3-41C4-8E63-B39E85F1D49C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3" authorId="0" shapeId="0" xr:uid="{FB96E913-AA63-4DAF-B170-8D0E61561208}">
      <text>
        <r>
          <rPr>
            <b/>
            <sz val="10"/>
            <color indexed="81"/>
            <rFont val="Tahoma"/>
            <family val="2"/>
          </rPr>
          <t>YKSITYISOTTO (Tmi, Ky, Ay) merkitään taulukkoon 
8. T4 RAHOITUSSUUNNITELMAn soluun H39 - K39.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Muista lisätä/tarkistaa YEL-työtulon määrä solussa F35!
Toiminimiyrittäjä, liikkeenharjoittaja
</t>
        </r>
        <r>
          <rPr>
            <sz val="10"/>
            <color indexed="81"/>
            <rFont val="Tahoma"/>
            <family val="2"/>
          </rPr>
          <t xml:space="preserve">ei voi maksaa palkkaa itselleen, puolisolleen tai alle 14-vuotiaalle lapselleen. Yrittäjä nostaa itselleen rahaa yrityksen tililtä yksityisottona. 
</t>
        </r>
        <r>
          <rPr>
            <b/>
            <sz val="10"/>
            <color indexed="81"/>
            <rFont val="Tahoma"/>
            <family val="2"/>
          </rPr>
          <t xml:space="preserve">Avoimen ja kommandiittiyhtiön
</t>
        </r>
        <r>
          <rPr>
            <sz val="10"/>
            <color indexed="81"/>
            <rFont val="Tahoma"/>
            <family val="2"/>
          </rPr>
          <t xml:space="preserve">yhtiömies voi maksaa itselleen palkkaa ja/tai tehdä yksityisottoja.
</t>
        </r>
        <r>
          <rPr>
            <b/>
            <sz val="10"/>
            <color indexed="81"/>
            <rFont val="Tahoma"/>
            <family val="2"/>
          </rPr>
          <t xml:space="preserve">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P13" authorId="0" shapeId="0" xr:uid="{F582E6ED-2EFC-4415-87C1-A9636AF977D7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14" authorId="0" shapeId="0" xr:uid="{8C983D83-D768-4C6E-9D74-C7A4534581B3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F15" authorId="0" shapeId="0" xr:uid="{00000000-0006-0000-0900-000002000000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16" authorId="0" shapeId="0" xr:uid="{2DE7EBBE-2D7C-441C-86F6-C80075D86C00}">
      <text>
        <r>
          <rPr>
            <sz val="10"/>
            <color indexed="81"/>
            <rFont val="Tahoma"/>
            <family val="2"/>
          </rPr>
          <t>Kaikkien YEL-yrittäjien keskimääräinen ennakkoveron pidätys-%.</t>
        </r>
      </text>
    </comment>
    <comment ref="C17" authorId="0" shapeId="0" xr:uid="{F2FDFAB8-4B50-4DB3-A7E3-E724011AA160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19" authorId="0" shapeId="0" xr:uid="{00000000-0006-0000-0900-000008000000}">
      <text>
        <r>
          <rPr>
            <sz val="10"/>
            <color indexed="81"/>
            <rFont val="Tahoma"/>
            <family val="2"/>
          </rPr>
          <t>Työtunnit kuukaudessa
- 8 h päivässä = 172 h/kk
- 7,6 h päivässä = 162 h/kk
- 7,5 h päivässä = 150 h/kk</t>
        </r>
      </text>
    </comment>
    <comment ref="F21" authorId="0" shapeId="0" xr:uid="{589107FF-CB45-493B-BB80-62CA2E36D616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 G93 - J93 nollaksi.</t>
        </r>
      </text>
    </comment>
    <comment ref="F23" authorId="0" shapeId="0" xr:uid="{2BE058F1-0DCB-4039-BF72-E821501970A1}">
      <text>
        <r>
          <rPr>
            <sz val="10"/>
            <color indexed="81"/>
            <rFont val="Tahoma"/>
            <family val="2"/>
          </rPr>
          <t>Kaikkien ryhmään 1.2 kuuluvien henkilöiden  keskimääräinen ennakkoveron pidätys-%.</t>
        </r>
      </text>
    </comment>
    <comment ref="C24" authorId="0" shapeId="0" xr:uid="{1A22485A-0EDF-4C34-ABA6-17566841E9F4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27" authorId="0" shapeId="0" xr:uid="{6C61E533-8DCA-49A9-9DDC-6080D6920075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 G93 - J93 nollaksi.</t>
        </r>
      </text>
    </comment>
    <comment ref="F29" authorId="0" shapeId="0" xr:uid="{C805A720-8CE1-44C8-BBE2-7FBF0C6D20FC}">
      <text>
        <r>
          <rPr>
            <sz val="10"/>
            <color indexed="81"/>
            <rFont val="Tahoma"/>
            <family val="2"/>
          </rPr>
          <t>Kaikkien ryhmään 1.3 kuuluvien henkilöiden  keskimääräinen ennakkoveron pidätys-%.</t>
        </r>
      </text>
    </comment>
    <comment ref="F33" authorId="1" shapeId="0" xr:uid="{B3A4EC67-1E1E-4ECA-AF84-60B42BE72146}">
      <text>
        <r>
          <rPr>
            <sz val="10"/>
            <color indexed="81"/>
            <rFont val="Tahoma"/>
            <family val="2"/>
          </rPr>
          <t>2026
Yritys maksaa vakuutusyhtiölle TyEL-maksua keskimäärin 17,1 % palkoista.</t>
        </r>
      </text>
    </comment>
    <comment ref="F35" authorId="0" shapeId="0" xr:uid="{07A9474B-C226-4645-BB40-F9120011EA4C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F36" authorId="1" shapeId="0" xr:uid="{9665CEB6-1564-4C81-942F-526B8EC9FC3D}">
      <text>
        <r>
          <rPr>
            <b/>
            <sz val="10"/>
            <color indexed="81"/>
            <rFont val="Tahoma"/>
            <family val="2"/>
          </rPr>
          <t>YEL-vakuutusmaksuprosentti 24,4 %</t>
        </r>
        <r>
          <rPr>
            <sz val="10"/>
            <color indexed="81"/>
            <rFont val="Tahoma"/>
            <family val="2"/>
          </rPr>
          <t xml:space="preserve">
Aloittava yrittäjä saa 22 % alennuksen eläkemaksuista ensimmäiset neljä vuotta, maksuprosentti 19,03 %.</t>
        </r>
      </text>
    </comment>
    <comment ref="F40" authorId="1" shapeId="0" xr:uid="{6A3CA459-D85E-4E7F-92B1-F95BC2FDBB05}">
      <text>
        <r>
          <rPr>
            <b/>
            <sz val="10"/>
            <color indexed="81"/>
            <rFont val="Tahoma"/>
            <family val="2"/>
          </rPr>
          <t xml:space="preserve">Yritys maksaa 2026 
</t>
        </r>
        <r>
          <rPr>
            <sz val="10"/>
            <color indexed="81"/>
            <rFont val="Tahoma"/>
            <family val="2"/>
          </rPr>
          <t>- sairausvakuutusmaksua 1,91 %
- tapaturmavakuutusta keskimäärin 0,51 % (tapaturma-alttiilla aloilla jopa 7 %)
- henkivakuutusta 0,06 % 
- Työttömyysvakuutusta 0,31 %</t>
        </r>
        <r>
          <rPr>
            <b/>
            <sz val="10"/>
            <color indexed="81"/>
            <rFont val="Tahoma"/>
            <family val="2"/>
          </rPr>
          <t xml:space="preserve">
Yhteensä keskimäärin 2,79 %, korota tapaturma-alttiilla aloilla.</t>
        </r>
      </text>
    </comment>
    <comment ref="F41" authorId="1" shapeId="0" xr:uid="{566FC3FB-C35C-4B4D-BD66-F15D2B4B9861}">
      <text>
        <r>
          <rPr>
            <b/>
            <sz val="10"/>
            <color indexed="81"/>
            <rFont val="Tahoma"/>
            <family val="2"/>
          </rPr>
          <t>2026</t>
        </r>
        <r>
          <rPr>
            <sz val="10"/>
            <color indexed="81"/>
            <rFont val="Tahoma"/>
            <family val="2"/>
          </rPr>
          <t xml:space="preserve">
- vapaaehtoinen tapaturma- ja ammattitautivakuutus 
  1,7 % YEL-työtulosta
- sairausvakuutusmaksu 1,91 % palkkatulosta</t>
        </r>
      </text>
    </comment>
    <comment ref="C43" authorId="0" shapeId="0" xr:uid="{00000000-0006-0000-0900-000020000000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C51" authorId="0" shapeId="0" xr:uid="{F6D54711-EA16-4B94-88B3-497A475FF644}">
      <text>
        <r>
          <rPr>
            <sz val="10"/>
            <color indexed="81"/>
            <rFont val="Tahoma"/>
            <family val="2"/>
          </rPr>
          <t>Henkilökunnan ruokailu, lounasetu, henkilöstön hankinta, sisäiset palaverit, lahjat henkilökunnalle mm.</t>
        </r>
      </text>
    </comment>
    <comment ref="D53" authorId="1" shapeId="0" xr:uid="{98AF8ED4-1974-4531-AA97-D052A4F9D426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F53" authorId="1" shapeId="0" xr:uid="{60263D49-CB0C-4C2D-A76F-89114F71D503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D61" authorId="0" shapeId="0" xr:uid="{00000000-0006-0000-0900-000027000000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F61" authorId="0" shapeId="0" xr:uid="{140B1ED6-07C3-48B1-9857-8C9F7655FBC8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C63" authorId="0" shapeId="0" xr:uid="{C7DF4865-8814-4C50-8BFC-D90DF860FAAB}">
      <text>
        <r>
          <rPr>
            <sz val="10"/>
            <color indexed="81"/>
            <rFont val="Tahoma"/>
            <family val="2"/>
          </rPr>
          <t>Alv 0 % ajoneuvokulut kohtaan 
3.18 Ajoneuvo- ja konekulut, yksityiskäyttö</t>
        </r>
      </text>
    </comment>
    <comment ref="F64" authorId="0" shapeId="0" xr:uid="{A7833D0B-1E72-47AD-B026-BEBD4BE647AB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64" authorId="0" shapeId="0" xr:uid="{9B2815F2-B935-4FE4-89E5-60DFC2617B2C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64" authorId="0" shapeId="0" xr:uid="{64298609-B241-4071-B350-D508F87BB745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64" authorId="0" shapeId="0" xr:uid="{B0E4E293-C691-48A8-A6BB-17FBCBDD361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0" authorId="0" shapeId="0" xr:uid="{6DFD2BA9-374E-464C-8C2D-05E61CC94E4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H70" authorId="0" shapeId="0" xr:uid="{7D99E347-9ACF-43B2-AD52-215A28EEC48F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0" authorId="0" shapeId="0" xr:uid="{10AF408E-B77D-47C7-931B-71E2C5EB7262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0" authorId="0" shapeId="0" xr:uid="{7FD7730E-3D81-41CB-BE1B-F9A2450994F8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2" authorId="1" shapeId="0" xr:uid="{A6FE83CB-89AF-4CF7-B0E4-DE00CB9A5C21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4" authorId="0" shapeId="0" xr:uid="{833A0A11-779F-47CB-9EDA-58808675C78E}">
      <text>
        <r>
          <rPr>
            <sz val="10"/>
            <color indexed="81"/>
            <rFont val="Tahoma"/>
            <family val="2"/>
          </rPr>
          <t>Ei liikekäyttö -koneiden kulut kohtaan 
3.18 Ajoneuvo- ja konekulut, yksityiskäyttö
tai
3.19 Leasingrahoitus (yksityiskäyttö)</t>
        </r>
      </text>
    </comment>
    <comment ref="F75" authorId="0" shapeId="0" xr:uid="{CAF62E18-ADEF-4C47-ABB5-C0E7A52623B6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75" authorId="0" shapeId="0" xr:uid="{57DB587E-4E7E-4D80-9544-37C0D798012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5" authorId="0" shapeId="0" xr:uid="{C8BFDD0F-0B4C-4519-B511-8B05E07E70B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5" authorId="0" shapeId="0" xr:uid="{94766098-A4B8-48B0-9AF9-826444E411B4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O75" authorId="0" shapeId="0" xr:uid="{57694E72-4DAE-491F-BEBB-279A0AB295DD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77" authorId="1" shapeId="0" xr:uid="{1E1550BD-6B14-4C5B-9F03-83C3193E903C}">
      <text>
        <r>
          <rPr>
            <b/>
            <sz val="10"/>
            <color indexed="81"/>
            <rFont val="Tahoma"/>
            <family val="2"/>
          </rPr>
          <t>Pienhankinnat ja hankinnat, joiden käyttöikä on alle 3 vuotta</t>
        </r>
        <r>
          <rPr>
            <sz val="10"/>
            <color indexed="81"/>
            <rFont val="Tahoma"/>
            <family val="2"/>
          </rPr>
          <t xml:space="preserve">
eli voidaan vähentää verotuksessa kuluna yhdellä kerralla</t>
        </r>
      </text>
    </comment>
    <comment ref="D86" authorId="0" shapeId="0" xr:uid="{00000000-0006-0000-0900-00002D000000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F86" authorId="0" shapeId="0" xr:uid="{C156D1AC-6162-4A1B-BDB5-D763E6B736EF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O89" authorId="0" shapeId="0" xr:uid="{56728908-99AF-44BC-8DF6-4757020F72E0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00" authorId="0" shapeId="0" xr:uid="{894BF4F4-1797-47F2-B342-8A13D7BC5B55}">
      <text>
        <r>
          <rPr>
            <sz val="10"/>
            <color indexed="81"/>
            <rFont val="Tahoma"/>
            <family val="2"/>
          </rPr>
          <t>Tuotannon vuokratyövoima taulukkoon
2. T2 TULOSSUUNNITELMA, kohta 6. Ulkopuoliset palvelut</t>
        </r>
      </text>
    </comment>
    <comment ref="O114" authorId="0" shapeId="0" xr:uid="{F136A4FF-713B-40D5-88AB-81346739D1DB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18" authorId="0" shapeId="0" xr:uid="{00000000-0006-0000-0900-00002F000000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F118" authorId="0" shapeId="0" xr:uid="{EFBA5DD7-92F2-4989-AC9E-14C31D45C108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D119" authorId="0" shapeId="0" xr:uid="{00000000-0006-0000-0900-000032000000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F119" authorId="0" shapeId="0" xr:uid="{88C26940-58EF-4202-9572-42EB26103B28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C120" authorId="0" shapeId="0" xr:uid="{76479918-942D-4210-A43F-89F3C17B9624}">
      <text>
        <r>
          <rPr>
            <sz val="10"/>
            <color indexed="81"/>
            <rFont val="Tahoma"/>
            <family val="2"/>
          </rPr>
          <t>Leasingrahoituksella hankittavien ajoneuvojen ja koneiden vuosikustannus, jotka eivät ole liiketoiminnan käytössä. Kuluista ei voida vähentää arvonlisäveroa.</t>
        </r>
      </text>
    </comment>
    <comment ref="D121" authorId="0" shapeId="0" xr:uid="{062B4A90-2DDD-43F5-B50F-B81CAE95C95A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F121" authorId="0" shapeId="0" xr:uid="{D3BFB842-9328-4318-984F-AAEDDD580408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D122" authorId="1" shapeId="0" xr:uid="{10D8ACE8-BF50-49B2-B75C-CC0F66BDD914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  <comment ref="F122" authorId="0" shapeId="0" xr:uid="{CAC5E4E4-54E8-440C-941C-20DCABD1DA20}">
      <text>
        <r>
          <rPr>
            <sz val="10"/>
            <color indexed="81"/>
            <rFont val="Tahoma"/>
            <family val="2"/>
          </rPr>
          <t xml:space="preserve">Alv 0 %-toimitilavuokrat/hoitovastikkeet ja korjauskulut kirjoitetaan sis. alv. Muut kulut, esim. sähkö, kohtaan 
3.2 Toimitilakustannukset. 
Asuntojen vuokraukseen liittyvät kaikki kulut (esim. sähkö) ovat alv-vähennyskelvottomia ja kirjoitetaan sis. alv.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Jadelcons</author>
    <author>Yritystulkki</author>
  </authors>
  <commentList>
    <comment ref="A3" authorId="0" shapeId="0" xr:uid="{1C0873A2-67F1-4CAD-AB5D-84095477707B}">
      <text>
        <r>
          <rPr>
            <sz val="10"/>
            <color indexed="81"/>
            <rFont val="Tahoma"/>
            <family val="2"/>
          </rPr>
          <t xml:space="preserve">Laske toteutuneen tilikauden avulla tuotteen yksikköhinta, ellei ole tiedossa. Toteutuneen tilikauden tiedot muissa taulukoissa eivät muutu! Valitse alv-% tuotekohtaisesti! Huomioi tilikauden pituus!  </t>
        </r>
        <r>
          <rPr>
            <b/>
            <sz val="10"/>
            <color indexed="81"/>
            <rFont val="Tahoma"/>
            <family val="2"/>
          </rPr>
          <t>AINEKÄYTTÖ/HANKINNAT MERKITÄÄN +MERKKISINÄ!</t>
        </r>
      </text>
    </comment>
    <comment ref="F9" authorId="0" shapeId="0" xr:uid="{329BB6EF-9D6E-4BF9-99F2-563BB37152D7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liikevaihto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6" authorId="1" shapeId="0" xr:uid="{730ED6A2-C01D-4E4B-9DB7-EC7F879CDAE5}">
      <text>
        <r>
          <rPr>
            <sz val="10"/>
            <color indexed="81"/>
            <rFont val="Tahoma"/>
            <family val="2"/>
          </rPr>
          <t>Arvonlisäveroprosentti</t>
        </r>
      </text>
    </comment>
    <comment ref="E17" authorId="2" shapeId="0" xr:uid="{A5D8ABEA-FF93-463C-B6B0-06A5B626FCC4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18" authorId="2" shapeId="0" xr:uid="{235CC61C-D17D-4213-9502-2E6385A49E51}">
      <text>
        <r>
          <rPr>
            <sz val="10"/>
            <color indexed="81"/>
            <rFont val="Tahoma"/>
            <family val="2"/>
          </rPr>
          <t>Jos ei tiedetä myyntimäärää niin merkitse 1.</t>
        </r>
      </text>
    </comment>
    <comment ref="K18" authorId="0" shapeId="0" xr:uid="{60C120C1-250F-4AFF-A055-AB410BB5B503}">
      <text>
        <r>
          <rPr>
            <sz val="10"/>
            <color indexed="81"/>
            <rFont val="Tahoma"/>
            <family val="2"/>
          </rPr>
          <t>Ennustevuosien myyntimäärää voit muuttaa tästä prosenteilla tai kirjoittamalla luku suoraan soluun.</t>
        </r>
      </text>
    </comment>
    <comment ref="F20" authorId="0" shapeId="0" xr:uid="{F0A4DB0E-BC48-4CB5-BC3F-0E45765618E4}">
      <text>
        <r>
          <rPr>
            <b/>
            <sz val="10"/>
            <color indexed="81"/>
            <rFont val="Tahoma"/>
            <family val="2"/>
          </rPr>
          <t xml:space="preserve">Ainekäyttöprosenttin laskenta
</t>
        </r>
        <r>
          <rPr>
            <sz val="10"/>
            <color indexed="81"/>
            <rFont val="Tahoma"/>
            <family val="2"/>
          </rPr>
          <t>Tuotteeseen kohdistuvat ostot/liikevaihto x 100%.
Jos ainekäyttöprosenttia ei pystytä laskemaan voit määritellä ainekäytön katelaskennan kautta.
Esim. 30% myyntikate = ainekäyttö-% on 70%.</t>
        </r>
      </text>
    </comment>
    <comment ref="E21" authorId="0" shapeId="0" xr:uid="{00000000-0006-0000-0A00-000003000000}">
      <text>
        <r>
          <rPr>
            <sz val="10"/>
            <color indexed="81"/>
            <rFont val="Tahoma"/>
            <family val="2"/>
          </rPr>
          <t xml:space="preserve">Paljonko tähän tuotteeseen tai palveluun on kohdistunut ainekäyttöä eli ostoja toteutuneella tilikaudella?
Huomioi mahdollinen varaston muutos ja yrityskaupan yhteydessä ostettu vaihto-omaisuus. </t>
        </r>
      </text>
    </comment>
    <comment ref="F23" authorId="1" shapeId="0" xr:uid="{26A0025C-6F02-437E-814E-7F5401502027}">
      <text>
        <r>
          <rPr>
            <sz val="10"/>
            <color indexed="81"/>
            <rFont val="Tahoma"/>
            <family val="2"/>
          </rPr>
          <t>Arvonlisäveroprosentti</t>
        </r>
      </text>
    </comment>
    <comment ref="E24" authorId="2" shapeId="0" xr:uid="{21A35FC3-3A36-4F7E-AA4C-17B84935498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31" authorId="2" shapeId="0" xr:uid="{4FB48B48-D988-44E8-8098-6A4B99025BE1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38" authorId="2" shapeId="0" xr:uid="{ED67A634-F5AE-458E-9E8B-64E48E57E5E3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45" authorId="2" shapeId="0" xr:uid="{D7CF0C2E-F548-4066-8FA4-CA44D37648B9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52" authorId="2" shapeId="0" xr:uid="{2415B69F-8774-4DEF-AE11-BA8495375613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59" authorId="2" shapeId="0" xr:uid="{ADAD50E5-7EF3-44C8-968D-18B15FD87BB0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66" authorId="2" shapeId="0" xr:uid="{61E11147-5023-4043-83D1-E202F3D0CD7A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73" authorId="2" shapeId="0" xr:uid="{C0727F70-BC3A-4632-A759-1C31341BE7C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80" authorId="2" shapeId="0" xr:uid="{A9F63ECC-6099-4554-A578-04D7D8CAB0F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H16" authorId="0" shapeId="0" xr:uid="{00000000-0006-0000-0500-000001000000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M16" authorId="1" shapeId="0" xr:uid="{00963218-C825-441F-9538-BF4889E65EC6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M19" authorId="1" shapeId="0" xr:uid="{493B67DB-9657-439C-B89B-410F7494FBCF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C20" authorId="0" shapeId="0" xr:uid="{00000000-0006-0000-0500-000007000000}">
      <text>
        <r>
          <rPr>
            <sz val="10"/>
            <color indexed="81"/>
            <rFont val="Tahoma"/>
            <family val="2"/>
          </rPr>
          <t>Osakepääoman konvertoinnissa pääomalainaa muutetaan osakepääomaksi.</t>
        </r>
      </text>
    </comment>
    <comment ref="M21" authorId="1" shapeId="0" xr:uid="{AF732FE1-A632-4820-A679-E60F90419E41}">
      <text>
        <r>
          <rPr>
            <b/>
            <sz val="10"/>
            <color indexed="81"/>
            <rFont val="Tahoma"/>
            <family val="2"/>
          </rPr>
          <t xml:space="preserve">Liiketulos (EBIT)-% = </t>
        </r>
        <r>
          <rPr>
            <sz val="10"/>
            <color indexed="81"/>
            <rFont val="Tahoma"/>
            <family val="2"/>
          </rPr>
          <t xml:space="preserve">
100 x Liiketulos / Liiketoiminnan tuotot yhteensä.
Ohjearvoja: Hyvä yli 10 %, tyydyttävä 5 -10 %, heikko alle 5 %.
Liiketulos kertoo, kuinka paljon varsinaisen liiketoiminnan tuotoista on jäljellä ennen rahoituseriä ja veroja. Liiketulosprosenttia verrataan toisiin saman toimialan yrityksiin.</t>
        </r>
      </text>
    </comment>
    <comment ref="M25" authorId="1" shapeId="0" xr:uid="{98162E43-4A4D-4832-8695-DA11C9E9F234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M26" authorId="1" shapeId="0" xr:uid="{11783C37-2B90-419A-B020-73318A6D3AD5}">
      <text>
        <r>
          <rPr>
            <b/>
            <sz val="10"/>
            <color indexed="81"/>
            <rFont val="Tahoma"/>
            <family val="2"/>
          </rPr>
          <t>Rahoitustulos-%=</t>
        </r>
        <r>
          <rPr>
            <sz val="10"/>
            <color indexed="81"/>
            <rFont val="Tahoma"/>
            <family val="2"/>
          </rPr>
          <t xml:space="preserve">
(Liiketulos+rahoitustuotot-rahoituskulut-verot+poistot / Liiketoiminnan tuotot yhteensä) x 100
Ohjearvoja: yli 0 % Riittävä ja alle 0 % Heikko
Rahoitustuloksen tulee riittää lainojen lyhennyksiin, investointien omarahoitusosuuteen, käyttöpääoman lisäykseen ja voitonjakoon omalle pääomalle. </t>
        </r>
      </text>
    </comment>
    <comment ref="H29" authorId="0" shapeId="0" xr:uid="{00000000-0006-0000-0500-00000C000000}">
      <text>
        <r>
          <rPr>
            <sz val="10"/>
            <color indexed="81"/>
            <rFont val="Tahoma"/>
            <family val="2"/>
          </rPr>
          <t>3. T3 TASEesta siirtynyt
- Rahoitusarvopapereiden lisäys tai vähennys</t>
        </r>
      </text>
    </comment>
    <comment ref="M29" authorId="1" shapeId="0" xr:uid="{713C13E2-A087-4542-8751-9EE12A55CFF5}">
      <text>
        <r>
          <rPr>
            <b/>
            <sz val="10"/>
            <color indexed="81"/>
            <rFont val="Tahoma"/>
            <family val="2"/>
          </rPr>
          <t>Lyhytaikainen maksuvalmius =</t>
        </r>
        <r>
          <rPr>
            <sz val="10"/>
            <color indexed="81"/>
            <rFont val="Tahoma"/>
            <family val="2"/>
          </rPr>
          <t xml:space="preserve">
Rahoitusomaisuus (= rahat + rahoitusarvopaperit) / Lyhytaikainen vieras pääoma
Ohjearvoja: yli 1 hyvä, 0,5 - 1 tyydyttävä ja alle 0,5 heikko
Luku mittaa yrityksen mahdollisuutta selviytyä lyhytaikaisista veloistaan pelkällä rahoitusomaisuudellaan.</t>
        </r>
      </text>
    </comment>
    <comment ref="M31" authorId="1" shapeId="0" xr:uid="{E099CD0E-3B4E-4AAE-B27F-97C6372BE6DF}">
      <text>
        <r>
          <rPr>
            <b/>
            <sz val="10"/>
            <color indexed="81"/>
            <rFont val="Tahoma"/>
            <family val="2"/>
          </rPr>
          <t>Pitkäaikainen maksuvalmius =</t>
        </r>
        <r>
          <rPr>
            <sz val="10"/>
            <color indexed="81"/>
            <rFont val="Tahoma"/>
            <family val="2"/>
          </rPr>
          <t xml:space="preserve">
Vaihto-omaisuus + rahoitusomaisuus  / Lyhytaikainen vieras pääoma
</t>
        </r>
        <r>
          <rPr>
            <b/>
            <sz val="10"/>
            <color indexed="81"/>
            <rFont val="Tahoma"/>
            <family val="2"/>
          </rPr>
          <t>Ohjearvoja: yli 2 on hyvä, 1 - 2 tyydyttävä ja alle 1 heikko</t>
        </r>
        <r>
          <rPr>
            <sz val="10"/>
            <color indexed="81"/>
            <rFont val="Tahoma"/>
            <family val="2"/>
          </rPr>
          <t xml:space="preserve">
Current ratiossa ajatellaan, että myös vaihto-omaisuus voidaan realisoida lyhytaikaisten velkojen maksamiseen.</t>
        </r>
      </text>
    </comment>
    <comment ref="M33" authorId="1" shapeId="0" xr:uid="{255E9A4B-83CC-4141-B282-9A3AA750D282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M34" authorId="1" shapeId="0" xr:uid="{74F484BF-4E9B-40C9-94DB-F07F7C6FFCAD}">
      <text>
        <r>
          <rPr>
            <b/>
            <sz val="10"/>
            <color indexed="81"/>
            <rFont val="Tahoma"/>
            <family val="2"/>
          </rPr>
          <t xml:space="preserve">Lainojen hoitokate = </t>
        </r>
        <r>
          <rPr>
            <sz val="10"/>
            <color indexed="81"/>
            <rFont val="Tahoma"/>
            <family val="2"/>
          </rPr>
          <t xml:space="preserve">
(rahoituskulut + rahoitustulos) / (Rahoituskulut + pitkäaikaisten lainojen lyhennykset) 
</t>
        </r>
        <r>
          <rPr>
            <b/>
            <sz val="10"/>
            <color indexed="81"/>
            <rFont val="Tahoma"/>
            <family val="2"/>
          </rPr>
          <t xml:space="preserve">Ohjearvoja: yli 2 on hyvä, 1 - 2 tyydyttävä ja alle 1 heikko
</t>
        </r>
        <r>
          <rPr>
            <sz val="10"/>
            <color indexed="81"/>
            <rFont val="Tahoma"/>
            <family val="2"/>
          </rPr>
          <t xml:space="preserve">
Hoitokate vertaa tuloksen rahoituksellista riittävyyttä vieraan pääoman velvoitteiden hoitamiseen.</t>
        </r>
      </text>
    </comment>
    <comment ref="H35" authorId="0" shapeId="0" xr:uid="{00000000-0006-0000-0500-000012000000}">
      <text>
        <r>
          <rPr>
            <sz val="10"/>
            <color indexed="81"/>
            <rFont val="Tahoma"/>
            <family val="2"/>
          </rPr>
          <t>Lisälyhennys + merkkinen.
Lyhennyserän pienentäminen
 - merkkinen.</t>
        </r>
      </text>
    </comment>
    <comment ref="M37" authorId="1" shapeId="0" xr:uid="{6A1D31D1-34AE-4C81-A91F-AA1D382BA15D}">
      <text>
        <r>
          <rPr>
            <b/>
            <sz val="10"/>
            <color indexed="81"/>
            <rFont val="Tahoma"/>
            <family val="2"/>
          </rPr>
          <t xml:space="preserve">Omavaraisuusaste =
</t>
        </r>
        <r>
          <rPr>
            <sz val="10"/>
            <color indexed="81"/>
            <rFont val="Tahoma"/>
            <family val="2"/>
          </rPr>
          <t>100 x oikaistu oma pääoma / (Oikaistun taseen loppusumma - saadut ennakot)</t>
        </r>
        <r>
          <rPr>
            <b/>
            <sz val="10"/>
            <color indexed="81"/>
            <rFont val="Tahoma"/>
            <family val="2"/>
          </rPr>
          <t xml:space="preserve">
Ohjearvoja: yli 40 % on hyvä, 20 - 40 % tyydyttävä ja alle 20 % heikko
</t>
        </r>
        <r>
          <rPr>
            <sz val="10"/>
            <color indexed="81"/>
            <rFont val="Tahoma"/>
            <family val="2"/>
          </rPr>
          <t>Omavaraisuusaste mittaa yrityksen vakavaraisuutta, yrityksen tappionsietokykyä ja kykyä selviytyä sitoumuksistaan pitkällä aikavälillä.</t>
        </r>
      </text>
    </comment>
    <comment ref="H39" authorId="0" shapeId="0" xr:uid="{E3099D0A-82B9-4628-BA9F-51D99131634F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I39" authorId="0" shapeId="0" xr:uid="{0D684528-3CDF-4CEA-8DFD-8C418859CE58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J39" authorId="0" shapeId="0" xr:uid="{77969B76-BCDD-43FF-B65E-7C29F283BA45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K39" authorId="0" shapeId="0" xr:uid="{432703CB-2110-44ED-91F8-E5D446543EB9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M39" authorId="1" shapeId="0" xr:uid="{E97FB76F-F921-4EFC-9AC2-3AEEDB85CD8B}">
      <text>
        <r>
          <rPr>
            <b/>
            <sz val="10"/>
            <color indexed="81"/>
            <rFont val="Tahoma"/>
            <family val="2"/>
          </rPr>
          <t>Net Gearing (nettovelkaantumisaste) =</t>
        </r>
        <r>
          <rPr>
            <sz val="10"/>
            <color indexed="81"/>
            <rFont val="Tahoma"/>
            <family val="2"/>
          </rPr>
          <t xml:space="preserve">
(Korollinen vieras pääoma - rahat ja rahoitusarvopaperit) /Oikaistu oma pääoma 
Korollinen vieras pääoma = Pitkäaikainen vieras pääoma pl. saadut ennakot + Korolliset lyhytaikaiset velat + Muut korolliset sisäiset velat
</t>
        </r>
        <r>
          <rPr>
            <b/>
            <sz val="10"/>
            <color indexed="81"/>
            <rFont val="Tahoma"/>
            <family val="2"/>
          </rPr>
          <t>Ohjearvoja: Alle 1 on hyvä. Jos luku on nolla (tyhjä solu) tai alle 0, niin yritys on nettovelaton. Jos negatiivinen arvo johtuu negatiivisesta omasta pääomasta, on tunnusluku heikko.</t>
        </r>
        <r>
          <rPr>
            <sz val="10"/>
            <color indexed="81"/>
            <rFont val="Tahoma"/>
            <family val="2"/>
          </rPr>
          <t xml:space="preserve">
Tunnusluku ilmoittaa, kuinka hyvin oma pääoma kattaa korollisen vieraan pääoman määrän. </t>
        </r>
      </text>
    </comment>
    <comment ref="H40" authorId="0" shapeId="0" xr:uid="{00000000-0006-0000-0500-00001D000000}">
      <text>
        <r>
          <rPr>
            <sz val="10"/>
            <color indexed="81"/>
            <rFont val="Tahoma"/>
            <family val="2"/>
          </rPr>
          <t>Luku siirtynyt 3. T3 TASEesta  soluista G35 - J35.</t>
        </r>
      </text>
    </comment>
    <comment ref="M42" authorId="0" shapeId="0" xr:uid="{5CB7F7AD-450B-48CE-AF2F-2ADD2C339748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H43" authorId="0" shapeId="0" xr:uid="{53E64B61-4286-4ABA-A536-3B80564D1C99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I43" authorId="0" shapeId="0" xr:uid="{F70122CC-C4AC-4999-8C17-00CC108BFC3F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J43" authorId="0" shapeId="0" xr:uid="{36098C30-AF52-4518-A2CE-7953C5AF795D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K43" authorId="0" shapeId="0" xr:uid="{D2235C01-0727-43A3-9A35-DA41E79FF1DA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M43" authorId="0" shapeId="0" xr:uid="{340C9105-A48B-41EE-B96E-82D95B9CD8F1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C44" authorId="0" shapeId="0" xr:uid="{00000000-0006-0000-0500-000027000000}">
      <text>
        <r>
          <rPr>
            <sz val="10"/>
            <color indexed="81"/>
            <rFont val="Tahoma"/>
            <family val="2"/>
          </rPr>
          <t xml:space="preserve">Luku ilmoittaa, kuinka monta päivää "Kumulatiivinen kassa" (kohta 27) riittää kiinteisiin kustannuksiin. Suositus on vähintään 30 pv.
</t>
        </r>
        <r>
          <rPr>
            <b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Kumulatiivinen yli- tai alijäämä / Muut kiinteät kulut (5. E1 KUSTANNUKSET rivi 45) x 365</t>
        </r>
      </text>
    </comment>
    <comment ref="M44" authorId="0" shapeId="0" xr:uid="{C301DE1B-5519-4606-9F32-309B1B9B5ED0}">
      <text>
        <r>
          <rPr>
            <b/>
            <sz val="10"/>
            <color indexed="81"/>
            <rFont val="Tahoma"/>
            <family val="2"/>
          </rPr>
          <t>Kriisitunnusluku Z =</t>
        </r>
        <r>
          <rPr>
            <sz val="10"/>
            <color indexed="81"/>
            <rFont val="Tahoma"/>
            <family val="2"/>
          </rPr>
          <t xml:space="preserve">
Z = 1.77 * rahoitustulos-% + 14.14 * quick ratio + 0.54 * omavaraisuusaste
</t>
        </r>
        <r>
          <rPr>
            <b/>
            <sz val="10"/>
            <color indexed="81"/>
            <rFont val="Tahoma"/>
            <family val="2"/>
          </rPr>
          <t>Ohjearvoja:
Hyvä yli 28, Tyydyttävä 18 - 28, Heikko 5 - 18</t>
        </r>
      </text>
    </comment>
    <comment ref="M49" authorId="0" shapeId="0" xr:uid="{2D91B8F1-2610-4DE8-A4AE-77798C764DF7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Tilillä olevat rahat vähennetään varoista.</t>
        </r>
      </text>
    </comment>
    <comment ref="C50" authorId="0" shapeId="0" xr:uid="{6221D3C8-2855-4DBF-8718-D0D951B284D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H50" authorId="0" shapeId="0" xr:uid="{C032D269-B86C-4C5C-A551-E33A2F216A2B}">
      <text>
        <r>
          <rPr>
            <b/>
            <sz val="10"/>
            <color indexed="81"/>
            <rFont val="Tahoma"/>
            <family val="2"/>
          </rPr>
          <t>Solun luku on toteutuneen tilikauden mukainen. Jos ennustevuosina ostetaan liiketoimintaa tai aloitetaan uutta liiketoiminta, on luku syytä tarkistaa Yritystulkin tilastoista vaihto-omaisuus%, kohdasta rahoitus -&gt; tilastot. Tilastoista löytyy yli 50:n eri toimialan taloudellisia tunnuslukuja. 
Mitä luku tarkoittaa?</t>
        </r>
        <r>
          <rPr>
            <sz val="10"/>
            <color indexed="81"/>
            <rFont val="Tahoma"/>
            <family val="2"/>
          </rPr>
          <t xml:space="preserve">
9 % = vaihto-omaisuuden arvo kuukauden liikevaihdon verran
25 % = vaihto-omaisuudenarvo 3 kk liikevaihdon verran</t>
        </r>
      </text>
    </comment>
    <comment ref="M50" authorId="0" shapeId="0" xr:uid="{6D22AEC3-301A-4D0E-84E2-071E8A59F58F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52" authorId="0" shapeId="0" xr:uid="{00000000-0006-0000-0500-00002E000000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52" authorId="0" shapeId="0" xr:uid="{00000000-0006-0000-0500-00002F000000}">
      <text>
        <r>
          <rPr>
            <sz val="10"/>
            <color indexed="81"/>
            <rFont val="Tahoma"/>
            <family val="2"/>
          </rPr>
          <t>Kiertonopeus on nolla pv, jos myydään vain käteisellä.</t>
        </r>
      </text>
    </comment>
    <comment ref="M52" authorId="1" shapeId="0" xr:uid="{203B3E30-A02B-4E9A-8815-A11A5C1689B0}">
      <text>
        <r>
          <rPr>
            <b/>
            <sz val="10"/>
            <color indexed="81"/>
            <rFont val="Tahoma"/>
            <family val="2"/>
          </rPr>
          <t xml:space="preserve">Tämän rivin luvut siirtyvät viereiseen taulukkoon riville 23. Osingonjako/yksityisotot </t>
        </r>
        <r>
          <rPr>
            <sz val="10"/>
            <color indexed="81"/>
            <rFont val="Tahoma"/>
            <family val="2"/>
          </rPr>
          <t>(solut  H39 - K39)</t>
        </r>
        <r>
          <rPr>
            <b/>
            <sz val="10"/>
            <color indexed="81"/>
            <rFont val="Tahoma"/>
            <family val="2"/>
          </rPr>
          <t xml:space="preserve">.
Osakeyhtiö
</t>
        </r>
        <r>
          <rPr>
            <sz val="10"/>
            <color indexed="81"/>
            <rFont val="Tahoma"/>
            <family val="2"/>
          </rPr>
          <t xml:space="preserve">Osinko laskettu matalasti verotetun 8%:n mukaan. Tästä osingon määrästä osakkaalle 75% on verovapaata ja lopusta 25%:sta maksetaan pääomatulovero. (listaamaton Oy, osinko alle 150 000€). Tämä osinko kannattaisi aina maksaa. 
Määrä lasketaan edellisen tilikauden tilinpäätöksen nettovarallisuudesta. </t>
        </r>
        <r>
          <rPr>
            <b/>
            <sz val="10"/>
            <color indexed="81"/>
            <rFont val="Tahoma"/>
            <family val="2"/>
          </rPr>
          <t xml:space="preserve">
T:mi, Ky ja Ay:
</t>
        </r>
        <r>
          <rPr>
            <sz val="10"/>
            <color indexed="81"/>
            <rFont val="Tahoma"/>
            <family val="2"/>
          </rPr>
          <t xml:space="preserve">Yksityisotot merkitään tähän.
</t>
        </r>
      </text>
    </comment>
    <comment ref="C57" authorId="0" shapeId="0" xr:uid="{00000000-0006-0000-0500-000030000000}">
      <text>
        <r>
          <rPr>
            <sz val="10"/>
            <color indexed="81"/>
            <rFont val="Tahoma"/>
            <family val="2"/>
          </rPr>
          <t xml:space="preserve">Luku kertoo kuinka nopeasti yrityksenne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H57" authorId="0" shapeId="0" xr:uid="{00000000-0006-0000-0500-000031000000}">
      <text>
        <r>
          <rPr>
            <sz val="10"/>
            <color indexed="81"/>
            <rFont val="Tahoma"/>
            <family val="2"/>
          </rPr>
          <t xml:space="preserve">Kiertonopeus on nolla pv, jos maksetaan ostettaessa. 
Onko ostovelkojen kiertonopeus todenmukainen?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  <author>Jadelcons</author>
  </authors>
  <commentList>
    <comment ref="A3" authorId="0" shapeId="0" xr:uid="{2E7B10FE-D421-4799-921B-B5F7CA2811A5}">
      <text>
        <r>
          <rPr>
            <b/>
            <sz val="11"/>
            <color indexed="81"/>
            <rFont val="Tahoma"/>
            <family val="2"/>
          </rPr>
          <t>Ohjelma laskee kassabudjetin ensimmäiselle ja toiselle ennustevuodelle, mutta tarvitsee seuraavia yrityskohtaisia tarkentavia "säätöjä".</t>
        </r>
        <r>
          <rPr>
            <b/>
            <sz val="12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Satunnaiset tuotot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8. Investoinnit sis. alv (kohta 22.) ja Investoinnit alv 0 % (kohta 23.)</t>
        </r>
        <r>
          <rPr>
            <sz val="10"/>
            <color indexed="81"/>
            <rFont val="Tahoma"/>
            <family val="2"/>
          </rPr>
          <t xml:space="preserve">
- Jos investointeja rahoitetaan leasingilla, vähennä rahoitusosuus investoinnin summasta.
</t>
        </r>
        <r>
          <rPr>
            <b/>
            <sz val="10"/>
            <color indexed="81"/>
            <rFont val="Tahoma"/>
            <family val="2"/>
          </rPr>
          <t>24.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29. Osingot, yksityisotot
</t>
        </r>
        <r>
          <rPr>
            <sz val="10"/>
            <color indexed="81"/>
            <rFont val="Tahoma"/>
            <family val="2"/>
          </rPr>
          <t>- Henkilöyhtiön yhtiömiehen yksityisotot ja osakkaalle maksetut osingot pitää muistaa merkitä
Kassabudjetti on ennuste ja kassabudjetin kuukausittaiseen saldoon vaikuttavat mm.: myynti, verovelat ja verosaatavat, palkkavelat työntekijöille ja omistajille, vakuutuksien palautukset. Näistä johtuen TASEen rahat ja pankkisaamiset eivät useimmiten ole sama summa kuin kassabudjetin kassavarat vuoden lopussa.</t>
        </r>
      </text>
    </comment>
    <comment ref="G9" authorId="0" shapeId="0" xr:uid="{00000000-0006-0000-0600-000003000000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10" authorId="1" shapeId="0" xr:uid="{C2F3E1D2-C0BB-4897-A503-5275A52D8FF8}">
      <text>
        <r>
          <rPr>
            <sz val="10"/>
            <color indexed="81"/>
            <rFont val="Tahoma"/>
            <family val="2"/>
          </rPr>
          <t xml:space="preserve">Toimiva yritys:
- rahavarat viimeisessä tilinpäätöksessä </t>
        </r>
      </text>
    </comment>
    <comment ref="G11" authorId="1" shapeId="0" xr:uid="{93CB58D9-C6E9-4F5B-9FC5-EAD7F58058AD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12" authorId="1" shapeId="0" xr:uid="{1F39DCE6-BCA6-4310-8273-35E83FB64F1C}">
      <text>
        <r>
          <rPr>
            <sz val="10"/>
            <color indexed="81"/>
            <rFont val="Tahoma"/>
            <family val="2"/>
          </rPr>
          <t>Merkitse tähän käteismyynnin prosenttiosuus kokonaismyynnistä. 
Ennakkomaksut merkitään käteismyynniksi (katso 8. T4 RAHOITUSSUUN. H59)</t>
        </r>
      </text>
    </comment>
    <comment ref="F12" authorId="2" shapeId="0" xr:uid="{E4A54784-8B72-4ADB-BDDC-AFE6711A84DE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2" authorId="1" shapeId="0" xr:uid="{1109CAE1-AEDD-4C0C-A580-6F8D2BA2A39C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2" authorId="1" shapeId="0" xr:uid="{65B76A97-3C1D-480E-9BD4-C20A10264EE1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13" authorId="1" shapeId="0" xr:uid="{AFC23AAE-25B5-46C6-AB4D-C6128CB891B5}">
      <text>
        <r>
          <rPr>
            <sz val="10"/>
            <color indexed="81"/>
            <rFont val="Tahoma"/>
            <family val="2"/>
          </rPr>
          <t xml:space="preserve">Luku tarkoittaa kuukauden käteismyynnin prosenttiosuutta koko vuoden myynnistä. Kuukausivaihtelut ovat yrityskohtaisia, huomioi myyntiin vaikuttavat tekijät mm. sesongit. lomat, huollot. Koko vuosi on 100 %. </t>
        </r>
      </text>
    </comment>
    <comment ref="F14" authorId="2" shapeId="0" xr:uid="{4920B4D1-BF19-4A2B-BD25-580393FF83DA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4" authorId="1" shapeId="0" xr:uid="{6196E280-97BC-4D7F-A67E-3B22573584C5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4" authorId="1" shapeId="0" xr:uid="{339663BA-F5BC-4A15-98EF-32AA650AF71A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15" authorId="1" shapeId="0" xr:uid="{00956F5D-361A-4956-BE1A-0816E5946DFA}">
      <text>
        <r>
          <rPr>
            <sz val="10"/>
            <color indexed="81"/>
            <rFont val="Tahoma"/>
            <family val="2"/>
          </rPr>
          <t xml:space="preserve">Luku tarkoittaa kuukauden laskutusmyynnin prosenttiosuutta koko vuoden myynnistä. Kuukausivaihtelut ovat yrityskohtaisia, huomioi myyntiin vaikuttavat tekijät mm. sesongit. lomat, huollot. Koko vuosi on 100 %. </t>
        </r>
      </text>
    </comment>
    <comment ref="E16" authorId="0" shapeId="0" xr:uid="{00000000-0006-0000-0600-00000D000000}">
      <text>
        <r>
          <rPr>
            <sz val="10"/>
            <color indexed="81"/>
            <rFont val="Tahoma"/>
            <family val="2"/>
          </rPr>
          <t>Asiakkaiden keskimääräinen maksuaika päivissä. Pisin maksuaika 180 pv.
Laskennallinen luku löytyy T4 Rahoitussuunnitelmasta -&gt; myyntisaatavat -&gt; myyntisaamisten kiertonopeus.</t>
        </r>
      </text>
    </comment>
    <comment ref="G16" authorId="1" shapeId="0" xr:uid="{B6AC6F87-2FFC-4750-9E32-36E30258656B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F17" authorId="2" shapeId="0" xr:uid="{A86E88D9-FA4B-4B9B-942C-6F2AA1BD1475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7" authorId="0" shapeId="0" xr:uid="{E09C05BE-5384-4075-9F0A-66622BB5BA83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Liiketoiminnan muut tuotot (myös alv 0 %-tuotot, huomioi alv-%)
</t>
        </r>
        <r>
          <rPr>
            <b/>
            <sz val="10"/>
            <color indexed="81"/>
            <rFont val="Tahoma"/>
            <family val="2"/>
          </rPr>
          <t>Lisää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
  yms.</t>
        </r>
      </text>
    </comment>
    <comment ref="G18" authorId="0" shapeId="0" xr:uid="{B22EE2CD-01ED-4EA7-95B5-8009D53F470C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F30 Vakuutuskorvaukset  
  kuukausierinä
- Yritystukien tuloutus, lisätty 7. kuukaudelle. Muuta tarvittaessa. </t>
        </r>
      </text>
    </comment>
    <comment ref="M18" authorId="1" shapeId="0" xr:uid="{31F6C837-8C36-4C4E-A127-09DC97786790}">
      <text>
        <r>
          <rPr>
            <sz val="10"/>
            <color indexed="81"/>
            <rFont val="Tahoma"/>
            <family val="2"/>
          </rPr>
          <t xml:space="preserve">Ohjelma lisää avustuksen tuloutuvan 7. kuukautena. Vaihda summa tarvittaessa eri kuukaudelle.  </t>
        </r>
      </text>
    </comment>
    <comment ref="F22" authorId="2" shapeId="0" xr:uid="{68CA6618-63B6-4B4B-9FFC-80032512D1C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22" authorId="0" shapeId="0" xr:uid="{955E841A-9ADE-47F5-B717-9B8130A987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2" authorId="1" shapeId="0" xr:uid="{50A017C3-6BF8-4CA6-8089-504F44A7606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23" authorId="0" shapeId="0" xr:uid="{AC3246E6-2076-4C14-9BA9-40B7C5C9ABB9}">
      <text>
        <r>
          <rPr>
            <sz val="10"/>
            <color indexed="81"/>
            <rFont val="Tahoma"/>
            <family val="2"/>
          </rPr>
          <t>Ostovelkojen kiertoaika on sama kuin 8. T4 RAHOITUSSUUN.-taulukon solussa H57.
Pisin maksuaika 90 pv.</t>
        </r>
      </text>
    </comment>
    <comment ref="F25" authorId="2" shapeId="0" xr:uid="{049100B0-26A2-45CB-A32A-92B223D3F31B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AV25" authorId="1" shapeId="0" xr:uid="{DEF98397-3512-440D-8FDB-D1C5183E9BA2}">
      <text>
        <r>
          <rPr>
            <b/>
            <sz val="9"/>
            <color indexed="81"/>
            <rFont val="Tahoma"/>
            <family val="2"/>
          </rPr>
          <t>2026 Sairausvakuutusmaksu 1,91 %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W25" authorId="1" shapeId="0" xr:uid="{A2E12D80-2E7D-4F2C-A34C-BE3734EFFD5D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D25" authorId="1" shapeId="0" xr:uid="{16DEE4DC-9576-4D35-A1A0-0485734596A1}">
      <text>
        <r>
          <rPr>
            <b/>
            <sz val="9"/>
            <color indexed="81"/>
            <rFont val="Tahoma"/>
            <family val="2"/>
          </rPr>
          <t xml:space="preserve">2026
Työntekijä maksaa
TT-vakuutusmaksu 0,89 % + TyEL-maksu 7,3 %
</t>
        </r>
      </text>
    </comment>
    <comment ref="F26" authorId="2" shapeId="0" xr:uid="{79AB5541-C596-4D08-9CDD-B6D059C3AACC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26" authorId="0" shapeId="0" xr:uid="{FF7967C1-44B3-4216-AE03-1408683B3FDC}">
      <text>
        <r>
          <rPr>
            <b/>
            <sz val="10"/>
            <color indexed="81"/>
            <rFont val="Tahoma"/>
            <family val="2"/>
          </rPr>
          <t xml:space="preserve">Sijoita investoinnit oikeille kuukausille! 
Muut aineelliset hyödykkeet
- jos arvonlisäverottomia investointeja </t>
        </r>
        <r>
          <rPr>
            <sz val="10"/>
            <color indexed="81"/>
            <rFont val="Tahoma"/>
            <family val="2"/>
          </rPr>
          <t>(taulukko 1. T1 Investointisuunnitelma)</t>
        </r>
        <r>
          <rPr>
            <b/>
            <sz val="10"/>
            <color indexed="81"/>
            <rFont val="Tahoma"/>
            <family val="2"/>
          </rPr>
          <t xml:space="preserve">: </t>
        </r>
        <r>
          <rPr>
            <sz val="10"/>
            <color indexed="81"/>
            <rFont val="Tahoma"/>
            <family val="2"/>
          </rPr>
          <t>siirrä arvonlisäverottomien investointien osuus kohtaan 22. Investoinnit alv 0 % tässä taulukossa.</t>
        </r>
      </text>
    </comment>
    <comment ref="AW26" authorId="1" shapeId="0" xr:uid="{2637E025-4241-4E5C-B790-835A1A292785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7" authorId="2" shapeId="0" xr:uid="{ACB89C89-9EF1-4821-B949-44AB29D2B511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AW27" authorId="1" shapeId="0" xr:uid="{B0E66862-2E58-48A7-BECD-2A13F2F1EFBB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8" authorId="2" shapeId="0" xr:uid="{06A44B37-744B-4646-9D45-B835FF8DAAE9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F29" authorId="2" shapeId="0" xr:uid="{889C5368-286F-4179-BACE-77E89E17EA85}">
      <text>
        <r>
          <rPr>
            <b/>
            <sz val="10"/>
            <color indexed="81"/>
            <rFont val="Tahoma"/>
            <family val="2"/>
          </rPr>
          <t>Laskennallinen painotettu keskiarvo.</t>
        </r>
      </text>
    </comment>
    <comment ref="C30" authorId="1" shapeId="0" xr:uid="{C7076348-94DE-4225-9DB5-4DF206ECBDA1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
• negatiivinen summa tarkoittaa arvonlisäveron palautusta
• positiivinen summa tarkoittaa arvonlisäveron maksamista</t>
        </r>
      </text>
    </comment>
    <comment ref="M31" authorId="1" shapeId="0" xr:uid="{BF6381FE-00A0-4422-9504-44DC013D655D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32" authorId="1" shapeId="0" xr:uid="{71B66B73-0535-41F0-8C4A-616C04814945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 kiinteä maksu kuukausittain,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33" authorId="1" shapeId="0" xr:uid="{11F1E7BC-B076-4510-A5DA-63F0D6302B42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33" authorId="1" shapeId="0" xr:uid="{77F0B060-8DDC-40E9-8FD8-FACEA1F10448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35" authorId="1" shapeId="0" xr:uid="{F3BF03EE-651B-4908-BB41-F1FB062C086D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36" authorId="1" shapeId="0" xr:uid="{3AC28E6D-8BB9-4EB9-91A8-1710BAB095E7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9" authorId="0" shapeId="0" xr:uid="{00000000-0006-0000-0600-00002C000000}">
      <text>
        <r>
          <rPr>
            <sz val="10"/>
            <color indexed="81"/>
            <rFont val="Tahoma"/>
            <family val="2"/>
          </rPr>
          <t>Ei sisällä osamaksuvelkojen korkoja. Ovat kohdassa 26.</t>
        </r>
      </text>
    </comment>
    <comment ref="T48" authorId="1" shapeId="0" xr:uid="{07040045-7773-4047-BBFF-F69A496B48C5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9" authorId="0" shapeId="0" xr:uid="{4D78EC08-EA58-41E1-B791-38055BC3691A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
4. T7 LAINAT. 
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50" authorId="1" shapeId="0" xr:uid="{E3194E80-B3A5-4EA0-A79E-808BBE38C185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50" authorId="1" shapeId="0" xr:uid="{A4417D69-8256-4D02-9EFB-FCF784A71F24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51" authorId="1" shapeId="0" xr:uid="{B2C9C0D3-1C77-438C-8536-4DED22BB8FC5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2" authorId="1" shapeId="0" xr:uid="{DC4D0364-E23A-4071-B635-3D0FD0F53E0B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
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3" authorId="1" shapeId="0" xr:uid="{3DCF3064-190A-451C-ABA1-17C93F283B5F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13. 
Sijoita oikealle kuukaudelle. </t>
        </r>
      </text>
    </comment>
    <comment ref="R57" authorId="1" shapeId="0" xr:uid="{DD76BB89-1646-454C-8ED1-CEC176E6BA5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  <comment ref="G65" authorId="0" shapeId="0" xr:uid="{E9ECF0D9-60DE-4413-ADBC-F7C801ABB6E9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67" authorId="1" shapeId="0" xr:uid="{ED56435B-F49C-4296-BD5F-682FFEF8EFEE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68" authorId="1" shapeId="0" xr:uid="{B54A9699-8F41-4006-8A82-83426904388A}">
      <text>
        <r>
          <rPr>
            <sz val="10"/>
            <color indexed="81"/>
            <rFont val="Tahoma"/>
            <family val="2"/>
          </rPr>
          <t>Merkitse tähän käteismyynnin prosenttiosuus kokonaismyynnistä.</t>
        </r>
      </text>
    </comment>
    <comment ref="F68" authorId="2" shapeId="0" xr:uid="{2EEADAD4-AFB7-4961-B80B-52075627CB5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68" authorId="1" shapeId="0" xr:uid="{AB04E0CE-3BC5-4F7F-8A93-C03098FE38E1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68" authorId="1" shapeId="0" xr:uid="{398F4FEB-07A9-486F-9066-592699E9F64B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69" authorId="1" shapeId="0" xr:uid="{98E71D29-5DA0-4167-8635-DA8FE1EF5DE3}">
      <text>
        <r>
          <rPr>
            <sz val="10"/>
            <color indexed="81"/>
            <rFont val="Tahoma"/>
            <family val="2"/>
          </rPr>
          <t xml:space="preserve">Luku tarkoittaa kuukauden käteismyynnin prosenttiosuutta koko vuoden myynnistä. Kuukausivaihtelut ovat yrityskohtaisia, huomioi myyntiin vaikuttavat tekijät mm. sesongit. lomat, huollot. Koko vuosi on 100 %. </t>
        </r>
      </text>
    </comment>
    <comment ref="F70" authorId="2" shapeId="0" xr:uid="{51C788C7-F81A-4313-B119-0A9C748854C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70" authorId="1" shapeId="0" xr:uid="{252D0143-2245-4254-B813-3CBC49CFB967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70" authorId="1" shapeId="0" xr:uid="{C290DD74-DDDA-4D83-9025-50BC78488894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71" authorId="1" shapeId="0" xr:uid="{792874A1-1871-4E93-B91D-62EEB0ED7952}">
      <text>
        <r>
          <rPr>
            <sz val="10"/>
            <color indexed="81"/>
            <rFont val="Tahoma"/>
            <family val="2"/>
          </rPr>
          <t xml:space="preserve">Luku tarkoittaa kuukauden laskutusmyynnin prosenttiosuutta koko vuoden myynnistä. Kuukausivaihtelut ovat yrityskohtaisia, huomioi myyntiin vaikuttavat tekijät mm. sesongit. lomat, huollot. Koko vuosi on 100 %. </t>
        </r>
      </text>
    </comment>
    <comment ref="E72" authorId="0" shapeId="0" xr:uid="{E4E1BAA0-A895-433D-86AB-F0519B289FB0}">
      <text>
        <r>
          <rPr>
            <sz val="10"/>
            <color indexed="81"/>
            <rFont val="Tahoma"/>
            <family val="2"/>
          </rPr>
          <t>Asiakkaiden keskimääräinen maksuaika päivissä. 
Pisin maksuaika 180 pv.
Laskennallinen luku löytyy T4 Rahoitussuunnitelmasta -&gt; myyntisaatavat -&gt; myyntisaamisten kiertonopeus.</t>
        </r>
      </text>
    </comment>
    <comment ref="G72" authorId="1" shapeId="0" xr:uid="{7DFFE709-9EFA-4AFF-A3C6-FB0608FDAF51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73" authorId="0" shapeId="0" xr:uid="{9B635F59-B1D4-47FA-9F5B-BBF8E6993D79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Liiketoiminnan muut tuotot (myös alv 0 %-tuotot, huomioi alv-%)
</t>
        </r>
        <r>
          <rPr>
            <b/>
            <sz val="10"/>
            <color indexed="81"/>
            <rFont val="Tahoma"/>
            <family val="2"/>
          </rPr>
          <t>Lisää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
  yms.</t>
        </r>
      </text>
    </comment>
    <comment ref="G74" authorId="0" shapeId="0" xr:uid="{E9BA90B0-164E-4C91-92A2-8AC3FCC049B8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H30 Vakuutuskorvaukset kuukausierinä
- Yritystukien tuloutus, lisätty 7. kuukaudelle. Muuta tarvittaessa. </t>
        </r>
      </text>
    </comment>
    <comment ref="M74" authorId="2" shapeId="0" xr:uid="{5492D19D-20C0-473A-9F23-FFA7EF027D59}">
      <text>
        <r>
          <rPr>
            <sz val="10"/>
            <color indexed="81"/>
            <rFont val="Tahoma"/>
            <family val="2"/>
          </rPr>
          <t xml:space="preserve">Avustus arvioidaan saatavan 7. kuukautena. Vaihda summa tarvittaessa eri kuukaudelle.  </t>
        </r>
      </text>
    </comment>
    <comment ref="F78" authorId="2" shapeId="0" xr:uid="{3D22B26B-9FA5-4FED-91D3-4DBB01DDA1C3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78" authorId="0" shapeId="0" xr:uid="{04279FA4-5592-484B-ACC8-713E695356AA}">
      <text>
        <r>
          <rPr>
            <sz val="10"/>
            <color indexed="81"/>
            <rFont val="Tahoma"/>
            <family val="2"/>
          </rPr>
          <t>Ohjelma laskee myynnin mukaan tarvittavat aine- ja tarvikehankinnat.
Kuinka suurina erinä ostetaan ja mille kuukausille laskut saapuvat? 
Muuta taulukkoon tarvittaessa.</t>
        </r>
      </text>
    </comment>
    <comment ref="T78" authorId="1" shapeId="0" xr:uid="{E482E4FE-A060-41B6-AE71-4C0A38819D0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79" authorId="0" shapeId="0" xr:uid="{ECA4D3E8-0819-4B9C-916E-CF3ACA6AB33F}">
      <text>
        <r>
          <rPr>
            <sz val="10"/>
            <color indexed="81"/>
            <rFont val="Tahoma"/>
            <family val="2"/>
          </rPr>
          <t>Ostovelkojen kiertoaika on sama kuin 8. T4 RAHOITUSSUUN.-taulukon solussa H57. Pisin maksuaika 90 pv.</t>
        </r>
      </text>
    </comment>
    <comment ref="F81" authorId="2" shapeId="0" xr:uid="{D7F31C89-499E-4AB4-932A-996C987C6FD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82" authorId="0" shapeId="0" xr:uid="{85C702BA-F805-460A-93BE-E2FB83376C2E}">
      <text>
        <r>
          <rPr>
            <b/>
            <sz val="10"/>
            <color indexed="81"/>
            <rFont val="Tahoma"/>
            <family val="2"/>
          </rPr>
          <t xml:space="preserve">Sijoita investoinnit oikeille kuukausille! 
Muut aineelliset hyödykkeet
- jos arvonlisäverottomia investointeja </t>
        </r>
        <r>
          <rPr>
            <sz val="10"/>
            <color indexed="81"/>
            <rFont val="Tahoma"/>
            <family val="2"/>
          </rPr>
          <t>(taulukko 1. T1 Investointisuunnitelma)</t>
        </r>
        <r>
          <rPr>
            <b/>
            <sz val="10"/>
            <color indexed="81"/>
            <rFont val="Tahoma"/>
            <family val="2"/>
          </rPr>
          <t xml:space="preserve">: </t>
        </r>
        <r>
          <rPr>
            <sz val="10"/>
            <color indexed="81"/>
            <rFont val="Tahoma"/>
            <family val="2"/>
          </rPr>
          <t>siirrä arvonlisäverottomien investointien osuus kohtaan 22. Investoinnit alv 0 % tässä taulukossa.</t>
        </r>
      </text>
    </comment>
    <comment ref="F85" authorId="2" shapeId="0" xr:uid="{2C672F40-4503-4886-98D7-F0002342EA31}">
      <text>
        <r>
          <rPr>
            <b/>
            <sz val="10"/>
            <color indexed="81"/>
            <rFont val="Tahoma"/>
            <family val="2"/>
          </rPr>
          <t>Laskennallinen painotettu keskiarvo.</t>
        </r>
      </text>
    </comment>
    <comment ref="C86" authorId="1" shapeId="0" xr:uid="{A44FE11F-0259-40B7-841F-AB3A22BE93FE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
• negatiivinen summa tarkoittaa arvonlisäveron palautusta
• positiivinen summa tarkoittaa arvonlisäveron maksamista</t>
        </r>
      </text>
    </comment>
    <comment ref="M87" authorId="1" shapeId="0" xr:uid="{FED9E430-E6F6-41FD-B585-E568B40205AB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88" authorId="1" shapeId="0" xr:uid="{30D83A6B-4713-4FBD-A6B8-A394429A599C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
- kiinteä maksu kuukausittain (vuosilaskelma,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89" authorId="1" shapeId="0" xr:uid="{38848F0F-3930-4705-B997-36ED18408747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89" authorId="1" shapeId="0" xr:uid="{482FA2B6-F3D4-467E-BB83-EB8A0813E4FD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91" authorId="1" shapeId="0" xr:uid="{3AD312DD-D1B5-4D36-A8D5-6A960935E65B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92" authorId="1" shapeId="0" xr:uid="{91619C39-7F92-4EA7-9FDD-96FF207B2C9A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95" authorId="0" shapeId="0" xr:uid="{DA45FADC-2D79-47E9-9145-FD9600B61565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AL102" authorId="1" shapeId="0" xr:uid="{20BB6BF9-7E89-434D-BDA6-30C68B3B0EE0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  <comment ref="T104" authorId="1" shapeId="0" xr:uid="{C2353649-2DB3-459E-AAE3-6CA93618E01C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105" authorId="0" shapeId="0" xr:uid="{0070AFF9-01FE-466D-BD96-67AD90538D40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4. T7 LAINAT. 
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106" authorId="1" shapeId="0" xr:uid="{B49168DD-BDA7-4ADE-8E99-F6842C7982DE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106" authorId="1" shapeId="0" xr:uid="{BCC892DC-CD63-494A-B1A6-FE7B7213E2C2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107" authorId="1" shapeId="0" xr:uid="{18B149FD-4069-4BF4-8ECA-77E7DB97EC84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108" authorId="1" shapeId="0" xr:uid="{8B92976D-F6D1-4830-A094-B6789F92E720}">
      <text>
        <r>
          <rPr>
            <sz val="10"/>
            <color indexed="81"/>
            <rFont val="Tahoma"/>
            <family val="2"/>
          </rPr>
          <t xml:space="preserve">Omistajien antamat lisäsijoitukset 1. T1 INVESTOINTISUUNNITELMASTA. Sijoita oikealle kuukaudelle. </t>
        </r>
      </text>
    </comment>
    <comment ref="G109" authorId="1" shapeId="0" xr:uid="{C286ADDE-90E4-4ED4-B466-FBB8737251ED}">
      <text>
        <r>
          <rPr>
            <sz val="10"/>
            <color indexed="81"/>
            <rFont val="Tahoma"/>
            <family val="2"/>
          </rPr>
          <t xml:space="preserve">Omistajien antamat pääomalainat 1. T1 INVESTOINTISUUNNITELMASTA. Sijoita oikealle kuukaudelle. </t>
        </r>
      </text>
    </comment>
    <comment ref="R113" authorId="1" shapeId="0" xr:uid="{EB7CF380-D093-470C-B103-4DAE3E6D3FD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Omistaja</author>
  </authors>
  <commentList>
    <comment ref="I3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N30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T30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Z30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F30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L30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B73" authorId="1" shapeId="0" xr:uid="{BD4029EB-A653-4315-B07E-0B8466A9E335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  <comment ref="B74" authorId="1" shapeId="0" xr:uid="{FDC69C16-E02B-4270-9644-F3C9561CF2D3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<sst xmlns="http://schemas.openxmlformats.org/spreadsheetml/2006/main" count="1760" uniqueCount="761">
  <si>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</si>
  <si>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</si>
  <si>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</si>
  <si>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</si>
  <si>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</si>
  <si>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</si>
  <si>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</si>
  <si>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</si>
  <si>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</si>
  <si>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</si>
  <si>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</si>
  <si>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</si>
  <si>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</si>
  <si>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Henkilöstökulut</t>
  </si>
  <si>
    <t>%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</si>
  <si>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</si>
  <si>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</si>
  <si>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</si>
  <si>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</si>
  <si>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</si>
  <si>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</si>
  <si>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>2.2 Muut henkilösivukulut</t>
  </si>
  <si>
    <t>LIIKETOIMINNAN MUUT KULUT</t>
  </si>
  <si>
    <t>3.1 Muut henkilöstökulut</t>
  </si>
  <si>
    <t>3.2 Toimitilakustannukset</t>
  </si>
  <si>
    <t>1.1 YEL-yrittäjät</t>
  </si>
  <si>
    <t>3.4. Atk-laite ja -ohjelmakulut</t>
  </si>
  <si>
    <t>3.6 Matkakulut</t>
  </si>
  <si>
    <t>3.7 Matkakustannusten korvaukset</t>
  </si>
  <si>
    <t>3.8 Edustuskulut</t>
  </si>
  <si>
    <t>3.10 Markkinointikulut</t>
  </si>
  <si>
    <t xml:space="preserve">3.11 Tutkimus- ja tuotekehityskulut </t>
  </si>
  <si>
    <t xml:space="preserve">3.12 Hallintopalvelut </t>
  </si>
  <si>
    <t>3.14 Tieto- ja rahaliikenne</t>
  </si>
  <si>
    <t>3.16 Toimistotarvikkeet</t>
  </si>
  <si>
    <t>3.17 Kokous- ja neuvottelukulut</t>
  </si>
  <si>
    <t>HENKILÖSTÖKULUT YHTEENSÄ</t>
  </si>
  <si>
    <t>LIIKEVAIHTO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</si>
  <si>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</si>
  <si>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</si>
  <si>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</si>
  <si>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</si>
  <si>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</si>
  <si>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</si>
  <si>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VOITTO (TAPPIO) ENNEN TILINPÄÄTÖSSIIRTOJA JA VEROJA</t>
  </si>
  <si>
    <t>Tuloverot</t>
  </si>
  <si>
    <t>Muistiinpanoja:</t>
  </si>
  <si>
    <t>+</t>
  </si>
  <si>
    <t>-</t>
  </si>
  <si>
    <t>TILIKAUDEN VOITTO/TAPPIO</t>
  </si>
  <si>
    <t xml:space="preserve">    </t>
  </si>
  <si>
    <t>Päivämäärä</t>
  </si>
  <si>
    <t xml:space="preserve"> Vieras rahoitus</t>
  </si>
  <si>
    <t>+/-</t>
  </si>
  <si>
    <t>Tuotot osuuksista ja muista sijoituksista</t>
  </si>
  <si>
    <t>Ennuste 2</t>
  </si>
  <si>
    <t>Ennuste  1</t>
  </si>
  <si>
    <t>Ennuste 3</t>
  </si>
  <si>
    <t>Toteutunut tilikausi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</si>
  <si>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</si>
  <si>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</si>
  <si>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</si>
  <si>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</si>
  <si>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</si>
  <si>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</si>
  <si>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</si>
  <si>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</si>
  <si>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</si>
  <si>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</si>
  <si>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</si>
  <si>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</si>
  <si>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</si>
  <si>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</si>
  <si>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</si>
  <si>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</si>
  <si>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</si>
  <si>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</si>
  <si>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</si>
  <si>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</si>
  <si>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VUOSITTAIN MAKSETTAVAT LYHENNYKSET JA KOROT</t>
  </si>
  <si>
    <t>Korko-%</t>
  </si>
  <si>
    <t>Luotonantaja</t>
  </si>
  <si>
    <t>Lyhennys</t>
  </si>
  <si>
    <t>Korko</t>
  </si>
  <si>
    <t>UUDET LAINAT</t>
  </si>
  <si>
    <t>Määrä</t>
  </si>
  <si>
    <t>Nosto</t>
  </si>
  <si>
    <t>PO loppu</t>
  </si>
  <si>
    <t>Nykyiset lainat yhteensä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</si>
  <si>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</si>
  <si>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</si>
  <si>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</si>
  <si>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</si>
  <si>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</si>
  <si>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</si>
  <si>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</si>
  <si>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</si>
  <si>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</si>
  <si>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</si>
  <si>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</si>
  <si>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</si>
  <si>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</si>
  <si>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</si>
  <si>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>YHT</t>
  </si>
  <si>
    <t xml:space="preserve"> Käteismyynti, myyntisosuus</t>
  </si>
  <si>
    <t xml:space="preserve"> - myynnin kuukausijakautuma</t>
  </si>
  <si>
    <t xml:space="preserve"> Laskutusmyynti</t>
  </si>
  <si>
    <t xml:space="preserve"> - myynnin kuukausijakautuma </t>
  </si>
  <si>
    <t xml:space="preserve"> Osingot, yksityiskäyttö</t>
  </si>
  <si>
    <t>TULOT - MENOT</t>
  </si>
  <si>
    <t xml:space="preserve"> Omistajien lisäsijoitukset</t>
  </si>
  <si>
    <t xml:space="preserve"> Muu pääomarahoitus</t>
  </si>
  <si>
    <t>Pidätys-%</t>
  </si>
  <si>
    <t>Alv -%</t>
  </si>
  <si>
    <t>Alv-%</t>
  </si>
  <si>
    <t>11.</t>
  </si>
  <si>
    <t>12.</t>
  </si>
  <si>
    <t>14.</t>
  </si>
  <si>
    <t>15.</t>
  </si>
  <si>
    <t>16.</t>
  </si>
  <si>
    <t>17.</t>
  </si>
  <si>
    <t>18.</t>
  </si>
  <si>
    <t>19.</t>
  </si>
  <si>
    <t>T5 KASSABUDJETTI</t>
  </si>
  <si>
    <t>Oma rahoitus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</si>
  <si>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</si>
  <si>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</si>
  <si>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</si>
  <si>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</si>
  <si>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</si>
  <si>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</si>
  <si>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</si>
  <si>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</si>
  <si>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YEL-henkilöt </t>
  </si>
  <si>
    <t>Verotettava</t>
  </si>
  <si>
    <t>tulo</t>
  </si>
  <si>
    <r>
      <t xml:space="preserve">3.9 Myyntikulut </t>
    </r>
    <r>
      <rPr>
        <sz val="9"/>
        <rFont val="Arial"/>
        <family val="2"/>
      </rPr>
      <t>(mm. palkkiot, provisiot)</t>
    </r>
  </si>
  <si>
    <t>Lainamäärä</t>
  </si>
  <si>
    <t>Lainamäärä viimeisessä tilinpää-töksessä</t>
  </si>
  <si>
    <t xml:space="preserve"> - avustus-%</t>
  </si>
  <si>
    <t xml:space="preserve"> PÄÄOMANTARVE (euroa)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</si>
  <si>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</si>
  <si>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</si>
  <si>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</si>
  <si>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</si>
  <si>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</si>
  <si>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</si>
  <si>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</si>
  <si>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t>Sijoitukset</t>
  </si>
  <si>
    <t>Saamiset</t>
  </si>
  <si>
    <t>1. Myyntisaamiset</t>
  </si>
  <si>
    <t>Rahoitusarvopaperit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</si>
  <si>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</si>
  <si>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</si>
  <si>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</si>
  <si>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</si>
  <si>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</si>
  <si>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</si>
  <si>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</si>
  <si>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</si>
  <si>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</si>
  <si>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1. Poistoero</t>
  </si>
  <si>
    <t>Vuosipoisto</t>
  </si>
  <si>
    <t xml:space="preserve">C. </t>
  </si>
  <si>
    <t>PAKOLLISET VARAUKSET</t>
  </si>
  <si>
    <t xml:space="preserve">D. </t>
  </si>
  <si>
    <t>1. Lainat rahoituslaitoksilta</t>
  </si>
  <si>
    <t>Vanhat osamaksuvelat</t>
  </si>
  <si>
    <t>Ensimmäinen kausi</t>
  </si>
  <si>
    <t>Viimeinen kausi</t>
  </si>
  <si>
    <t>Nykyiset osamaksuvelat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</si>
  <si>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</si>
  <si>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</si>
  <si>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</si>
  <si>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</si>
  <si>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</si>
  <si>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</si>
  <si>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</si>
  <si>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</si>
  <si>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</si>
  <si>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</si>
  <si>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</si>
  <si>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</si>
  <si>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</si>
  <si>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>VASTAAVAA YHTEENSÄ</t>
  </si>
  <si>
    <t xml:space="preserve"> - arvon avustuksen jälkeen alv 0</t>
  </si>
  <si>
    <t xml:space="preserve">T3 TASE </t>
  </si>
  <si>
    <t>2. Osatuloutuksen saamiset</t>
  </si>
  <si>
    <t>6. Saadut ennakot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</si>
  <si>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</si>
  <si>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</si>
  <si>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</si>
  <si>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</si>
  <si>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</si>
  <si>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</si>
  <si>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</si>
  <si>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</si>
  <si>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</si>
  <si>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 xml:space="preserve"> RAHOITUS (euroa)</t>
  </si>
  <si>
    <t xml:space="preserve"> +/-</t>
  </si>
  <si>
    <t>Oma pääoma</t>
  </si>
  <si>
    <t>1. Osakepääoma tms.</t>
  </si>
  <si>
    <t>2. Edellisten tilikausien voitot</t>
  </si>
  <si>
    <t xml:space="preserve">1. Maa- ja vesialueet </t>
  </si>
  <si>
    <t>Muut saamiset</t>
  </si>
  <si>
    <t>Vanhat yhteensä</t>
  </si>
  <si>
    <t xml:space="preserve"> -/+</t>
  </si>
  <si>
    <t>Myyntisaamisten kiertonopeus (pv)</t>
  </si>
  <si>
    <t>Ennuste 5</t>
  </si>
  <si>
    <t>Uudet osamaksuvelat 4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</si>
  <si>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</si>
  <si>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</si>
  <si>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</si>
  <si>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</si>
  <si>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</si>
  <si>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</si>
  <si>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</si>
  <si>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</si>
  <si>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</si>
  <si>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</si>
  <si>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Tilikauden voitto</t>
  </si>
  <si>
    <t xml:space="preserve"> Tilikauden voitto-%</t>
  </si>
  <si>
    <t xml:space="preserve"> Quick ratio</t>
  </si>
  <si>
    <t xml:space="preserve"> Current ratio</t>
  </si>
  <si>
    <t>VAKAVARAISUUS</t>
  </si>
  <si>
    <t xml:space="preserve"> Omavaraisuusaste</t>
  </si>
  <si>
    <t>Yhteens</t>
  </si>
  <si>
    <t xml:space="preserve"> Toteutunut tilikausi, siirtosaamisten %-osuus liikevaihdosta</t>
  </si>
  <si>
    <t>LAINAT TASEESSA</t>
  </si>
  <si>
    <t>Vanhat lainat</t>
  </si>
  <si>
    <t>3. Osingonjako, yksityisotot</t>
  </si>
  <si>
    <t>3. Muut saamiset</t>
  </si>
  <si>
    <t>4. Siirtosaamiset</t>
  </si>
  <si>
    <t>Lyhytaik.</t>
  </si>
  <si>
    <t>Pitkäaik.</t>
  </si>
  <si>
    <t>kaudella</t>
  </si>
  <si>
    <t>Lainat taseessa ko. vuonna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</si>
  <si>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</si>
  <si>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</si>
  <si>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</si>
  <si>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</si>
  <si>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</si>
  <si>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>Rahoitus yhteensä</t>
  </si>
  <si>
    <t xml:space="preserve">3.13 Tiedonhankinta </t>
  </si>
  <si>
    <t>Arvosana</t>
  </si>
  <si>
    <t>1.2 Tuntipalkkaiset työntekijät / TyEL-yrittäjät</t>
  </si>
  <si>
    <t>1.3 Toimihenkilöt / TyEL-yrittäjät</t>
  </si>
  <si>
    <t xml:space="preserve"> Lainojen nostot ja osamaksujen lisäykset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</si>
  <si>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</si>
  <si>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</si>
  <si>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</si>
  <si>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</si>
  <si>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</si>
  <si>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>4. Tilikauden voitto/tappio</t>
  </si>
  <si>
    <t xml:space="preserve">Muu lyhytaik. vieraan po:n lisäys/vähennys     </t>
  </si>
  <si>
    <t xml:space="preserve">  </t>
  </si>
  <si>
    <t>aika</t>
  </si>
  <si>
    <t xml:space="preserve"> Investoinnit alv 0  %</t>
  </si>
  <si>
    <t xml:space="preserve"> RAHAN KÄYTTÖ</t>
  </si>
  <si>
    <t xml:space="preserve"> RAHAN LÄHTEET</t>
  </si>
  <si>
    <t xml:space="preserve"> KÄYTTÖPÄÄOMA</t>
  </si>
  <si>
    <t>Tuloveroprosentti</t>
  </si>
  <si>
    <t>Ennuste 5 ei näkyvissä</t>
  </si>
  <si>
    <t xml:space="preserve"> Lainojen lyhennykset </t>
  </si>
  <si>
    <t>5. Sijoitetun vapaan pääoman rahasto</t>
  </si>
  <si>
    <t>1.4 Saadut vakuutusmaksukorvaukset</t>
  </si>
  <si>
    <t>Alv-laskelma kassabudj.</t>
  </si>
  <si>
    <t>Alv:n osuus</t>
  </si>
  <si>
    <t>ALV myynnistä</t>
  </si>
  <si>
    <t>Alv ostoista</t>
  </si>
  <si>
    <t>Veron määrä</t>
  </si>
  <si>
    <t>Suunnitelman mukaiset poistot</t>
  </si>
  <si>
    <t>LIIKETULOS</t>
  </si>
  <si>
    <t>Muut korko- ja rahoitustuotot</t>
  </si>
  <si>
    <t>Muut korko- ja rahoituskulut</t>
  </si>
  <si>
    <t>13.</t>
  </si>
  <si>
    <t>2.5 Muut henkilövakuutusmaksut</t>
  </si>
  <si>
    <t>Kassaan 1. kk</t>
  </si>
  <si>
    <t>Kassaan 2. kk</t>
  </si>
  <si>
    <t>Kassaan 3. kk</t>
  </si>
  <si>
    <t>Kassaan 4. kk</t>
  </si>
  <si>
    <t>Kassaan 5. kk</t>
  </si>
  <si>
    <t>Kassaan 6. kk</t>
  </si>
  <si>
    <t>&lt;31 pv</t>
  </si>
  <si>
    <t>Kassaan 7. kk</t>
  </si>
  <si>
    <t>Maksut tilille myynneistä</t>
  </si>
  <si>
    <t>Maksut yhteensä</t>
  </si>
  <si>
    <t>31 - 60 pv</t>
  </si>
  <si>
    <t>61 - 90 pv</t>
  </si>
  <si>
    <t>91 - 120 pv</t>
  </si>
  <si>
    <t>121 - 150 pv</t>
  </si>
  <si>
    <t>150  - 180 pv</t>
  </si>
  <si>
    <t>Maksuehto  &lt; 30 pv</t>
  </si>
  <si>
    <t>Maksuehto 31 - 60 pv</t>
  </si>
  <si>
    <t>Maksuehto 61 - 90 pv</t>
  </si>
  <si>
    <t>Maksuehto 91 - 120 pv</t>
  </si>
  <si>
    <t>Maksuehto 121 - 150 pv</t>
  </si>
  <si>
    <t>Maksuehto 151 - 180 pv</t>
  </si>
  <si>
    <t xml:space="preserve">NYKYISET PITKÄAIKAISET LAINAT </t>
  </si>
  <si>
    <t>Tilikauden pituus (kuukautta)</t>
  </si>
  <si>
    <t>12</t>
  </si>
  <si>
    <t>Toteutunut</t>
  </si>
  <si>
    <t>Myyntisaatavien kiertoaika</t>
  </si>
  <si>
    <t>Toteutunut maksuaika pv</t>
  </si>
  <si>
    <t>Myyntisaamiset edell. tilikausi</t>
  </si>
  <si>
    <t xml:space="preserve">Myyntisaamiset/pv  </t>
  </si>
  <si>
    <t>Myynti tilikaudella</t>
  </si>
  <si>
    <t>Investointi käytössä kuukausina tilikauden aikana</t>
  </si>
  <si>
    <t>TÄMÄN RIVIN TIEDOT SIIRTYVÄT MYÖHEMMIN TAULUKOSTA T4 RAHOITUSSUUNNITELMA.</t>
  </si>
  <si>
    <t xml:space="preserve"> Osingon/yksityisoton osuus nettovarallisuudesta</t>
  </si>
  <si>
    <t xml:space="preserve"> Nostettava osinko/yksityisotot</t>
  </si>
  <si>
    <t>I.</t>
  </si>
  <si>
    <t>II.</t>
  </si>
  <si>
    <t>III.</t>
  </si>
  <si>
    <t>I .</t>
  </si>
  <si>
    <t>IV.</t>
  </si>
  <si>
    <t>Kassan riittävyys / Muut kiinteät kulut (pv)</t>
  </si>
  <si>
    <t xml:space="preserve">- </t>
  </si>
  <si>
    <t xml:space="preserve"> Vieraan pääoman takaisinmaksuaika (vuotta)</t>
  </si>
  <si>
    <t>RAHAN LÄHTEET JA RAHAN KÄYTTÖ</t>
  </si>
  <si>
    <t>Valmistus omaan käyttöön</t>
  </si>
  <si>
    <t>Verotusperusteisten varausten lisäys/vähen.</t>
  </si>
  <si>
    <t xml:space="preserve"> Kriisitunnusluku Z, 3 muuttujaa</t>
  </si>
  <si>
    <t>Enn. 1</t>
  </si>
  <si>
    <t>Enn. 2</t>
  </si>
  <si>
    <t>Enn. 3</t>
  </si>
  <si>
    <t>Enn. 4</t>
  </si>
  <si>
    <t>Yht.</t>
  </si>
  <si>
    <t>1000 €</t>
  </si>
  <si>
    <t>Verotusperusteisten varausten lis./vähen.</t>
  </si>
  <si>
    <t>T3 TASE</t>
  </si>
  <si>
    <t>2. Verotusperusteiset varaukset</t>
  </si>
  <si>
    <t>Ostovelkojen kiertonopeus (pv)</t>
  </si>
  <si>
    <t xml:space="preserve">  T2 TULOSSUUNNITELMA</t>
  </si>
  <si>
    <t xml:space="preserve"> Vieraan po:n takaisinmaksuaika (vuotta)</t>
  </si>
  <si>
    <t>KUMULATIIVINEN KASSA KUUKAUDEN LOPUSSA</t>
  </si>
  <si>
    <t>Korko- ja rahoitustuotot</t>
  </si>
  <si>
    <t>Korko- ja rahoituskulut</t>
  </si>
  <si>
    <t>20.</t>
  </si>
  <si>
    <t>Saadut ennakot, osuus liikevaihdosta</t>
  </si>
  <si>
    <t>Osatuloutukset, osuus liikevaihdosta</t>
  </si>
  <si>
    <t>Jos kuvat eivät lataudu niin pyöräytä hiiren rullaa tai paina F1.</t>
  </si>
  <si>
    <t xml:space="preserve">HINNAT ALV 0 % </t>
  </si>
  <si>
    <t>T7  LAINAT</t>
  </si>
  <si>
    <t xml:space="preserve"> TULOT - MENOT</t>
  </si>
  <si>
    <t xml:space="preserve">                         VASTAAVAA YHTEENSÄ</t>
  </si>
  <si>
    <t xml:space="preserve">               VASTATTAVAA YHTEENSÄ</t>
  </si>
  <si>
    <t>Vähennetään leasingrahoitus T1:stä</t>
  </si>
  <si>
    <t xml:space="preserve"> - Poistettava kalusto sis. alv</t>
  </si>
  <si>
    <t xml:space="preserve"> - Poistettava kalusto ilman alv</t>
  </si>
  <si>
    <t>Jos lomapalkkavarausta ei tehdä, korjaa T3 TASE-taulukon rivi 93 = 0.</t>
  </si>
  <si>
    <t xml:space="preserve"> Investoinnit sis. alv</t>
  </si>
  <si>
    <t xml:space="preserve"> 1. vuonna nostettavat lainat</t>
  </si>
  <si>
    <t xml:space="preserve"> 2. vuonna nostettavat lainat</t>
  </si>
  <si>
    <t>Pääomalainojen vähennys</t>
  </si>
  <si>
    <t>Pitkäaik. rahalaitoslainojen vähennys</t>
  </si>
  <si>
    <t>Pitkäaik. lainojen ja ostovelkojen lisäys</t>
  </si>
  <si>
    <t>Muut pitkäaikaiset velat, vähennys</t>
  </si>
  <si>
    <t>21.</t>
  </si>
  <si>
    <t>Yli- / alijäämä (7 - 25)</t>
  </si>
  <si>
    <t>Käyttöpääoman muutos (rivi 35)</t>
  </si>
  <si>
    <t>22.</t>
  </si>
  <si>
    <t>23.</t>
  </si>
  <si>
    <t>3.18 Ajoneuvo- ja konekulut, yksityiskäyttö</t>
  </si>
  <si>
    <t>SVOP-palautukset</t>
  </si>
  <si>
    <t xml:space="preserve"> Net Gearing (nettovelkaantumisaste)</t>
  </si>
  <si>
    <t xml:space="preserve">Leasingrahoitus kohta 4. Koneet ja kalusto sis. alv </t>
  </si>
  <si>
    <t>Leasingrahoitus kohta 5. Koneet ja kalusto alv 0 %</t>
  </si>
  <si>
    <t xml:space="preserve"> - poistoarvo avustuksen jälkeen</t>
  </si>
  <si>
    <t xml:space="preserve"> - Poistettava kalusto alv 0 %</t>
  </si>
  <si>
    <t>Pitkäaikainen ostovelka, vähennys</t>
  </si>
  <si>
    <t>3.3. Ajoneuvokulut, liikekäyttö</t>
  </si>
  <si>
    <t>3.5 Muut kone- ja kalustokulut, liikekäyttö</t>
  </si>
  <si>
    <t>3.22 Muut alv-vähennyskelpoiset liikekulut</t>
  </si>
  <si>
    <t>3.23 Muut alv-vähennyskelvottomat liikekulut</t>
  </si>
  <si>
    <t>3.15 Vakuutukset ja vahingonkorvaukset</t>
  </si>
  <si>
    <t xml:space="preserve"> Vuokrat ja vastikkeet alv 0 %</t>
  </si>
  <si>
    <t xml:space="preserve"> Muut kiinteät kulut alv 0 %</t>
  </si>
  <si>
    <t xml:space="preserve"> Vuokrat ja vastikkeet sis. alv</t>
  </si>
  <si>
    <t xml:space="preserve"> Osamaksujen kuukausierät</t>
  </si>
  <si>
    <t xml:space="preserve"> Leasingvuokrat, ei alv-vähennystä</t>
  </si>
  <si>
    <t>Vuosimuutos-%</t>
  </si>
  <si>
    <t xml:space="preserve"> Liiketoiminnan muut tuotot, vuosimuutos-%</t>
  </si>
  <si>
    <t xml:space="preserve"> Lisätietoja</t>
  </si>
  <si>
    <t>YT22 Toimivan yrityksen tulossuunnitelma</t>
  </si>
  <si>
    <t xml:space="preserve"> Uudet lainat yhteensä</t>
  </si>
  <si>
    <t>LIIKEVAIHTO/HENKILÖ (euroa)</t>
  </si>
  <si>
    <t>Muu oma rahoitus</t>
  </si>
  <si>
    <t>Pääomalaina</t>
  </si>
  <si>
    <t>Tulorahoitus</t>
  </si>
  <si>
    <t>Sijoitus SVOP-rahastoon</t>
  </si>
  <si>
    <t>Omistajien sijoitukset</t>
  </si>
  <si>
    <t>Pääomantarve yhteensä</t>
  </si>
  <si>
    <t>Käyttöpääoman lisäys</t>
  </si>
  <si>
    <t>Aineettomat hyödykkeet</t>
  </si>
  <si>
    <t>Koneet ja kalusto alv 0 %</t>
  </si>
  <si>
    <t>Rakennukset ja rakennelmat alv 0 %</t>
  </si>
  <si>
    <t>Rakennukset ja rakennelmat sis. alv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</si>
  <si>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</si>
  <si>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</si>
  <si>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</si>
  <si>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</si>
  <si>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</si>
  <si>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</si>
  <si>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 Oma rahoitus</t>
  </si>
  <si>
    <t>Laina-määrä</t>
  </si>
  <si>
    <t>TILINPÄÄTÖKSEN TUNNUSLUKUJA</t>
  </si>
  <si>
    <t>28. Vaihto-omaisuus</t>
  </si>
  <si>
    <t>29. Myyntisaamiset</t>
  </si>
  <si>
    <t>30. Muut saamiset</t>
  </si>
  <si>
    <t>31. Osatuloutuksen saamiset</t>
  </si>
  <si>
    <t>32. Ostovelat</t>
  </si>
  <si>
    <t>33. Saadut ennakot</t>
  </si>
  <si>
    <t xml:space="preserve">34. Käyttöpääoma </t>
  </si>
  <si>
    <t>35. Käyttöpääoman muutos</t>
  </si>
  <si>
    <t xml:space="preserve">Koneet ja kalusto sis. alv </t>
  </si>
  <si>
    <t xml:space="preserve"> Liiketulos-%</t>
  </si>
  <si>
    <t xml:space="preserve"> Liiketulos (EBIT)</t>
  </si>
  <si>
    <t xml:space="preserve"> Sijoitetun pääoman tuotto-% (ROI-%)</t>
  </si>
  <si>
    <t xml:space="preserve"> Osingon/yksityisoton osuus tilikauden voitosta</t>
  </si>
  <si>
    <t xml:space="preserve"> Muu liikevaihto (esim. pakkaus, rahti) </t>
  </si>
  <si>
    <t xml:space="preserve"> Käyttökate (EBITDA)</t>
  </si>
  <si>
    <t>Liikevaihto</t>
  </si>
  <si>
    <t>Taseen loppusumma</t>
  </si>
  <si>
    <t>Sijoitettu pääoma</t>
  </si>
  <si>
    <t>Varat</t>
  </si>
  <si>
    <t xml:space="preserve">Velat </t>
  </si>
  <si>
    <t>Nettovarallisuus</t>
  </si>
  <si>
    <r>
      <t xml:space="preserve">T7  LAINAT </t>
    </r>
    <r>
      <rPr>
        <b/>
        <sz val="8"/>
        <rFont val="Arial"/>
        <family val="2"/>
      </rPr>
      <t>(1000 €)</t>
    </r>
  </si>
  <si>
    <t xml:space="preserve">  TASE VASTAAVAA (1000 €)</t>
  </si>
  <si>
    <t xml:space="preserve">  TASE VASTATTAVAA (1000 €)</t>
  </si>
  <si>
    <t xml:space="preserve">  T4 RAHOITUSSUUNNITELMA (1000 €)</t>
  </si>
  <si>
    <t xml:space="preserve"> UUDET OSAMAKSUVELAT</t>
  </si>
  <si>
    <t>1. Rahoitustulos</t>
  </si>
  <si>
    <t>2. Omistajien lisäsijoitukset</t>
  </si>
  <si>
    <t>3. Pitkäaikaisten lainojen nosto</t>
  </si>
  <si>
    <t>4. Osamaksuvelkojen lisäys</t>
  </si>
  <si>
    <t>5. Lyhytaikaisten lainojen lisäys</t>
  </si>
  <si>
    <t>7. YHTEENSÄ</t>
  </si>
  <si>
    <t>8. Investoinnit</t>
  </si>
  <si>
    <t>9. Käyttöpääoman muutos</t>
  </si>
  <si>
    <t>10. Muu rahoitusomaisuuden lisäys</t>
  </si>
  <si>
    <t>11. Pitkäaikaisten rahoituslainojen vähennys</t>
  </si>
  <si>
    <t>12. SVOP-palautus ja pääomalainojen vähennys</t>
  </si>
  <si>
    <t>13. Muut pitkäaikaiset velat vähennys</t>
  </si>
  <si>
    <t>14. Pitkäaikaisten lainojen lyhennyserämuutokset</t>
  </si>
  <si>
    <t>15. Osamaksuvelkojen vähennys</t>
  </si>
  <si>
    <t xml:space="preserve">16. Muu lyhytaikaisen vieraan pääoman lisäys/vähennys     </t>
  </si>
  <si>
    <t>17. Lyhytaikaisten lainojen vähennys</t>
  </si>
  <si>
    <t>18. Osingonjako ja yksityiskäyttö</t>
  </si>
  <si>
    <t>19. Sijoitukset</t>
  </si>
  <si>
    <t>20. Yhteensä</t>
  </si>
  <si>
    <t>21. Yli- / alijäämä (8 - 20)</t>
  </si>
  <si>
    <t>22. Kumulatiivinen yli-/alijäämä</t>
  </si>
  <si>
    <t>Laina-aikaa jäljellä (v)</t>
  </si>
  <si>
    <t>Laina-aika</t>
  </si>
  <si>
    <t>Laina-määrä tilinpää-töksessä</t>
  </si>
  <si>
    <t>Laina-aika (v)</t>
  </si>
  <si>
    <t xml:space="preserve">I. Aineettomat hyödykkeet </t>
  </si>
  <si>
    <t xml:space="preserve">II. Aineelliset hyödykkeet </t>
  </si>
  <si>
    <t>III. Sijoitukset</t>
  </si>
  <si>
    <t>I . Vaihto-omaisuus</t>
  </si>
  <si>
    <t>II. Saamiset</t>
  </si>
  <si>
    <t>III. Rahoitusarvopaperit</t>
  </si>
  <si>
    <t>IV. Rahat ja pankkisaamiset</t>
  </si>
  <si>
    <t xml:space="preserve"> Rahoittaja/rahoitettava kohde</t>
  </si>
  <si>
    <t xml:space="preserve"> Luotollinen tili</t>
  </si>
  <si>
    <t>Vaihto-omaisuus/liikevaihto (%)</t>
  </si>
  <si>
    <t>-/+</t>
  </si>
  <si>
    <t>Saadut ennakot, osuus liikevaihdosta (%)</t>
  </si>
  <si>
    <t>Osatuloutukset, osuus liikevaihdosta (%)</t>
  </si>
  <si>
    <t>Käyttökate-%</t>
  </si>
  <si>
    <t>Sijoitetun pääoman tuotto-%</t>
  </si>
  <si>
    <t>Tilikauden voitto-%</t>
  </si>
  <si>
    <t xml:space="preserve">                                                                                          </t>
  </si>
  <si>
    <t xml:space="preserve">                                                                                                             </t>
  </si>
  <si>
    <t>Liiketulos EBIT-%</t>
  </si>
  <si>
    <t xml:space="preserve"> Muut kiinteät kulut sis. alv</t>
  </si>
  <si>
    <t xml:space="preserve"> Rahoittaja/rahoitettava kohde 4. vuosi</t>
  </si>
  <si>
    <t>Erotus</t>
  </si>
  <si>
    <t>Sijoitetun pääoman  tuoton laskenta</t>
  </si>
  <si>
    <t>Nettotulos = Liiketulos+rahoitustuotot-rahoituskulut-verot</t>
  </si>
  <si>
    <t xml:space="preserve">Nettotulos =  </t>
  </si>
  <si>
    <t>Oma pääoma alussa</t>
  </si>
  <si>
    <t>Oma pääoma lopussa</t>
  </si>
  <si>
    <t>1. Oma pääoma keskimäärin</t>
  </si>
  <si>
    <t>Sijoitettu korollinen vieras pääoma alussa</t>
  </si>
  <si>
    <t>Sijoitettu korollinen vieras pääoma lopussa</t>
  </si>
  <si>
    <t>2. Sijoitettu korollinen vieras pääoma keskimäärin</t>
  </si>
  <si>
    <t>3. Sijoitettu pääoma keskimäärin (1 + 2)</t>
  </si>
  <si>
    <t>Net gearing - laskenta</t>
  </si>
  <si>
    <t xml:space="preserve">Korollinen vieras pääoma </t>
  </si>
  <si>
    <t>Rahat ja arvopaperit</t>
  </si>
  <si>
    <t>TyEL-työntekijät</t>
  </si>
  <si>
    <t>TyEL toimihenkilöt</t>
  </si>
  <si>
    <t>Luontois-</t>
  </si>
  <si>
    <t>Ennustevuosi 1</t>
  </si>
  <si>
    <t>Ennustevuosi 2</t>
  </si>
  <si>
    <t xml:space="preserve"> Rahoittaja/rahoitettava kohde 3. vuosi</t>
  </si>
  <si>
    <t xml:space="preserve"> Rahoittaja/rahoitettava kohde 2. vuosi</t>
  </si>
  <si>
    <t xml:space="preserve"> Rahoittaja/rahoitettava kohde 1. vuosi</t>
  </si>
  <si>
    <t>Korollinen vieras pääoma = Pitkäaikainen vieras pääoma pl. Saadut ennakot+korolliset lyhytaikaiset velat+Muut korolliset sisäiset velat</t>
  </si>
  <si>
    <r>
      <t xml:space="preserve"> </t>
    </r>
    <r>
      <rPr>
        <b/>
        <sz val="8"/>
        <color theme="0"/>
        <rFont val="Arial"/>
        <family val="2"/>
      </rPr>
      <t>3. vuonna nostettavat lainat</t>
    </r>
  </si>
  <si>
    <r>
      <t xml:space="preserve"> </t>
    </r>
    <r>
      <rPr>
        <b/>
        <sz val="8"/>
        <color theme="0"/>
        <rFont val="Arial"/>
        <family val="2"/>
      </rPr>
      <t>4. vuonna nostettavat lainat</t>
    </r>
  </si>
  <si>
    <t>Uudet osamaksuvelat yht.</t>
  </si>
  <si>
    <t>Lyhytaikaisten lainojen korot</t>
  </si>
  <si>
    <t>Lainojen toimitusmaksut, pankkitakausmaksut</t>
  </si>
  <si>
    <t>KAIKKI YHTEENSÄ</t>
  </si>
  <si>
    <t xml:space="preserve"> Arvosana</t>
  </si>
  <si>
    <t>Tavoite tilikaudella</t>
  </si>
  <si>
    <t xml:space="preserve"> PÄÄOMARAHOITUS, NETTO</t>
  </si>
  <si>
    <t xml:space="preserve"> LIIKETOIMINNAN MENOT YHTEENSÄ</t>
  </si>
  <si>
    <t xml:space="preserve"> LIIKETOIMINTA YHTEENSÄ</t>
  </si>
  <si>
    <t xml:space="preserve"> LIIKETOIMINNAN TULOT</t>
  </si>
  <si>
    <t xml:space="preserve"> LIIKETOIMINNAN MENOT</t>
  </si>
  <si>
    <t xml:space="preserve"> PÄÄOMARAHOITUS: TULOT JA MENOT</t>
  </si>
  <si>
    <t xml:space="preserve"> VUOSITTAIN MAKSETTAVAT LYHENNYKSET JA KOROT</t>
  </si>
  <si>
    <t>2.4 YEL-yrittäjien henkivakuutusmaksut</t>
  </si>
  <si>
    <t>€</t>
  </si>
  <si>
    <t>3.21 Vuokrat, vastikkeet, korjauskulut alv 0 %</t>
  </si>
  <si>
    <t>Laina-aikaa jäljellä</t>
  </si>
  <si>
    <t>Koneet ja kalusto sis. alv</t>
  </si>
  <si>
    <t xml:space="preserve">Muistiinpanoja </t>
  </si>
  <si>
    <t>Osingonjako/yksityisotot</t>
  </si>
  <si>
    <t xml:space="preserve"> Kassa alussa</t>
  </si>
  <si>
    <t xml:space="preserve"> Myyntisaatavat edelliseltä tilikaudelta</t>
  </si>
  <si>
    <t>Tyont.</t>
  </si>
  <si>
    <t>maksut</t>
  </si>
  <si>
    <t xml:space="preserve"> Uudisrakennukset ja rakennelmat sis. alv </t>
  </si>
  <si>
    <t xml:space="preserve"> Liikehuoneisto-osakkeiden hankinta</t>
  </si>
  <si>
    <t xml:space="preserve"> Rakennukset ja rakennelmat </t>
  </si>
  <si>
    <t xml:space="preserve"> Maa-alueet ja vesialueet, liittymät yms.</t>
  </si>
  <si>
    <t xml:space="preserve"> Erääntyneet ostovelat</t>
  </si>
  <si>
    <t xml:space="preserve"> Ajoneuvojen leasing- ja vuokrakulut, liikekäyttö</t>
  </si>
  <si>
    <t xml:space="preserve">    Pääomalainan korot</t>
  </si>
  <si>
    <t>OHJE</t>
  </si>
  <si>
    <t xml:space="preserve"> Henkilöstön määrä</t>
  </si>
  <si>
    <t>Yrityksen nimi</t>
  </si>
  <si>
    <t>Laatija</t>
  </si>
  <si>
    <t>Hankekuvaus</t>
  </si>
  <si>
    <t>Aloittamisajankohta</t>
  </si>
  <si>
    <t>Arvioitu valmistuminen</t>
  </si>
  <si>
    <t>Muut aineelliset hyöd., vaihto-omais. osto</t>
  </si>
  <si>
    <t xml:space="preserve"> Aineet ja tarvikkeet</t>
  </si>
  <si>
    <t>24.</t>
  </si>
  <si>
    <t>Liiketoimintakaupan tavaravarasto, alkuvarasto</t>
  </si>
  <si>
    <t xml:space="preserve"> Liiketoimintakaupan tavaravarasto, alkuvarasto</t>
  </si>
  <si>
    <t>Aineet, tarvikkeet ja tavarat, ostot tilikaudella</t>
  </si>
  <si>
    <t>Pitkäaik. lainojen lyhennyserämuutokset</t>
  </si>
  <si>
    <t xml:space="preserve"> Ostovelat edelliseltä tilikaudelta, maksuaika pv</t>
  </si>
  <si>
    <t>Ostovelat edell. tilikausi</t>
  </si>
  <si>
    <t xml:space="preserve">Ostovelat/pv  </t>
  </si>
  <si>
    <t>2.3 YEL-yrittäjien sosiaalivakuutusmaksut</t>
  </si>
  <si>
    <t>AINEKÄYTTÖ-% keskimäärin</t>
  </si>
  <si>
    <t>LIIKEVAIHTO yhteensä</t>
  </si>
  <si>
    <t>MYYNNIN ALV:N MÄÄRÄ yhteensä</t>
  </si>
  <si>
    <t>OSTOJEN ALV:N MÄÄRÄ yhteensä</t>
  </si>
  <si>
    <t xml:space="preserve"> Rahoitusmenot (lainojen korkokustannukset)</t>
  </si>
  <si>
    <t xml:space="preserve"> Tuloverot</t>
  </si>
  <si>
    <t xml:space="preserve">T5 KASSABUDJETTI 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</si>
  <si>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</si>
  <si>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</si>
  <si>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</si>
  <si>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</si>
  <si>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</si>
  <si>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</si>
  <si>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</si>
  <si>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</si>
  <si>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</si>
  <si>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</si>
  <si>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 xml:space="preserve"> KUMULATIIVINEN KASSA</t>
  </si>
  <si>
    <t>Käteismyynti</t>
  </si>
  <si>
    <t>Laskutusmyynti</t>
  </si>
  <si>
    <t>Aineet, tarvikkeet</t>
  </si>
  <si>
    <t>Ulkopuoliset palveut</t>
  </si>
  <si>
    <t>Investoinnit sis. alv</t>
  </si>
  <si>
    <t>Muut kiinteät kulut sis. Alv</t>
  </si>
  <si>
    <t>ALV%</t>
  </si>
  <si>
    <t>Satunnaiset tulot, omaisuuden myynti</t>
  </si>
  <si>
    <t>Liiket. Tavaravarasto, alkuvarasto</t>
  </si>
  <si>
    <t>Vuokrat ja vastikkeet sis. alv</t>
  </si>
  <si>
    <t>Ajoneuvojen leasing- ja vuokrakulut, liikekäyttö</t>
  </si>
  <si>
    <t>ALV ostoista</t>
  </si>
  <si>
    <t xml:space="preserve"> Velat </t>
  </si>
  <si>
    <t xml:space="preserve"> Pankkitilin saldo</t>
  </si>
  <si>
    <t xml:space="preserve"> Asunto</t>
  </si>
  <si>
    <t>35.</t>
  </si>
  <si>
    <t xml:space="preserve"> Alv-%</t>
  </si>
  <si>
    <t xml:space="preserve"> - keskimääräinen maksuaika (päivää)</t>
  </si>
  <si>
    <t>Korot pitkäaikaisista veloista, 
ei velkakirjaa</t>
  </si>
  <si>
    <t>UUDET PITKÄAIKAISET LAINAT
(ei pääomalainoja)</t>
  </si>
  <si>
    <t>Tavoite-menot tilikaudella sis. alv</t>
  </si>
  <si>
    <t>Muistiinpanoja</t>
  </si>
  <si>
    <t xml:space="preserve">3.20 Ulkopuoliset palvelut sis. alv </t>
  </si>
  <si>
    <t>TILIKAUSI</t>
  </si>
  <si>
    <t>Laskutusmyynti kaudella</t>
  </si>
  <si>
    <t xml:space="preserve"> Liikehuoneisto-osakkeiden hankinta, sijoitukset</t>
  </si>
  <si>
    <t xml:space="preserve">ENNUSTEVUOSI </t>
  </si>
  <si>
    <t>ENNUSTEVUOSI</t>
  </si>
  <si>
    <t xml:space="preserve"> Rahoitustulos-%</t>
  </si>
  <si>
    <t>Lainojen  lyhennykset</t>
  </si>
  <si>
    <t>Investointien omarahoitus, tulorahoitus</t>
  </si>
  <si>
    <t>Voitonjako omalle pääomalle = 10 %</t>
  </si>
  <si>
    <t>Rahoitustuloksen riittävyyden laskenta</t>
  </si>
  <si>
    <t xml:space="preserve"> Käteismyynti, ennakkom./ myyntisosuus-%</t>
  </si>
  <si>
    <t xml:space="preserve"> Muut tuotot sis. alv (mm. liiketoim. muut tuotot, saneeraus)</t>
  </si>
  <si>
    <t xml:space="preserve"> Muut tuotot alv 0 % (yritystuet, vakuutuskorvaukset yms.)</t>
  </si>
  <si>
    <t xml:space="preserve"> Kirjoita lisätietoa rahoituksesta  (korko-%, laina-aika, vakuus)</t>
  </si>
  <si>
    <t>T4 RAHOITUSSUUNNITELMA / KÄYTTÖPÄÄOMA (1000 €)</t>
  </si>
  <si>
    <r>
      <t xml:space="preserve">  PÄÄOMANTARVE </t>
    </r>
    <r>
      <rPr>
        <sz val="9"/>
        <color theme="0"/>
        <rFont val="Arial"/>
        <family val="2"/>
      </rPr>
      <t>(1000 euroa)</t>
    </r>
  </si>
  <si>
    <r>
      <t xml:space="preserve">  RAHOITUS </t>
    </r>
    <r>
      <rPr>
        <sz val="9"/>
        <color theme="0"/>
        <rFont val="Arial"/>
        <family val="2"/>
      </rPr>
      <t>(1000 euroa)</t>
    </r>
  </si>
  <si>
    <t>UUDET PITKÄAIKAISET LAINAT</t>
  </si>
  <si>
    <t>AINEKÄYTTÖ alv 0 % yhteensä</t>
  </si>
  <si>
    <t xml:space="preserve"> Muut kiinteät kulut sis. Arvonlisäveron kassabudjettiin</t>
  </si>
  <si>
    <t>ALV-vähennyskelpoiset kulut, hinta</t>
  </si>
  <si>
    <t>Tilatus lehdet</t>
  </si>
  <si>
    <t>Alv-vähennyskelpoiset kulut sis. Alv yhteensä</t>
  </si>
  <si>
    <t>Keskimääräinen alv-%</t>
  </si>
  <si>
    <t>Ostoihin sisältyvät alv</t>
  </si>
  <si>
    <t>Alv-vähennyskelpoiset kulut  Alv 0 % yhteensä</t>
  </si>
  <si>
    <t>Kirjat, matkaliput, majoitus, muut matkak.</t>
  </si>
  <si>
    <t>Kirjat, matkaliput, majoitus, muut matkak., hinta</t>
  </si>
  <si>
    <t>Liikevaihto €</t>
  </si>
  <si>
    <t>kpl</t>
  </si>
  <si>
    <t>Vaihto-omaisuuden lisäys/vähennys</t>
  </si>
  <si>
    <t>Vaihto-omaisuus lisäys/vähennys</t>
  </si>
  <si>
    <t>Osakepääoman muutos</t>
  </si>
  <si>
    <t xml:space="preserve"> Tuote/palvelu </t>
  </si>
  <si>
    <t>Avustukset, pääomalainan lisäys, sijoitusten tuloutus, omaisuuden myyntitulot, osakepääoman konvertointi</t>
  </si>
  <si>
    <t>2. Edellisten tilikausien voitto (tappio)</t>
  </si>
  <si>
    <t>4. Tilikauden voitto (tappio)</t>
  </si>
  <si>
    <t xml:space="preserve"> Arvonlisävero</t>
  </si>
  <si>
    <t>VOITTO (TAPPIO) ENNEN 
TILINPÄÄTÖSSIIRTOJA JA VEROJA</t>
  </si>
  <si>
    <r>
      <t>•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</si>
  <si>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>• avustus-%</t>
  </si>
  <si>
    <t>• pinta-ala / tilavuus (m² / m³)</t>
  </si>
  <si>
    <t>• arvonlisävero-%</t>
  </si>
  <si>
    <t xml:space="preserve"> Myynti/suoritemäärä yksikköä</t>
  </si>
  <si>
    <t xml:space="preserve"> Myyntihinta / yksikkö alv 0 %</t>
  </si>
  <si>
    <t xml:space="preserve"> Ainekäytön/hankintojen osuus-%</t>
  </si>
  <si>
    <t xml:space="preserve"> Ainekäyttö/hankinnat alv 0 %</t>
  </si>
  <si>
    <t xml:space="preserve"> • YEL-yrittäjien kuukausipalkat brutto</t>
  </si>
  <si>
    <t xml:space="preserve"> • YEL-yrittäjien luontoisedut / kk</t>
  </si>
  <si>
    <t xml:space="preserve"> • palkanmaksukuukaudet</t>
  </si>
  <si>
    <t xml:space="preserve"> • YEL-yrittäjien keskimääräinen veronpidätys-%</t>
  </si>
  <si>
    <t xml:space="preserve"> • tuntipalkka keskimäärin/hlö tai kuukausipalkka</t>
  </si>
  <si>
    <t xml:space="preserve"> • työtunnit / kk / henkilö, kuukausipalkka = luku on 1</t>
  </si>
  <si>
    <t xml:space="preserve"> • työntekijät, lukumäärä</t>
  </si>
  <si>
    <t xml:space="preserve"> • luontoisedut yhteensä vuodessa</t>
  </si>
  <si>
    <t xml:space="preserve"> • palkansaajaryhmän 1.2 keskim. veronpidätys-%</t>
  </si>
  <si>
    <t xml:space="preserve"> • toimihenkilöidenpalkat keskimäärin / kk / henkilö</t>
  </si>
  <si>
    <t xml:space="preserve"> • toimihenkilöt, lukumäärä</t>
  </si>
  <si>
    <t xml:space="preserve"> • palkansaajaryhmän 1.3 keskim. veronpidätys-%</t>
  </si>
  <si>
    <t xml:space="preserve"> • yritykseltä peritty TyEL-vakuutusmaksu</t>
  </si>
  <si>
    <t xml:space="preserve"> • työnantajan TyEL-vakuutusmaksut </t>
  </si>
  <si>
    <t xml:space="preserve"> • YEL-maksujen työtulo</t>
  </si>
  <si>
    <t xml:space="preserve"> • YEL-vakuutusmaksuprosentti</t>
  </si>
  <si>
    <t xml:space="preserve"> • YEL-vakuutusmaksut</t>
  </si>
  <si>
    <t xml:space="preserve"> • vapaaehtoiset eläkevakuutusmaksut</t>
  </si>
  <si>
    <t xml:space="preserve"> • työnantajan pakolliset henkilövakuutusmaksut</t>
  </si>
  <si>
    <t xml:space="preserve"> • henkilökunnan koulutus</t>
  </si>
  <si>
    <t xml:space="preserve"> • virkistys- ja harrastustoiminta</t>
  </si>
  <si>
    <t xml:space="preserve"> • työterveyshuolto</t>
  </si>
  <si>
    <t xml:space="preserve"> • työvaatteet ja suojavälineet</t>
  </si>
  <si>
    <t xml:space="preserve"> • vuokrat ja vastikkeet (liiketoimintaan)</t>
  </si>
  <si>
    <t xml:space="preserve"> • sähkö ja kaasu </t>
  </si>
  <si>
    <t xml:space="preserve"> • vesi ja jätevesi</t>
  </si>
  <si>
    <t xml:space="preserve"> • lämmitys</t>
  </si>
  <si>
    <t xml:space="preserve"> • puhtaanapito, ulkoalueiden hoito</t>
  </si>
  <si>
    <t xml:space="preserve"> • toimitilojen korjaus</t>
  </si>
  <si>
    <t xml:space="preserve"> • jätehuolto</t>
  </si>
  <si>
    <t xml:space="preserve"> • vartiointi, lukituspalvelut</t>
  </si>
  <si>
    <t xml:space="preserve"> • kiinteistövakuutukset</t>
  </si>
  <si>
    <t xml:space="preserve"> • kiinteistövero, muut kulut</t>
  </si>
  <si>
    <t xml:space="preserve"> • polttoaine</t>
  </si>
  <si>
    <t xml:space="preserve"> • huolto, korjaus ja katsastus</t>
  </si>
  <si>
    <t xml:space="preserve"> • vakuutukset ja käyttömaksut</t>
  </si>
  <si>
    <t xml:space="preserve"> • muut ajoneuvokulut</t>
  </si>
  <si>
    <t xml:space="preserve"> • ohjelmat, päivitykset ja ylläpito</t>
  </si>
  <si>
    <t xml:space="preserve"> • atk-laitehankinnat käyttöaika alle 3 vuotta </t>
  </si>
  <si>
    <t xml:space="preserve"> • muut atk-kulut</t>
  </si>
  <si>
    <t xml:space="preserve"> • huolto ja korjaus</t>
  </si>
  <si>
    <t xml:space="preserve"> • pien- ja laitehankinnat käyttöikä alle 3 vuotta</t>
  </si>
  <si>
    <t xml:space="preserve"> • muut kone- ja kalustokulut</t>
  </si>
  <si>
    <t xml:space="preserve"> • matkaliput ja majoituskulut</t>
  </si>
  <si>
    <t xml:space="preserve"> • ruokailu matkalla</t>
  </si>
  <si>
    <t xml:space="preserve"> • muut matkakulut</t>
  </si>
  <si>
    <t xml:space="preserve"> • päivärahat, ateriakorvaukset yms.</t>
  </si>
  <si>
    <t xml:space="preserve"> • kilometrikorvaukset</t>
  </si>
  <si>
    <t xml:space="preserve"> • mainostoimistopalvelut</t>
  </si>
  <si>
    <t xml:space="preserve"> • suora- ja ilmoitusmainonta</t>
  </si>
  <si>
    <t xml:space="preserve"> • tv-, radio- ja internetmainonta</t>
  </si>
  <si>
    <t xml:space="preserve"> • messut, näyttelyt yms. myynninedistäminen</t>
  </si>
  <si>
    <t xml:space="preserve"> • muut markkinointikulut</t>
  </si>
  <si>
    <t xml:space="preserve"> • tuotekehitys- ja testauspalvelut</t>
  </si>
  <si>
    <t xml:space="preserve"> • tuotesuojauksen viranomaismaksut</t>
  </si>
  <si>
    <t xml:space="preserve"> • sertifiointi ja laatutodistukset</t>
  </si>
  <si>
    <t xml:space="preserve"> • muut kehityskulut</t>
  </si>
  <si>
    <t xml:space="preserve"> • vuokratyövoima</t>
  </si>
  <si>
    <t xml:space="preserve"> • taloushallintopalvelut, tilintarkastus</t>
  </si>
  <si>
    <t xml:space="preserve"> • laki-, perintä- ja konsultointipalvelut</t>
  </si>
  <si>
    <t xml:space="preserve"> • viranomaismaksut - ja luvat</t>
  </si>
  <si>
    <t xml:space="preserve"> • kirjat </t>
  </si>
  <si>
    <t xml:space="preserve"> • tilatut lehdet</t>
  </si>
  <si>
    <t xml:space="preserve"> • jäsenmaksut</t>
  </si>
  <si>
    <t xml:space="preserve"> • puhelin- ja matkapuhelinkulut</t>
  </si>
  <si>
    <t xml:space="preserve"> • datasiirtokulut</t>
  </si>
  <si>
    <t xml:space="preserve"> • posti- ja lähettikulut</t>
  </si>
  <si>
    <t xml:space="preserve"> • rahaliikenteen kulut</t>
  </si>
  <si>
    <t xml:space="preserve"> • vastuuvakuutukset, maksetut vahingonkorvaukset</t>
  </si>
  <si>
    <t xml:space="preserve"> • esinevakuutukset, konerikko yms.</t>
  </si>
  <si>
    <t xml:space="preserve"> • muut vakuutukset, keskeytysvakuutus</t>
  </si>
  <si>
    <t>Lisäykset tilikaudella</t>
  </si>
  <si>
    <t>Vähennykset tilikaudella</t>
  </si>
  <si>
    <t xml:space="preserve"> Poistot</t>
  </si>
  <si>
    <t xml:space="preserve"> Vähennykset tilikaudella</t>
  </si>
  <si>
    <t>Poistot</t>
  </si>
  <si>
    <t xml:space="preserve"> Lisäykset tilikaudella</t>
  </si>
  <si>
    <t xml:space="preserve">    Pääomalainen akordi</t>
  </si>
  <si>
    <t xml:space="preserve">    Ostovelat</t>
  </si>
  <si>
    <t xml:space="preserve">    Osamaksuvelat</t>
  </si>
  <si>
    <t xml:space="preserve">    Pitkäaikaisten lainojen lyhennykset</t>
  </si>
  <si>
    <t xml:space="preserve">    Lyhytaikaiset rahalaitoslainat</t>
  </si>
  <si>
    <t>Pitkäaikaisen osamaksuvelan lyhennys</t>
  </si>
  <si>
    <t>Ennakonpidätys- ja
sosiaaliturvamaksuvelka</t>
  </si>
  <si>
    <t>Keskimääräinen veronpidätys-% palkoista</t>
  </si>
  <si>
    <t xml:space="preserve">    Sosiaaliturvamaksuvelka</t>
  </si>
  <si>
    <t xml:space="preserve">    Arvonlisäverovelka</t>
  </si>
  <si>
    <t>Arvonlisäverovelan määrä liikevaihdosta (%)</t>
  </si>
  <si>
    <t xml:space="preserve">    Muut lyhytaikaiset velat</t>
  </si>
  <si>
    <t xml:space="preserve"> Prosenttia maksetuista palkoista</t>
  </si>
  <si>
    <t xml:space="preserve"> Laskettu eläke- ja sivukuluvelka</t>
  </si>
  <si>
    <t xml:space="preserve"> Siirtovelat</t>
  </si>
  <si>
    <t xml:space="preserve"> Lomapalkkavelat</t>
  </si>
  <si>
    <t xml:space="preserve"> Eläke- ja sivukuluvelka-% lomapalkkavelasta</t>
  </si>
  <si>
    <t xml:space="preserve"> • muut vapaaehtoiset henkilöstökulut</t>
  </si>
  <si>
    <t>Avustukset</t>
  </si>
  <si>
    <t xml:space="preserve">Avustukset </t>
  </si>
  <si>
    <t xml:space="preserve">6. Avustus, pääomalainan lisäys, sijoitusten tuloutus, akordi     </t>
  </si>
  <si>
    <t>Sähköposti</t>
  </si>
  <si>
    <t>Puhelin</t>
  </si>
  <si>
    <r>
      <t xml:space="preserve"> •</t>
    </r>
    <r>
      <rPr>
        <b/>
        <sz val="8"/>
        <rFont val="Arial"/>
        <family val="2"/>
      </rPr>
      <t xml:space="preserve"> leasingrahoitus ja vuokrakulut</t>
    </r>
  </si>
  <si>
    <r>
      <t xml:space="preserve"> • </t>
    </r>
    <r>
      <rPr>
        <b/>
        <sz val="8"/>
        <rFont val="Arial"/>
        <family val="2"/>
      </rPr>
      <t>leasingrahoitus, laite- ja ohjelmavuokrat</t>
    </r>
  </si>
  <si>
    <t xml:space="preserve"> • leasingrahoitus, laite- ja ohjelmavuokrat</t>
  </si>
  <si>
    <t>3.19 Leasingrahoitus (yksityiskäyttö)</t>
  </si>
  <si>
    <t xml:space="preserve">Muut aineelliset hyödykkeet </t>
  </si>
  <si>
    <t xml:space="preserve"> Investoinnit alv 0 %</t>
  </si>
  <si>
    <t>Yrityksen oma rahoitus</t>
  </si>
  <si>
    <t>Investoinnin aikaansaama liikevaihdon lisäys</t>
  </si>
  <si>
    <t>Sijoitukset, osakkeet, käyttöpääoma yrityskaupassa</t>
  </si>
  <si>
    <t xml:space="preserve"> YEL-yrittäjien bruttopalkat</t>
  </si>
  <si>
    <t xml:space="preserve"> YEL-palkkojen sivukulut</t>
  </si>
  <si>
    <t xml:space="preserve"> TyEL-työntekijöiden bruttopalkat (kokoaikaiset työntekijät)</t>
  </si>
  <si>
    <t xml:space="preserve"> TyEL-työntekijöiden bruttopalkat (osa-aikaiset työntekijät)</t>
  </si>
  <si>
    <t xml:space="preserve"> TyEL-palkkojen sivukulut</t>
  </si>
  <si>
    <t xml:space="preserve"> TyEL-työntekijöiden bruttopalkat (kokoaikaiset)</t>
  </si>
  <si>
    <t xml:space="preserve"> Maksettava arvonlisävero</t>
  </si>
  <si>
    <t xml:space="preserve"> Vapaaehtoiset eläke- ja henkilövakuutusmaksut</t>
  </si>
  <si>
    <t xml:space="preserve">  Laina-aika</t>
  </si>
  <si>
    <t>Pankki, Finnvera, eläkelaina yms.</t>
  </si>
  <si>
    <t>Kehittämisyhtiö Witas Oy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</si>
</sst>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d\.m\.yyyy;@"/>
    <numFmt numFmtId="170" formatCode="#,##0.0_ ;[Red]\-#,##0.0\ "/>
  </numFmts>
  <fonts count="97" x14ac:knownFonts="1">
    <font>
      <sz val="10"/>
      <name val="Arial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sz val="9"/>
      <color indexed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u/>
      <sz val="8"/>
      <name val="Arial"/>
      <family val="2"/>
    </font>
    <font>
      <b/>
      <sz val="10"/>
      <color rgb="FFFF000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9"/>
      <color rgb="FF000080"/>
      <name val="Arial"/>
      <family val="2"/>
    </font>
    <font>
      <sz val="9"/>
      <color theme="1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b/>
      <strike/>
      <sz val="10"/>
      <color rgb="FFFF0000"/>
      <name val="Arial"/>
      <family val="2"/>
    </font>
    <font>
      <b/>
      <strike/>
      <u/>
      <sz val="10"/>
      <color rgb="FFFF0000"/>
      <name val="Arial"/>
      <family val="2"/>
    </font>
    <font>
      <strike/>
      <sz val="10"/>
      <color rgb="FFFF0000"/>
      <name val="Arial"/>
      <family val="2"/>
    </font>
    <font>
      <i/>
      <sz val="8"/>
      <color rgb="FF00206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b/>
      <sz val="9"/>
      <color theme="1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i/>
      <sz val="8"/>
      <color theme="3"/>
      <name val="Arial"/>
      <family val="2"/>
    </font>
    <font>
      <sz val="9"/>
      <color rgb="FF000066"/>
      <name val="Arial"/>
      <family val="2"/>
    </font>
    <font>
      <sz val="9"/>
      <color rgb="FF00206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b/>
      <i/>
      <sz val="10"/>
      <color indexed="81"/>
      <name val="Tahoma"/>
      <family val="2"/>
    </font>
    <font>
      <sz val="10"/>
      <color indexed="81"/>
      <name val="Tahoma"/>
      <family val="2"/>
    </font>
    <font>
      <b/>
      <u/>
      <sz val="10"/>
      <color indexed="81"/>
      <name val="Tahoma"/>
      <family val="2"/>
    </font>
    <font>
      <sz val="8"/>
      <name val="Arial Narrow"/>
      <family val="2"/>
    </font>
    <font>
      <b/>
      <i/>
      <sz val="8"/>
      <color rgb="FF002060"/>
      <name val="Arial"/>
      <family val="2"/>
    </font>
    <font>
      <b/>
      <i/>
      <sz val="8"/>
      <color theme="3"/>
      <name val="Arial"/>
      <family val="2"/>
    </font>
    <font>
      <b/>
      <sz val="9"/>
      <color theme="3"/>
      <name val="Arial"/>
      <family val="2"/>
    </font>
    <font>
      <b/>
      <i/>
      <sz val="10"/>
      <color theme="3"/>
      <name val="Arial"/>
      <family val="2"/>
    </font>
    <font>
      <b/>
      <sz val="8"/>
      <color theme="1"/>
      <name val="Arial"/>
      <family val="2"/>
    </font>
    <font>
      <i/>
      <sz val="9"/>
      <color theme="3"/>
      <name val="Arial"/>
      <family val="2"/>
    </font>
    <font>
      <b/>
      <i/>
      <sz val="8"/>
      <color theme="1"/>
      <name val="Arial"/>
      <family val="2"/>
    </font>
    <font>
      <i/>
      <sz val="8"/>
      <color theme="3" tint="-0.249977111117893"/>
      <name val="Arial"/>
      <family val="2"/>
    </font>
    <font>
      <b/>
      <sz val="11"/>
      <color rgb="FFFF0000"/>
      <name val="Arial"/>
      <family val="2"/>
    </font>
    <font>
      <b/>
      <sz val="9"/>
      <color theme="9" tint="-0.249977111117893"/>
      <name val="Arial"/>
      <family val="2"/>
    </font>
    <font>
      <sz val="9"/>
      <color theme="9" tint="-0.249977111117893"/>
      <name val="Arial"/>
      <family val="2"/>
    </font>
    <font>
      <i/>
      <sz val="8"/>
      <color rgb="FF000080"/>
      <name val="Arial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8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sz val="11"/>
      <color theme="1"/>
      <name val="Arial"/>
      <family val="2"/>
    </font>
    <font>
      <b/>
      <i/>
      <sz val="8"/>
      <color theme="0"/>
      <name val="Arial"/>
      <family val="2"/>
    </font>
    <font>
      <sz val="8"/>
      <color rgb="FF002060"/>
      <name val="Arial"/>
      <family val="2"/>
    </font>
    <font>
      <u/>
      <sz val="10"/>
      <color theme="10"/>
      <name val="Arial"/>
      <family val="2"/>
    </font>
    <font>
      <i/>
      <sz val="8"/>
      <color theme="1"/>
      <name val="Arial"/>
      <family val="2"/>
    </font>
    <font>
      <b/>
      <sz val="12"/>
      <color indexed="81"/>
      <name val="Tahoma"/>
      <family val="2"/>
    </font>
    <font>
      <i/>
      <sz val="9"/>
      <color theme="1"/>
      <name val="Arial"/>
      <family val="2"/>
    </font>
    <font>
      <b/>
      <sz val="11"/>
      <color indexed="81"/>
      <name val="Tahoma"/>
      <family val="2"/>
    </font>
    <font>
      <strike/>
      <sz val="10"/>
      <color indexed="81"/>
      <name val="Tahoma"/>
      <family val="2"/>
    </font>
    <font>
      <sz val="10"/>
      <color rgb="FF000066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152A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249977111117893"/>
        <bgColor indexed="64"/>
      </patternFill>
    </fill>
  </fills>
  <borders count="255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/>
      <top style="medium">
        <color theme="0" tint="-0.499984740745262"/>
      </top>
      <bottom/>
      <diagonal/>
    </border>
    <border>
      <left style="thin">
        <color indexed="64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 style="medium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 style="hair">
        <color theme="4" tint="-0.249977111117893"/>
      </left>
      <right style="hair">
        <color theme="4" tint="-0.249977111117893"/>
      </right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 style="hair">
        <color theme="4" tint="-0.249977111117893"/>
      </bottom>
      <diagonal/>
    </border>
    <border>
      <left style="hair">
        <color theme="4" tint="-0.249977111117893"/>
      </left>
      <right/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/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/>
      <top/>
      <bottom style="hair">
        <color theme="3" tint="-0.249977111117893"/>
      </bottom>
      <diagonal/>
    </border>
    <border>
      <left style="hair">
        <color theme="3" tint="-0.249977111117893"/>
      </left>
      <right/>
      <top/>
      <bottom/>
      <diagonal/>
    </border>
    <border>
      <left/>
      <right style="hair">
        <color theme="3" tint="-0.249977111117893"/>
      </right>
      <top/>
      <bottom/>
      <diagonal/>
    </border>
    <border>
      <left/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/>
      <diagonal/>
    </border>
    <border>
      <left/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indexed="64"/>
      </bottom>
      <diagonal/>
    </border>
    <border>
      <left/>
      <right/>
      <top style="hair">
        <color theme="3" tint="-0.249977111117893"/>
      </top>
      <bottom style="hair">
        <color indexed="64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indexed="64"/>
      </left>
      <right style="medium">
        <color theme="0" tint="-0.499984740745262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/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indexed="64"/>
      </bottom>
      <diagonal/>
    </border>
    <border>
      <left style="hair">
        <color theme="3" tint="-0.249977111117893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4" tint="0.3999450666829432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3" tint="-0.249977111117893"/>
      </bottom>
      <diagonal/>
    </border>
    <border>
      <left/>
      <right/>
      <top/>
      <bottom style="hair">
        <color theme="0" tint="-0.24994659260841701"/>
      </bottom>
      <diagonal/>
    </border>
    <border>
      <left/>
      <right/>
      <top/>
      <bottom style="hair">
        <color theme="0" tint="-0.14996795556505021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4" tint="-0.249977111117893"/>
      </right>
      <top style="hair">
        <color theme="4" tint="-0.249977111117893"/>
      </top>
      <bottom/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 style="hair">
        <color theme="4" tint="-0.249977111117893"/>
      </left>
      <right/>
      <top style="hair">
        <color theme="4" tint="-0.249977111117893"/>
      </top>
      <bottom style="hair">
        <color theme="4" tint="-0.249977111117893"/>
      </bottom>
      <diagonal/>
    </border>
    <border>
      <left style="hair">
        <color theme="4" tint="-0.2499465926084170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/>
      <diagonal/>
    </border>
    <border>
      <left/>
      <right style="thin">
        <color theme="0" tint="-0.24994659260841701"/>
      </right>
      <top/>
      <bottom style="thin">
        <color indexed="64"/>
      </bottom>
      <diagonal/>
    </border>
    <border>
      <left style="thin">
        <color theme="0" tint="-0.2499465926084170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0" tint="-0.24994659260841701"/>
      </right>
      <top/>
      <bottom style="thin">
        <color theme="1"/>
      </bottom>
      <diagonal/>
    </border>
    <border>
      <left/>
      <right style="thin">
        <color theme="0" tint="-0.24994659260841701"/>
      </right>
      <top/>
      <bottom/>
      <diagonal/>
    </border>
    <border>
      <left style="hair">
        <color theme="4" tint="-0.249977111117893"/>
      </left>
      <right style="hair">
        <color theme="4" tint="-0.249977111117893"/>
      </right>
      <top/>
      <bottom/>
      <diagonal/>
    </border>
    <border>
      <left style="hair">
        <color theme="4" tint="-0.249977111117893"/>
      </left>
      <right/>
      <top/>
      <bottom/>
      <diagonal/>
    </border>
    <border>
      <left/>
      <right/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4" tint="-0.249977111117893"/>
      </bottom>
      <diagonal/>
    </border>
    <border>
      <left/>
      <right/>
      <top style="hair">
        <color theme="4" tint="-0.249977111117893"/>
      </top>
      <bottom/>
      <diagonal/>
    </border>
    <border>
      <left/>
      <right style="hair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 style="hair">
        <color theme="1" tint="0.499984740745262"/>
      </right>
      <top/>
      <bottom style="hair">
        <color theme="1" tint="0.499984740745262"/>
      </bottom>
      <diagonal/>
    </border>
    <border>
      <left/>
      <right style="hair">
        <color theme="1" tint="0.499984740745262"/>
      </right>
      <top/>
      <bottom/>
      <diagonal/>
    </border>
    <border>
      <left/>
      <right/>
      <top style="hair">
        <color theme="4" tint="-0.249977111117893"/>
      </top>
      <bottom style="hair">
        <color theme="1" tint="0.499984740745262"/>
      </bottom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1" tint="0.499984740745262"/>
      </bottom>
      <diagonal/>
    </border>
    <border>
      <left style="hair">
        <color theme="4" tint="-0.249977111117893"/>
      </left>
      <right/>
      <top style="hair">
        <color theme="4" tint="-0.249977111117893"/>
      </top>
      <bottom style="hair">
        <color theme="1" tint="0.499984740745262"/>
      </bottom>
      <diagonal/>
    </border>
    <border>
      <left style="hair">
        <color theme="4" tint="-0.24994659260841701"/>
      </left>
      <right/>
      <top/>
      <bottom style="hair">
        <color theme="1" tint="0.499984740745262"/>
      </bottom>
      <diagonal/>
    </border>
    <border>
      <left/>
      <right/>
      <top/>
      <bottom style="hair">
        <color theme="1" tint="0.499984740745262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1" tint="0.499984740745262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1"/>
      </left>
      <right/>
      <top/>
      <bottom/>
      <diagonal/>
    </border>
    <border>
      <left/>
      <right style="hair">
        <color theme="1"/>
      </right>
      <top/>
      <bottom/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1"/>
      </right>
      <top/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/>
      <diagonal/>
    </border>
    <border>
      <left style="hair">
        <color theme="1"/>
      </left>
      <right style="hair">
        <color theme="3" tint="-0.249977111117893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1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1"/>
      </left>
      <right/>
      <top/>
      <bottom style="hair">
        <color theme="3" tint="-0.249977111117893"/>
      </bottom>
      <diagonal/>
    </border>
    <border>
      <left/>
      <right style="hair">
        <color theme="1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hair">
        <color theme="1"/>
      </right>
      <top style="hair">
        <color theme="0" tint="-0.34998626667073579"/>
      </top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1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/>
      <bottom style="hair">
        <color theme="3" tint="-0.249977111117893"/>
      </bottom>
      <diagonal/>
    </border>
    <border>
      <left style="hair">
        <color theme="1"/>
      </left>
      <right/>
      <top/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/>
      <right/>
      <top style="hair">
        <color theme="1"/>
      </top>
      <bottom style="hair">
        <color theme="1"/>
      </bottom>
      <diagonal/>
    </border>
    <border>
      <left style="hair">
        <color theme="1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/>
      <diagonal/>
    </border>
    <border>
      <left/>
      <right style="hair">
        <color theme="1"/>
      </right>
      <top style="hair">
        <color theme="3" tint="-0.249977111117893"/>
      </top>
      <bottom/>
      <diagonal/>
    </border>
    <border>
      <left/>
      <right style="hair">
        <color theme="1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1" tint="0.499984740745262"/>
      </top>
      <bottom/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4659260841701"/>
      </left>
      <right style="hair">
        <color theme="4" tint="-0.24994659260841701"/>
      </right>
      <top style="hair">
        <color theme="4" tint="-0.24994659260841701"/>
      </top>
      <bottom style="hair">
        <color theme="4" tint="-0.24994659260841701"/>
      </bottom>
      <diagonal/>
    </border>
  </borders>
  <cellStyleXfs count="4">
    <xf numFmtId="0" fontId="0" fillId="0" borderId="0"/>
    <xf numFmtId="0" fontId="5" fillId="0" borderId="0"/>
    <xf numFmtId="9" fontId="3" fillId="0" borderId="0" applyFont="0" applyFill="0" applyBorder="0" applyAlignment="0" applyProtection="0"/>
    <xf numFmtId="0" fontId="90" fillId="0" borderId="0" applyNumberFormat="0" applyFill="0" applyBorder="0" applyAlignment="0" applyProtection="0"/>
  </cellStyleXfs>
  <cellXfs count="2328">
    <xf numFmtId="0" fontId="0" fillId="0" borderId="0" xfId="0"/>
    <xf numFmtId="0" fontId="5" fillId="0" borderId="0" xfId="0" applyFont="1"/>
    <xf numFmtId="0" fontId="6" fillId="0" borderId="0" xfId="0" applyFont="1"/>
    <xf numFmtId="3" fontId="6" fillId="0" borderId="0" xfId="0" applyNumberFormat="1" applyFont="1" applyProtection="1">
      <protection hidden="1"/>
    </xf>
    <xf numFmtId="0" fontId="12" fillId="0" borderId="0" xfId="0" applyFont="1"/>
    <xf numFmtId="1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3" fontId="5" fillId="0" borderId="0" xfId="0" applyNumberFormat="1" applyFont="1" applyProtection="1">
      <protection hidden="1"/>
    </xf>
    <xf numFmtId="0" fontId="0" fillId="2" borderId="0" xfId="0" applyFill="1"/>
    <xf numFmtId="3" fontId="6" fillId="2" borderId="0" xfId="0" applyNumberFormat="1" applyFont="1" applyFill="1" applyProtection="1">
      <protection hidden="1"/>
    </xf>
    <xf numFmtId="0" fontId="6" fillId="2" borderId="0" xfId="0" applyFont="1" applyFill="1" applyProtection="1">
      <protection hidden="1"/>
    </xf>
    <xf numFmtId="4" fontId="6" fillId="2" borderId="0" xfId="0" applyNumberFormat="1" applyFont="1" applyFill="1" applyProtection="1">
      <protection hidden="1"/>
    </xf>
    <xf numFmtId="167" fontId="6" fillId="2" borderId="0" xfId="0" applyNumberFormat="1" applyFont="1" applyFill="1" applyProtection="1">
      <protection hidden="1"/>
    </xf>
    <xf numFmtId="14" fontId="0" fillId="0" borderId="0" xfId="0" applyNumberFormat="1"/>
    <xf numFmtId="0" fontId="15" fillId="0" borderId="0" xfId="0" applyFont="1"/>
    <xf numFmtId="0" fontId="5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9" fillId="2" borderId="0" xfId="0" applyNumberFormat="1" applyFont="1" applyFill="1" applyProtection="1">
      <protection hidden="1"/>
    </xf>
    <xf numFmtId="0" fontId="8" fillId="0" borderId="0" xfId="0" applyFont="1"/>
    <xf numFmtId="0" fontId="4" fillId="0" borderId="0" xfId="0" applyFont="1" applyAlignment="1">
      <alignment horizontal="center"/>
    </xf>
    <xf numFmtId="1" fontId="6" fillId="0" borderId="0" xfId="0" applyNumberFormat="1" applyFont="1" applyAlignment="1">
      <alignment horizontal="center"/>
    </xf>
    <xf numFmtId="164" fontId="5" fillId="0" borderId="0" xfId="0" applyNumberFormat="1" applyFont="1"/>
    <xf numFmtId="0" fontId="16" fillId="2" borderId="0" xfId="0" applyFont="1" applyFill="1"/>
    <xf numFmtId="0" fontId="15" fillId="0" borderId="0" xfId="0" applyFont="1" applyAlignment="1">
      <alignment horizontal="right"/>
    </xf>
    <xf numFmtId="0" fontId="11" fillId="0" borderId="0" xfId="0" applyFont="1"/>
    <xf numFmtId="3" fontId="12" fillId="0" borderId="0" xfId="0" applyNumberFormat="1" applyFont="1" applyProtection="1">
      <protection hidden="1"/>
    </xf>
    <xf numFmtId="3" fontId="12" fillId="0" borderId="0" xfId="0" applyNumberFormat="1" applyFont="1"/>
    <xf numFmtId="0" fontId="5" fillId="2" borderId="0" xfId="0" applyFont="1" applyFill="1" applyAlignment="1">
      <alignment horizontal="right"/>
    </xf>
    <xf numFmtId="0" fontId="6" fillId="2" borderId="0" xfId="0" applyFont="1" applyFill="1"/>
    <xf numFmtId="0" fontId="6" fillId="2" borderId="0" xfId="0" applyFont="1" applyFill="1" applyAlignment="1">
      <alignment horizontal="right"/>
    </xf>
    <xf numFmtId="0" fontId="6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10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>
      <alignment horizontal="left" vertical="center"/>
    </xf>
    <xf numFmtId="0" fontId="9" fillId="0" borderId="0" xfId="0" applyFont="1"/>
    <xf numFmtId="0" fontId="15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7" fillId="0" borderId="0" xfId="0" applyFont="1" applyAlignment="1">
      <alignment vertical="center"/>
    </xf>
    <xf numFmtId="3" fontId="11" fillId="0" borderId="0" xfId="0" applyNumberFormat="1" applyFont="1" applyProtection="1">
      <protection hidden="1"/>
    </xf>
    <xf numFmtId="0" fontId="11" fillId="0" borderId="2" xfId="0" applyFont="1" applyBorder="1"/>
    <xf numFmtId="0" fontId="7" fillId="0" borderId="0" xfId="0" applyFont="1"/>
    <xf numFmtId="0" fontId="0" fillId="0" borderId="0" xfId="0" applyAlignment="1">
      <alignment vertical="center"/>
    </xf>
    <xf numFmtId="0" fontId="15" fillId="0" borderId="0" xfId="0" applyFont="1" applyAlignment="1">
      <alignment horizontal="center"/>
    </xf>
    <xf numFmtId="3" fontId="7" fillId="0" borderId="0" xfId="0" applyNumberFormat="1" applyFont="1"/>
    <xf numFmtId="3" fontId="4" fillId="0" borderId="0" xfId="0" applyNumberFormat="1" applyFont="1" applyProtection="1">
      <protection hidden="1"/>
    </xf>
    <xf numFmtId="3" fontId="7" fillId="0" borderId="0" xfId="0" applyNumberFormat="1" applyFont="1" applyProtection="1">
      <protection hidden="1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22" fillId="0" borderId="0" xfId="0" applyFont="1" applyAlignment="1">
      <alignment horizontal="right"/>
    </xf>
    <xf numFmtId="49" fontId="6" fillId="0" borderId="0" xfId="0" applyNumberFormat="1" applyFont="1"/>
    <xf numFmtId="6" fontId="6" fillId="0" borderId="0" xfId="0" applyNumberFormat="1" applyFont="1" applyAlignment="1">
      <alignment horizontal="center" vertical="center"/>
    </xf>
    <xf numFmtId="0" fontId="19" fillId="0" borderId="7" xfId="0" applyFont="1" applyBorder="1"/>
    <xf numFmtId="0" fontId="19" fillId="0" borderId="0" xfId="0" applyFont="1"/>
    <xf numFmtId="0" fontId="24" fillId="0" borderId="0" xfId="0" applyFont="1"/>
    <xf numFmtId="14" fontId="8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5" fillId="0" borderId="1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3" fillId="0" borderId="0" xfId="0" applyFont="1"/>
    <xf numFmtId="0" fontId="0" fillId="0" borderId="0" xfId="0" applyAlignment="1">
      <alignment horizontal="left"/>
    </xf>
    <xf numFmtId="0" fontId="5" fillId="0" borderId="0" xfId="0" applyFont="1" applyAlignment="1">
      <alignment horizontal="center" vertical="center"/>
    </xf>
    <xf numFmtId="0" fontId="22" fillId="0" borderId="0" xfId="0" applyFont="1" applyAlignment="1">
      <alignment horizontal="center"/>
    </xf>
    <xf numFmtId="0" fontId="12" fillId="0" borderId="15" xfId="0" applyFont="1" applyBorder="1" applyAlignment="1">
      <alignment horizontal="center" vertical="center"/>
    </xf>
    <xf numFmtId="167" fontId="5" fillId="0" borderId="0" xfId="0" applyNumberFormat="1" applyFont="1" applyAlignment="1">
      <alignment horizontal="center"/>
    </xf>
    <xf numFmtId="14" fontId="6" fillId="0" borderId="0" xfId="0" applyNumberFormat="1" applyFont="1"/>
    <xf numFmtId="0" fontId="0" fillId="0" borderId="17" xfId="0" applyBorder="1"/>
    <xf numFmtId="0" fontId="7" fillId="0" borderId="0" xfId="0" applyFont="1" applyAlignment="1">
      <alignment horizontal="right" vertical="center"/>
    </xf>
    <xf numFmtId="0" fontId="18" fillId="0" borderId="0" xfId="0" applyFont="1"/>
    <xf numFmtId="0" fontId="7" fillId="0" borderId="0" xfId="0" applyFont="1" applyAlignment="1">
      <alignment horizontal="center"/>
    </xf>
    <xf numFmtId="166" fontId="0" fillId="0" borderId="0" xfId="0" applyNumberFormat="1"/>
    <xf numFmtId="0" fontId="8" fillId="0" borderId="0" xfId="0" applyFont="1" applyAlignment="1">
      <alignment horizontal="left"/>
    </xf>
    <xf numFmtId="0" fontId="6" fillId="0" borderId="19" xfId="0" applyFont="1" applyBorder="1" applyAlignment="1">
      <alignment horizontal="center" vertical="center"/>
    </xf>
    <xf numFmtId="166" fontId="0" fillId="0" borderId="17" xfId="0" applyNumberFormat="1" applyBorder="1"/>
    <xf numFmtId="164" fontId="0" fillId="0" borderId="20" xfId="2" applyNumberFormat="1" applyFont="1" applyBorder="1"/>
    <xf numFmtId="0" fontId="6" fillId="0" borderId="8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38" fillId="0" borderId="0" xfId="0" applyFont="1" applyAlignment="1" applyProtection="1">
      <alignment vertical="center"/>
      <protection hidden="1"/>
    </xf>
    <xf numFmtId="167" fontId="0" fillId="0" borderId="0" xfId="0" applyNumberFormat="1"/>
    <xf numFmtId="0" fontId="25" fillId="2" borderId="0" xfId="0" applyFont="1" applyFill="1"/>
    <xf numFmtId="0" fontId="26" fillId="2" borderId="0" xfId="0" applyFont="1" applyFill="1" applyAlignment="1" applyProtection="1">
      <alignment horizontal="left" vertical="center"/>
      <protection hidden="1"/>
    </xf>
    <xf numFmtId="0" fontId="25" fillId="2" borderId="0" xfId="0" applyFont="1" applyFill="1" applyAlignment="1">
      <alignment horizontal="center"/>
    </xf>
    <xf numFmtId="0" fontId="23" fillId="2" borderId="0" xfId="0" applyFont="1" applyFill="1"/>
    <xf numFmtId="49" fontId="5" fillId="2" borderId="0" xfId="0" applyNumberFormat="1" applyFont="1" applyFill="1" applyAlignment="1">
      <alignment horizontal="right" vertical="center"/>
    </xf>
    <xf numFmtId="3" fontId="5" fillId="0" borderId="0" xfId="0" applyNumberFormat="1" applyFont="1"/>
    <xf numFmtId="0" fontId="9" fillId="0" borderId="0" xfId="0" applyFont="1" applyAlignment="1">
      <alignment horizontal="right"/>
    </xf>
    <xf numFmtId="3" fontId="29" fillId="0" borderId="0" xfId="0" applyNumberFormat="1" applyFont="1"/>
    <xf numFmtId="0" fontId="30" fillId="0" borderId="0" xfId="0" applyFont="1" applyAlignment="1">
      <alignment horizontal="center"/>
    </xf>
    <xf numFmtId="0" fontId="6" fillId="0" borderId="2" xfId="0" applyFont="1" applyBorder="1" applyAlignment="1">
      <alignment vertical="center"/>
    </xf>
    <xf numFmtId="0" fontId="6" fillId="0" borderId="25" xfId="0" applyFont="1" applyBorder="1"/>
    <xf numFmtId="0" fontId="5" fillId="0" borderId="0" xfId="0" applyFont="1" applyAlignment="1" applyProtection="1">
      <alignment horizontal="left"/>
      <protection hidden="1"/>
    </xf>
    <xf numFmtId="0" fontId="5" fillId="0" borderId="25" xfId="0" applyFont="1" applyBorder="1"/>
    <xf numFmtId="0" fontId="5" fillId="0" borderId="25" xfId="0" applyFont="1" applyBorder="1" applyAlignment="1" applyProtection="1">
      <alignment horizontal="center"/>
      <protection hidden="1"/>
    </xf>
    <xf numFmtId="0" fontId="5" fillId="0" borderId="25" xfId="0" applyFont="1" applyBorder="1" applyAlignment="1" applyProtection="1">
      <alignment horizontal="left"/>
      <protection hidden="1"/>
    </xf>
    <xf numFmtId="0" fontId="6" fillId="0" borderId="25" xfId="0" applyFont="1" applyBorder="1" applyAlignment="1" applyProtection="1">
      <alignment horizontal="left"/>
      <protection hidden="1"/>
    </xf>
    <xf numFmtId="1" fontId="5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5" fillId="0" borderId="0" xfId="0" applyNumberFormat="1" applyFont="1" applyAlignment="1">
      <alignment horizontal="right"/>
    </xf>
    <xf numFmtId="165" fontId="6" fillId="0" borderId="0" xfId="0" applyNumberFormat="1" applyFont="1" applyAlignment="1">
      <alignment horizontal="right"/>
    </xf>
    <xf numFmtId="1" fontId="6" fillId="0" borderId="0" xfId="0" applyNumberFormat="1" applyFont="1" applyAlignment="1" applyProtection="1">
      <alignment horizontal="center"/>
      <protection hidden="1"/>
    </xf>
    <xf numFmtId="1" fontId="24" fillId="0" borderId="0" xfId="0" applyNumberFormat="1" applyFont="1" applyAlignment="1" applyProtection="1">
      <alignment horizontal="center"/>
      <protection hidden="1"/>
    </xf>
    <xf numFmtId="0" fontId="26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2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1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5" fillId="0" borderId="0" xfId="0" applyFont="1" applyProtection="1">
      <protection hidden="1"/>
    </xf>
    <xf numFmtId="164" fontId="5" fillId="0" borderId="0" xfId="0" applyNumberFormat="1" applyFont="1" applyAlignment="1" applyProtection="1">
      <alignment horizontal="right"/>
      <protection hidden="1"/>
    </xf>
    <xf numFmtId="0" fontId="9" fillId="0" borderId="0" xfId="0" applyFont="1" applyProtection="1">
      <protection hidden="1"/>
    </xf>
    <xf numFmtId="0" fontId="5" fillId="0" borderId="0" xfId="0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14" fontId="5" fillId="0" borderId="0" xfId="0" applyNumberFormat="1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left" vertical="center"/>
      <protection hidden="1"/>
    </xf>
    <xf numFmtId="1" fontId="11" fillId="0" borderId="0" xfId="0" applyNumberFormat="1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right"/>
      <protection hidden="1"/>
    </xf>
    <xf numFmtId="3" fontId="12" fillId="0" borderId="0" xfId="0" applyNumberFormat="1" applyFont="1" applyAlignment="1" applyProtection="1">
      <alignment horizontal="right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1" fontId="12" fillId="0" borderId="0" xfId="0" applyNumberFormat="1" applyFont="1" applyAlignment="1" applyProtection="1">
      <alignment horizontal="right"/>
      <protection hidden="1"/>
    </xf>
    <xf numFmtId="3" fontId="12" fillId="0" borderId="0" xfId="0" applyNumberFormat="1" applyFont="1" applyAlignment="1" applyProtection="1">
      <alignment horizontal="right"/>
      <protection hidden="1"/>
    </xf>
    <xf numFmtId="0" fontId="12" fillId="0" borderId="0" xfId="0" applyFont="1" applyAlignment="1" applyProtection="1">
      <alignment vertical="center"/>
      <protection hidden="1"/>
    </xf>
    <xf numFmtId="0" fontId="7" fillId="0" borderId="0" xfId="0" applyFont="1" applyAlignment="1">
      <alignment horizontal="right"/>
    </xf>
    <xf numFmtId="0" fontId="7" fillId="2" borderId="0" xfId="0" applyFont="1" applyFill="1"/>
    <xf numFmtId="3" fontId="7" fillId="0" borderId="0" xfId="0" applyNumberFormat="1" applyFont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5" fillId="0" borderId="2" xfId="0" applyFont="1" applyBorder="1" applyAlignment="1" applyProtection="1">
      <alignment horizontal="left" vertical="center"/>
      <protection hidden="1"/>
    </xf>
    <xf numFmtId="0" fontId="0" fillId="0" borderId="9" xfId="0" applyBorder="1" applyAlignment="1">
      <alignment vertical="center"/>
    </xf>
    <xf numFmtId="0" fontId="25" fillId="2" borderId="0" xfId="0" applyFont="1" applyFill="1" applyAlignment="1">
      <alignment horizontal="left"/>
    </xf>
    <xf numFmtId="0" fontId="25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20" fillId="0" borderId="0" xfId="0" applyFont="1"/>
    <xf numFmtId="0" fontId="6" fillId="0" borderId="27" xfId="0" applyFont="1" applyBorder="1" applyAlignment="1" applyProtection="1">
      <alignment horizontal="left" vertical="center"/>
      <protection hidden="1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0" fontId="17" fillId="0" borderId="2" xfId="0" applyFont="1" applyBorder="1"/>
    <xf numFmtId="0" fontId="0" fillId="0" borderId="28" xfId="0" applyBorder="1"/>
    <xf numFmtId="3" fontId="0" fillId="0" borderId="35" xfId="0" applyNumberFormat="1" applyBorder="1"/>
    <xf numFmtId="3" fontId="0" fillId="0" borderId="38" xfId="0" applyNumberFormat="1" applyBorder="1"/>
    <xf numFmtId="3" fontId="6" fillId="0" borderId="0" xfId="0" applyNumberFormat="1" applyFont="1"/>
    <xf numFmtId="0" fontId="4" fillId="0" borderId="27" xfId="0" applyFont="1" applyBorder="1" applyAlignment="1">
      <alignment horizontal="center"/>
    </xf>
    <xf numFmtId="1" fontId="6" fillId="3" borderId="40" xfId="0" applyNumberFormat="1" applyFont="1" applyFill="1" applyBorder="1" applyAlignment="1">
      <alignment horizontal="center"/>
    </xf>
    <xf numFmtId="0" fontId="12" fillId="0" borderId="17" xfId="0" applyFont="1" applyBorder="1"/>
    <xf numFmtId="164" fontId="12" fillId="0" borderId="17" xfId="2" applyNumberFormat="1" applyFont="1" applyBorder="1"/>
    <xf numFmtId="3" fontId="12" fillId="0" borderId="17" xfId="2" applyNumberFormat="1" applyFont="1" applyBorder="1"/>
    <xf numFmtId="164" fontId="0" fillId="0" borderId="17" xfId="2" applyNumberFormat="1" applyFont="1" applyBorder="1"/>
    <xf numFmtId="0" fontId="12" fillId="0" borderId="41" xfId="0" applyFont="1" applyBorder="1" applyAlignment="1">
      <alignment horizontal="center" vertical="center"/>
    </xf>
    <xf numFmtId="0" fontId="12" fillId="0" borderId="16" xfId="0" applyFont="1" applyBorder="1" applyAlignment="1">
      <alignment vertical="center"/>
    </xf>
    <xf numFmtId="3" fontId="12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/>
    </xf>
    <xf numFmtId="0" fontId="0" fillId="0" borderId="34" xfId="0" applyBorder="1"/>
    <xf numFmtId="0" fontId="6" fillId="0" borderId="31" xfId="0" applyFont="1" applyBorder="1" applyAlignment="1">
      <alignment horizontal="right" vertical="center"/>
    </xf>
    <xf numFmtId="9" fontId="0" fillId="0" borderId="0" xfId="2" applyFont="1"/>
    <xf numFmtId="167" fontId="6" fillId="0" borderId="0" xfId="0" applyNumberFormat="1" applyFont="1"/>
    <xf numFmtId="0" fontId="0" fillId="0" borderId="0" xfId="0" applyAlignment="1">
      <alignment horizontal="right"/>
    </xf>
    <xf numFmtId="3" fontId="5" fillId="5" borderId="16" xfId="0" applyNumberFormat="1" applyFont="1" applyFill="1" applyBorder="1" applyAlignment="1">
      <alignment horizontal="right" vertical="center"/>
    </xf>
    <xf numFmtId="3" fontId="5" fillId="5" borderId="33" xfId="0" applyNumberFormat="1" applyFont="1" applyFill="1" applyBorder="1" applyAlignment="1">
      <alignment horizontal="right" vertical="center"/>
    </xf>
    <xf numFmtId="0" fontId="11" fillId="0" borderId="11" xfId="0" applyFont="1" applyBorder="1" applyAlignment="1">
      <alignment horizontal="center" vertical="center"/>
    </xf>
    <xf numFmtId="0" fontId="11" fillId="0" borderId="7" xfId="0" applyFont="1" applyBorder="1" applyAlignment="1">
      <alignment vertical="center"/>
    </xf>
    <xf numFmtId="0" fontId="11" fillId="0" borderId="8" xfId="0" applyFont="1" applyBorder="1" applyAlignment="1">
      <alignment horizontal="right" vertical="center"/>
    </xf>
    <xf numFmtId="0" fontId="12" fillId="0" borderId="27" xfId="0" applyFont="1" applyBorder="1" applyAlignment="1">
      <alignment horizontal="center" vertical="center"/>
    </xf>
    <xf numFmtId="0" fontId="12" fillId="0" borderId="16" xfId="0" applyFont="1" applyBorder="1" applyAlignment="1">
      <alignment horizontal="right" vertical="center"/>
    </xf>
    <xf numFmtId="0" fontId="11" fillId="0" borderId="27" xfId="0" applyFont="1" applyBorder="1" applyAlignment="1">
      <alignment horizontal="center" vertical="center"/>
    </xf>
    <xf numFmtId="3" fontId="0" fillId="0" borderId="17" xfId="0" applyNumberFormat="1" applyBorder="1"/>
    <xf numFmtId="0" fontId="6" fillId="0" borderId="20" xfId="0" applyFont="1" applyBorder="1" applyAlignment="1">
      <alignment horizontal="right"/>
    </xf>
    <xf numFmtId="0" fontId="6" fillId="0" borderId="10" xfId="0" applyFont="1" applyBorder="1"/>
    <xf numFmtId="0" fontId="17" fillId="0" borderId="10" xfId="0" applyFont="1" applyBorder="1"/>
    <xf numFmtId="3" fontId="5" fillId="0" borderId="0" xfId="0" applyNumberFormat="1" applyFont="1" applyAlignment="1">
      <alignment horizontal="center"/>
    </xf>
    <xf numFmtId="164" fontId="5" fillId="0" borderId="0" xfId="2" applyNumberFormat="1" applyFont="1" applyAlignment="1">
      <alignment horizontal="center"/>
    </xf>
    <xf numFmtId="3" fontId="6" fillId="0" borderId="21" xfId="0" applyNumberFormat="1" applyFont="1" applyBorder="1" applyAlignment="1" applyProtection="1">
      <alignment horizontal="center" vertical="center"/>
      <protection hidden="1"/>
    </xf>
    <xf numFmtId="3" fontId="6" fillId="0" borderId="19" xfId="0" applyNumberFormat="1" applyFont="1" applyBorder="1" applyAlignment="1" applyProtection="1">
      <alignment horizontal="center" vertical="center"/>
      <protection hidden="1"/>
    </xf>
    <xf numFmtId="3" fontId="6" fillId="0" borderId="22" xfId="0" applyNumberFormat="1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vertical="center"/>
      <protection hidden="1"/>
    </xf>
    <xf numFmtId="0" fontId="11" fillId="0" borderId="4" xfId="0" applyFont="1" applyBorder="1" applyAlignment="1" applyProtection="1">
      <alignment horizontal="right" vertical="center"/>
      <protection hidden="1"/>
    </xf>
    <xf numFmtId="166" fontId="11" fillId="0" borderId="4" xfId="0" applyNumberFormat="1" applyFont="1" applyBorder="1" applyAlignment="1" applyProtection="1">
      <alignment horizontal="right" vertical="center"/>
      <protection hidden="1"/>
    </xf>
    <xf numFmtId="3" fontId="11" fillId="0" borderId="4" xfId="0" applyNumberFormat="1" applyFont="1" applyBorder="1" applyAlignment="1" applyProtection="1">
      <alignment vertical="center"/>
      <protection hidden="1"/>
    </xf>
    <xf numFmtId="3" fontId="0" fillId="0" borderId="38" xfId="2" applyNumberFormat="1" applyFont="1" applyBorder="1"/>
    <xf numFmtId="3" fontId="0" fillId="0" borderId="44" xfId="0" applyNumberFormat="1" applyBorder="1"/>
    <xf numFmtId="0" fontId="38" fillId="0" borderId="0" xfId="0" applyFont="1" applyProtection="1">
      <protection hidden="1"/>
    </xf>
    <xf numFmtId="0" fontId="11" fillId="0" borderId="13" xfId="0" applyFont="1" applyBorder="1" applyAlignment="1">
      <alignment horizontal="center" vertical="center"/>
    </xf>
    <xf numFmtId="0" fontId="11" fillId="0" borderId="34" xfId="0" applyFont="1" applyBorder="1" applyAlignment="1">
      <alignment vertical="center"/>
    </xf>
    <xf numFmtId="0" fontId="11" fillId="0" borderId="43" xfId="0" applyFont="1" applyBorder="1" applyAlignment="1">
      <alignment horizontal="right" vertical="center"/>
    </xf>
    <xf numFmtId="0" fontId="12" fillId="0" borderId="45" xfId="0" applyFont="1" applyBorder="1" applyAlignment="1">
      <alignment vertical="center"/>
    </xf>
    <xf numFmtId="0" fontId="11" fillId="0" borderId="46" xfId="0" applyFont="1" applyBorder="1" applyAlignment="1">
      <alignment horizontal="right" vertical="center"/>
    </xf>
    <xf numFmtId="0" fontId="6" fillId="0" borderId="46" xfId="0" applyFont="1" applyBorder="1" applyAlignment="1">
      <alignment horizontal="right" vertical="center"/>
    </xf>
    <xf numFmtId="0" fontId="12" fillId="0" borderId="46" xfId="0" applyFont="1" applyBorder="1" applyAlignment="1">
      <alignment horizontal="right" vertical="center"/>
    </xf>
    <xf numFmtId="0" fontId="11" fillId="0" borderId="46" xfId="0" applyFont="1" applyBorder="1" applyAlignment="1">
      <alignment vertical="center"/>
    </xf>
    <xf numFmtId="0" fontId="12" fillId="0" borderId="45" xfId="0" applyFont="1" applyBorder="1" applyAlignment="1">
      <alignment horizontal="right" vertical="center"/>
    </xf>
    <xf numFmtId="0" fontId="11" fillId="0" borderId="45" xfId="0" applyFont="1" applyBorder="1" applyAlignment="1">
      <alignment vertical="center"/>
    </xf>
    <xf numFmtId="3" fontId="6" fillId="0" borderId="50" xfId="0" applyNumberFormat="1" applyFont="1" applyBorder="1" applyAlignment="1" applyProtection="1">
      <alignment vertical="center"/>
      <protection hidden="1"/>
    </xf>
    <xf numFmtId="167" fontId="6" fillId="0" borderId="51" xfId="0" applyNumberFormat="1" applyFont="1" applyBorder="1" applyAlignment="1" applyProtection="1">
      <alignment vertical="center"/>
      <protection hidden="1"/>
    </xf>
    <xf numFmtId="167" fontId="7" fillId="3" borderId="38" xfId="0" applyNumberFormat="1" applyFont="1" applyFill="1" applyBorder="1" applyAlignment="1" applyProtection="1">
      <alignment vertical="center"/>
      <protection hidden="1"/>
    </xf>
    <xf numFmtId="167" fontId="7" fillId="3" borderId="35" xfId="0" applyNumberFormat="1" applyFont="1" applyFill="1" applyBorder="1" applyAlignment="1" applyProtection="1">
      <alignment vertical="center"/>
      <protection hidden="1"/>
    </xf>
    <xf numFmtId="3" fontId="7" fillId="3" borderId="38" xfId="0" applyNumberFormat="1" applyFont="1" applyFill="1" applyBorder="1" applyAlignment="1" applyProtection="1">
      <alignment vertical="center"/>
      <protection hidden="1"/>
    </xf>
    <xf numFmtId="3" fontId="6" fillId="0" borderId="48" xfId="0" applyNumberFormat="1" applyFont="1" applyBorder="1" applyAlignment="1" applyProtection="1">
      <alignment vertical="center"/>
      <protection hidden="1"/>
    </xf>
    <xf numFmtId="167" fontId="12" fillId="3" borderId="35" xfId="0" applyNumberFormat="1" applyFont="1" applyFill="1" applyBorder="1" applyAlignment="1" applyProtection="1">
      <alignment vertical="center"/>
      <protection hidden="1"/>
    </xf>
    <xf numFmtId="9" fontId="7" fillId="3" borderId="38" xfId="0" applyNumberFormat="1" applyFont="1" applyFill="1" applyBorder="1" applyAlignment="1" applyProtection="1">
      <alignment vertical="center"/>
      <protection hidden="1"/>
    </xf>
    <xf numFmtId="164" fontId="7" fillId="3" borderId="35" xfId="0" applyNumberFormat="1" applyFont="1" applyFill="1" applyBorder="1" applyAlignment="1" applyProtection="1">
      <alignment vertical="center"/>
      <protection hidden="1"/>
    </xf>
    <xf numFmtId="164" fontId="7" fillId="3" borderId="38" xfId="0" applyNumberFormat="1" applyFont="1" applyFill="1" applyBorder="1" applyAlignment="1" applyProtection="1">
      <alignment vertical="center"/>
      <protection hidden="1"/>
    </xf>
    <xf numFmtId="0" fontId="7" fillId="0" borderId="25" xfId="0" applyFont="1" applyBorder="1" applyAlignment="1">
      <alignment vertical="center"/>
    </xf>
    <xf numFmtId="3" fontId="7" fillId="0" borderId="39" xfId="0" applyNumberFormat="1" applyFont="1" applyBorder="1" applyAlignment="1" applyProtection="1">
      <alignment vertical="center"/>
      <protection hidden="1"/>
    </xf>
    <xf numFmtId="167" fontId="7" fillId="0" borderId="37" xfId="0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vertical="center"/>
    </xf>
    <xf numFmtId="0" fontId="9" fillId="0" borderId="7" xfId="0" applyFont="1" applyBorder="1" applyAlignment="1">
      <alignment vertical="center"/>
    </xf>
    <xf numFmtId="0" fontId="5" fillId="0" borderId="0" xfId="0" applyFont="1" applyAlignment="1">
      <alignment horizontal="left" vertical="center" wrapText="1"/>
    </xf>
    <xf numFmtId="167" fontId="7" fillId="3" borderId="33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5" fillId="0" borderId="4" xfId="0" applyFont="1" applyBorder="1" applyAlignment="1" applyProtection="1">
      <alignment vertical="center"/>
      <protection hidden="1"/>
    </xf>
    <xf numFmtId="0" fontId="5" fillId="0" borderId="4" xfId="0" applyFont="1" applyBorder="1" applyAlignment="1" applyProtection="1">
      <alignment horizontal="right"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5" fillId="0" borderId="0" xfId="0" applyFont="1" applyAlignment="1" applyProtection="1">
      <alignment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5" fillId="0" borderId="0" xfId="0" applyNumberFormat="1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left"/>
      <protection hidden="1"/>
    </xf>
    <xf numFmtId="0" fontId="6" fillId="0" borderId="12" xfId="0" applyFont="1" applyBorder="1" applyAlignment="1">
      <alignment horizontal="right"/>
    </xf>
    <xf numFmtId="3" fontId="6" fillId="0" borderId="2" xfId="0" applyNumberFormat="1" applyFont="1" applyBorder="1"/>
    <xf numFmtId="9" fontId="6" fillId="0" borderId="2" xfId="2" applyFont="1" applyBorder="1"/>
    <xf numFmtId="0" fontId="6" fillId="0" borderId="2" xfId="0" applyFont="1" applyBorder="1"/>
    <xf numFmtId="167" fontId="6" fillId="0" borderId="2" xfId="0" applyNumberFormat="1" applyFont="1" applyBorder="1"/>
    <xf numFmtId="3" fontId="6" fillId="0" borderId="1" xfId="0" applyNumberFormat="1" applyFont="1" applyBorder="1"/>
    <xf numFmtId="0" fontId="0" fillId="0" borderId="27" xfId="0" applyBorder="1" applyAlignment="1">
      <alignment horizontal="right"/>
    </xf>
    <xf numFmtId="0" fontId="5" fillId="0" borderId="13" xfId="0" applyFont="1" applyBorder="1" applyAlignment="1">
      <alignment horizontal="right"/>
    </xf>
    <xf numFmtId="0" fontId="18" fillId="0" borderId="34" xfId="0" applyFont="1" applyBorder="1"/>
    <xf numFmtId="167" fontId="0" fillId="0" borderId="34" xfId="0" applyNumberFormat="1" applyBorder="1"/>
    <xf numFmtId="3" fontId="0" fillId="0" borderId="34" xfId="0" applyNumberFormat="1" applyBorder="1"/>
    <xf numFmtId="3" fontId="5" fillId="0" borderId="34" xfId="0" applyNumberFormat="1" applyFont="1" applyBorder="1"/>
    <xf numFmtId="9" fontId="12" fillId="0" borderId="17" xfId="2" applyFont="1" applyBorder="1"/>
    <xf numFmtId="0" fontId="5" fillId="0" borderId="64" xfId="0" applyFont="1" applyBorder="1" applyAlignment="1" applyProtection="1">
      <alignment horizontal="left" vertical="center"/>
      <protection hidden="1"/>
    </xf>
    <xf numFmtId="0" fontId="5" fillId="0" borderId="65" xfId="0" applyFont="1" applyBorder="1" applyAlignment="1" applyProtection="1">
      <alignment horizontal="left" vertical="center"/>
      <protection hidden="1"/>
    </xf>
    <xf numFmtId="1" fontId="6" fillId="3" borderId="62" xfId="0" applyNumberFormat="1" applyFont="1" applyFill="1" applyBorder="1" applyAlignment="1" applyProtection="1">
      <alignment horizontal="center" vertical="center"/>
      <protection hidden="1"/>
    </xf>
    <xf numFmtId="0" fontId="6" fillId="0" borderId="12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0" fontId="4" fillId="0" borderId="34" xfId="0" applyFont="1" applyBorder="1" applyAlignment="1">
      <alignment horizontal="center"/>
    </xf>
    <xf numFmtId="167" fontId="7" fillId="3" borderId="67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right" vertical="center"/>
    </xf>
    <xf numFmtId="0" fontId="6" fillId="0" borderId="18" xfId="0" applyFont="1" applyBorder="1" applyProtection="1">
      <protection locked="0"/>
    </xf>
    <xf numFmtId="0" fontId="5" fillId="0" borderId="7" xfId="0" applyFont="1" applyBorder="1" applyProtection="1">
      <protection locked="0"/>
    </xf>
    <xf numFmtId="0" fontId="17" fillId="0" borderId="7" xfId="0" applyFont="1" applyBorder="1" applyProtection="1">
      <protection locked="0"/>
    </xf>
    <xf numFmtId="1" fontId="11" fillId="0" borderId="17" xfId="0" applyNumberFormat="1" applyFont="1" applyBorder="1" applyAlignment="1" applyProtection="1">
      <alignment horizontal="center"/>
      <protection hidden="1"/>
    </xf>
    <xf numFmtId="1" fontId="11" fillId="0" borderId="17" xfId="0" applyNumberFormat="1" applyFont="1" applyBorder="1" applyAlignment="1">
      <alignment horizontal="center"/>
    </xf>
    <xf numFmtId="3" fontId="6" fillId="0" borderId="0" xfId="0" applyNumberFormat="1" applyFont="1" applyAlignment="1">
      <alignment horizontal="center"/>
    </xf>
    <xf numFmtId="164" fontId="6" fillId="0" borderId="0" xfId="2" applyNumberFormat="1" applyFont="1" applyAlignment="1">
      <alignment horizontal="center"/>
    </xf>
    <xf numFmtId="166" fontId="6" fillId="0" borderId="0" xfId="0" applyNumberFormat="1" applyFont="1"/>
    <xf numFmtId="0" fontId="17" fillId="0" borderId="0" xfId="0" applyFont="1"/>
    <xf numFmtId="0" fontId="6" fillId="8" borderId="27" xfId="0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0" fontId="6" fillId="8" borderId="28" xfId="0" applyFont="1" applyFill="1" applyBorder="1" applyAlignment="1">
      <alignment horizontal="center" vertical="center"/>
    </xf>
    <xf numFmtId="3" fontId="6" fillId="0" borderId="0" xfId="0" applyNumberFormat="1" applyFont="1" applyAlignment="1">
      <alignment horizontal="right"/>
    </xf>
    <xf numFmtId="3" fontId="6" fillId="0" borderId="19" xfId="0" applyNumberFormat="1" applyFont="1" applyBorder="1" applyAlignment="1" applyProtection="1">
      <alignment horizontal="right"/>
      <protection hidden="1"/>
    </xf>
    <xf numFmtId="3" fontId="6" fillId="0" borderId="7" xfId="0" applyNumberFormat="1" applyFont="1" applyBorder="1"/>
    <xf numFmtId="0" fontId="12" fillId="0" borderId="0" xfId="0" applyFont="1" applyAlignment="1" applyProtection="1">
      <alignment horizontal="left" vertical="center"/>
      <protection hidden="1"/>
    </xf>
    <xf numFmtId="0" fontId="12" fillId="0" borderId="0" xfId="0" applyFont="1" applyAlignment="1" applyProtection="1">
      <alignment horizontal="left" vertical="center"/>
      <protection locked="0"/>
    </xf>
    <xf numFmtId="0" fontId="12" fillId="0" borderId="0" xfId="0" applyFont="1" applyAlignment="1">
      <alignment horizontal="left" vertical="center"/>
    </xf>
    <xf numFmtId="0" fontId="12" fillId="0" borderId="71" xfId="0" applyFont="1" applyBorder="1" applyProtection="1">
      <protection hidden="1"/>
    </xf>
    <xf numFmtId="0" fontId="12" fillId="0" borderId="73" xfId="0" applyFont="1" applyBorder="1" applyProtection="1">
      <protection hidden="1"/>
    </xf>
    <xf numFmtId="0" fontId="12" fillId="0" borderId="0" xfId="0" applyFont="1" applyAlignment="1" applyProtection="1">
      <alignment vertical="center"/>
      <protection locked="0"/>
    </xf>
    <xf numFmtId="1" fontId="11" fillId="5" borderId="33" xfId="0" applyNumberFormat="1" applyFont="1" applyFill="1" applyBorder="1" applyAlignment="1" applyProtection="1">
      <alignment horizontal="center" vertical="center"/>
      <protection hidden="1"/>
    </xf>
    <xf numFmtId="0" fontId="12" fillId="0" borderId="45" xfId="0" applyFont="1" applyBorder="1" applyAlignment="1" applyProtection="1">
      <alignment vertical="center"/>
      <protection hidden="1"/>
    </xf>
    <xf numFmtId="0" fontId="11" fillId="0" borderId="74" xfId="0" applyFont="1" applyBorder="1" applyAlignment="1">
      <alignment horizontal="right" vertical="center"/>
    </xf>
    <xf numFmtId="166" fontId="12" fillId="5" borderId="35" xfId="0" applyNumberFormat="1" applyFont="1" applyFill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vertical="center"/>
      <protection hidden="1"/>
    </xf>
    <xf numFmtId="0" fontId="12" fillId="0" borderId="74" xfId="0" applyFont="1" applyBorder="1" applyAlignment="1">
      <alignment horizontal="right" vertical="center"/>
    </xf>
    <xf numFmtId="3" fontId="11" fillId="0" borderId="35" xfId="0" applyNumberFormat="1" applyFont="1" applyBorder="1" applyAlignment="1" applyProtection="1">
      <alignment horizontal="center" vertical="center"/>
      <protection hidden="1"/>
    </xf>
    <xf numFmtId="166" fontId="12" fillId="0" borderId="35" xfId="0" applyNumberFormat="1" applyFont="1" applyBorder="1" applyAlignment="1" applyProtection="1">
      <alignment horizontal="center" vertical="center"/>
      <protection hidden="1"/>
    </xf>
    <xf numFmtId="0" fontId="12" fillId="0" borderId="45" xfId="0" applyFont="1" applyBorder="1" applyAlignment="1" applyProtection="1">
      <alignment horizontal="left" vertical="center"/>
      <protection hidden="1"/>
    </xf>
    <xf numFmtId="0" fontId="11" fillId="0" borderId="74" xfId="0" quotePrefix="1" applyFont="1" applyBorder="1" applyAlignment="1">
      <alignment horizontal="right" vertical="center"/>
    </xf>
    <xf numFmtId="0" fontId="11" fillId="0" borderId="45" xfId="0" applyFont="1" applyBorder="1" applyAlignment="1" applyProtection="1">
      <alignment horizontal="left" vertical="center"/>
      <protection hidden="1"/>
    </xf>
    <xf numFmtId="0" fontId="12" fillId="0" borderId="74" xfId="0" applyFont="1" applyBorder="1" applyAlignment="1" applyProtection="1">
      <alignment horizontal="right" vertical="center"/>
      <protection hidden="1"/>
    </xf>
    <xf numFmtId="0" fontId="11" fillId="0" borderId="74" xfId="0" applyFont="1" applyBorder="1" applyAlignment="1" applyProtection="1">
      <alignment horizontal="right" vertical="center"/>
      <protection hidden="1"/>
    </xf>
    <xf numFmtId="0" fontId="12" fillId="0" borderId="75" xfId="0" applyFont="1" applyBorder="1" applyAlignment="1" applyProtection="1">
      <alignment vertical="center"/>
      <protection hidden="1"/>
    </xf>
    <xf numFmtId="0" fontId="11" fillId="0" borderId="28" xfId="0" applyFont="1" applyBorder="1" applyAlignment="1">
      <alignment horizontal="right" vertical="center"/>
    </xf>
    <xf numFmtId="0" fontId="12" fillId="0" borderId="13" xfId="0" applyFont="1" applyBorder="1" applyAlignment="1" applyProtection="1">
      <alignment horizontal="center" vertical="center"/>
      <protection hidden="1"/>
    </xf>
    <xf numFmtId="0" fontId="35" fillId="0" borderId="0" xfId="0" applyFont="1"/>
    <xf numFmtId="167" fontId="12" fillId="0" borderId="0" xfId="0" applyNumberFormat="1" applyFont="1" applyAlignment="1">
      <alignment horizontal="center"/>
    </xf>
    <xf numFmtId="164" fontId="12" fillId="0" borderId="0" xfId="0" applyNumberFormat="1" applyFont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0" fontId="12" fillId="0" borderId="31" xfId="0" applyFont="1" applyBorder="1" applyAlignment="1">
      <alignment vertical="center"/>
    </xf>
    <xf numFmtId="0" fontId="12" fillId="0" borderId="76" xfId="0" applyFont="1" applyBorder="1" applyAlignment="1">
      <alignment vertical="center"/>
    </xf>
    <xf numFmtId="0" fontId="12" fillId="0" borderId="46" xfId="0" quotePrefix="1" applyFont="1" applyBorder="1" applyAlignment="1">
      <alignment horizontal="right" vertical="center"/>
    </xf>
    <xf numFmtId="0" fontId="12" fillId="0" borderId="13" xfId="0" applyFont="1" applyBorder="1" applyAlignment="1">
      <alignment horizontal="center" vertical="center"/>
    </xf>
    <xf numFmtId="9" fontId="12" fillId="3" borderId="17" xfId="0" applyNumberFormat="1" applyFont="1" applyFill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12" fillId="0" borderId="64" xfId="0" applyFont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center" vertical="center"/>
    </xf>
    <xf numFmtId="3" fontId="0" fillId="0" borderId="0" xfId="0" applyNumberFormat="1" applyAlignment="1" applyProtection="1">
      <alignment vertical="center"/>
      <protection hidden="1"/>
    </xf>
    <xf numFmtId="0" fontId="6" fillId="0" borderId="27" xfId="0" applyFont="1" applyBorder="1" applyAlignment="1" applyProtection="1">
      <alignment vertical="center"/>
      <protection hidden="1"/>
    </xf>
    <xf numFmtId="0" fontId="12" fillId="0" borderId="34" xfId="0" applyFont="1" applyBorder="1" applyAlignment="1" applyProtection="1">
      <alignment horizontal="right" vertical="center"/>
      <protection hidden="1"/>
    </xf>
    <xf numFmtId="0" fontId="12" fillId="0" borderId="17" xfId="0" applyFont="1" applyBorder="1" applyAlignment="1" applyProtection="1">
      <alignment horizontal="center" vertical="center"/>
      <protection hidden="1"/>
    </xf>
    <xf numFmtId="0" fontId="12" fillId="0" borderId="35" xfId="0" applyFont="1" applyBorder="1" applyAlignment="1" applyProtection="1">
      <alignment horizontal="center" vertical="center"/>
      <protection hidden="1"/>
    </xf>
    <xf numFmtId="0" fontId="6" fillId="0" borderId="27" xfId="0" applyFont="1" applyBorder="1" applyProtection="1">
      <protection hidden="1"/>
    </xf>
    <xf numFmtId="0" fontId="12" fillId="0" borderId="31" xfId="0" applyFont="1" applyBorder="1" applyAlignment="1">
      <alignment horizontal="right" vertical="center"/>
    </xf>
    <xf numFmtId="0" fontId="12" fillId="0" borderId="34" xfId="0" applyFont="1" applyBorder="1" applyAlignment="1" applyProtection="1">
      <alignment vertical="center"/>
      <protection hidden="1"/>
    </xf>
    <xf numFmtId="3" fontId="12" fillId="0" borderId="43" xfId="0" applyNumberFormat="1" applyFont="1" applyBorder="1" applyAlignment="1" applyProtection="1">
      <alignment vertical="center"/>
      <protection hidden="1"/>
    </xf>
    <xf numFmtId="0" fontId="12" fillId="0" borderId="81" xfId="0" applyFont="1" applyBorder="1" applyProtection="1">
      <protection hidden="1"/>
    </xf>
    <xf numFmtId="167" fontId="5" fillId="0" borderId="0" xfId="0" applyNumberFormat="1" applyFont="1" applyAlignment="1" applyProtection="1">
      <alignment vertical="center"/>
      <protection hidden="1"/>
    </xf>
    <xf numFmtId="0" fontId="12" fillId="0" borderId="10" xfId="0" applyFont="1" applyBorder="1" applyAlignment="1">
      <alignment vertical="center"/>
    </xf>
    <xf numFmtId="0" fontId="12" fillId="0" borderId="27" xfId="0" applyFont="1" applyBorder="1" applyAlignment="1">
      <alignment horizontal="center"/>
    </xf>
    <xf numFmtId="0" fontId="12" fillId="0" borderId="60" xfId="0" applyFont="1" applyBorder="1" applyProtection="1">
      <protection hidden="1"/>
    </xf>
    <xf numFmtId="0" fontId="12" fillId="0" borderId="25" xfId="0" applyFont="1" applyBorder="1" applyProtection="1">
      <protection hidden="1"/>
    </xf>
    <xf numFmtId="9" fontId="42" fillId="7" borderId="17" xfId="0" applyNumberFormat="1" applyFont="1" applyFill="1" applyBorder="1" applyAlignment="1" applyProtection="1">
      <alignment horizontal="center" vertical="center"/>
      <protection locked="0"/>
    </xf>
    <xf numFmtId="166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42" fillId="0" borderId="20" xfId="0" applyFont="1" applyBorder="1" applyAlignment="1">
      <alignment horizontal="center" vertical="center"/>
    </xf>
    <xf numFmtId="166" fontId="42" fillId="7" borderId="20" xfId="0" applyNumberFormat="1" applyFont="1" applyFill="1" applyBorder="1" applyAlignment="1" applyProtection="1">
      <alignment horizontal="center" vertical="center"/>
      <protection locked="0"/>
    </xf>
    <xf numFmtId="0" fontId="42" fillId="0" borderId="10" xfId="0" applyFont="1" applyBorder="1" applyAlignment="1">
      <alignment horizontal="left" vertical="center"/>
    </xf>
    <xf numFmtId="1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42" fillId="0" borderId="44" xfId="0" applyFont="1" applyBorder="1" applyAlignment="1">
      <alignment horizontal="center" vertical="center"/>
    </xf>
    <xf numFmtId="0" fontId="42" fillId="0" borderId="82" xfId="0" applyFont="1" applyBorder="1" applyAlignment="1">
      <alignment horizontal="center" vertical="center"/>
    </xf>
    <xf numFmtId="0" fontId="12" fillId="0" borderId="7" xfId="0" applyFont="1" applyBorder="1" applyAlignment="1" applyProtection="1">
      <alignment horizontal="left" vertical="center"/>
      <protection locked="0"/>
    </xf>
    <xf numFmtId="0" fontId="12" fillId="0" borderId="27" xfId="0" applyFont="1" applyBorder="1"/>
    <xf numFmtId="0" fontId="12" fillId="0" borderId="25" xfId="0" applyFont="1" applyBorder="1" applyAlignment="1" applyProtection="1">
      <alignment vertical="center"/>
      <protection locked="0"/>
    </xf>
    <xf numFmtId="167" fontId="7" fillId="3" borderId="44" xfId="0" applyNumberFormat="1" applyFont="1" applyFill="1" applyBorder="1" applyAlignment="1" applyProtection="1">
      <alignment vertical="center"/>
      <protection hidden="1"/>
    </xf>
    <xf numFmtId="0" fontId="36" fillId="0" borderId="73" xfId="0" applyFont="1" applyBorder="1"/>
    <xf numFmtId="164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2" fillId="0" borderId="27" xfId="0" applyFont="1" applyBorder="1" applyAlignment="1" applyProtection="1">
      <alignment vertical="center"/>
      <protection locked="0"/>
    </xf>
    <xf numFmtId="0" fontId="8" fillId="2" borderId="0" xfId="0" applyFont="1" applyFill="1" applyAlignment="1">
      <alignment horizontal="center" vertical="center"/>
    </xf>
    <xf numFmtId="0" fontId="44" fillId="0" borderId="0" xfId="0" applyFont="1" applyAlignment="1">
      <alignment vertical="center"/>
    </xf>
    <xf numFmtId="0" fontId="45" fillId="0" borderId="0" xfId="0" applyFont="1"/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40" fillId="0" borderId="0" xfId="0" applyFont="1"/>
    <xf numFmtId="0" fontId="40" fillId="0" borderId="0" xfId="0" applyFont="1" applyAlignment="1">
      <alignment vertical="center"/>
    </xf>
    <xf numFmtId="3" fontId="6" fillId="10" borderId="21" xfId="0" applyNumberFormat="1" applyFont="1" applyFill="1" applyBorder="1" applyAlignment="1" applyProtection="1">
      <alignment horizontal="center" vertical="center"/>
      <protection hidden="1"/>
    </xf>
    <xf numFmtId="3" fontId="6" fillId="10" borderId="19" xfId="0" applyNumberFormat="1" applyFont="1" applyFill="1" applyBorder="1" applyAlignment="1" applyProtection="1">
      <alignment horizontal="center" vertical="center"/>
      <protection hidden="1"/>
    </xf>
    <xf numFmtId="3" fontId="5" fillId="10" borderId="17" xfId="0" applyNumberFormat="1" applyFont="1" applyFill="1" applyBorder="1" applyProtection="1">
      <protection hidden="1"/>
    </xf>
    <xf numFmtId="3" fontId="6" fillId="10" borderId="22" xfId="0" applyNumberFormat="1" applyFont="1" applyFill="1" applyBorder="1" applyAlignment="1" applyProtection="1">
      <alignment horizontal="center" vertical="center"/>
      <protection hidden="1"/>
    </xf>
    <xf numFmtId="0" fontId="37" fillId="0" borderId="0" xfId="0" applyFont="1"/>
    <xf numFmtId="0" fontId="7" fillId="0" borderId="0" xfId="0" applyFont="1" applyProtection="1">
      <protection hidden="1"/>
    </xf>
    <xf numFmtId="0" fontId="6" fillId="0" borderId="0" xfId="0" applyFont="1" applyProtection="1">
      <protection hidden="1"/>
    </xf>
    <xf numFmtId="0" fontId="7" fillId="0" borderId="23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3" fontId="0" fillId="0" borderId="0" xfId="0" applyNumberFormat="1" applyProtection="1">
      <protection hidden="1"/>
    </xf>
    <xf numFmtId="0" fontId="47" fillId="0" borderId="0" xfId="0" applyFont="1"/>
    <xf numFmtId="166" fontId="47" fillId="0" borderId="0" xfId="0" applyNumberFormat="1" applyFont="1"/>
    <xf numFmtId="0" fontId="48" fillId="0" borderId="0" xfId="0" applyFont="1"/>
    <xf numFmtId="166" fontId="47" fillId="0" borderId="0" xfId="0" applyNumberFormat="1" applyFont="1" applyAlignment="1">
      <alignment horizontal="center"/>
    </xf>
    <xf numFmtId="3" fontId="47" fillId="0" borderId="0" xfId="0" applyNumberFormat="1" applyFont="1"/>
    <xf numFmtId="0" fontId="47" fillId="0" borderId="0" xfId="0" applyFont="1" applyAlignment="1">
      <alignment horizontal="center"/>
    </xf>
    <xf numFmtId="0" fontId="47" fillId="0" borderId="19" xfId="0" applyFont="1" applyBorder="1" applyAlignment="1">
      <alignment horizontal="center" vertical="center"/>
    </xf>
    <xf numFmtId="0" fontId="49" fillId="0" borderId="0" xfId="0" applyFont="1"/>
    <xf numFmtId="0" fontId="49" fillId="0" borderId="17" xfId="0" applyFont="1" applyBorder="1"/>
    <xf numFmtId="1" fontId="11" fillId="0" borderId="17" xfId="0" applyNumberFormat="1" applyFont="1" applyBorder="1" applyAlignment="1">
      <alignment horizontal="center" vertical="center"/>
    </xf>
    <xf numFmtId="1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3" fontId="12" fillId="5" borderId="32" xfId="0" applyNumberFormat="1" applyFont="1" applyFill="1" applyBorder="1" applyAlignment="1" applyProtection="1">
      <alignment horizontal="center" vertical="center"/>
      <protection hidden="1"/>
    </xf>
    <xf numFmtId="0" fontId="12" fillId="0" borderId="25" xfId="0" applyFont="1" applyBorder="1" applyAlignment="1">
      <alignment vertical="center"/>
    </xf>
    <xf numFmtId="0" fontId="7" fillId="7" borderId="32" xfId="0" applyFont="1" applyFill="1" applyBorder="1" applyAlignment="1" applyProtection="1">
      <alignment horizontal="center" vertical="center"/>
      <protection locked="0"/>
    </xf>
    <xf numFmtId="0" fontId="7" fillId="7" borderId="17" xfId="0" applyFont="1" applyFill="1" applyBorder="1" applyAlignment="1" applyProtection="1">
      <alignment horizontal="center" vertical="center"/>
      <protection locked="0"/>
    </xf>
    <xf numFmtId="0" fontId="7" fillId="7" borderId="83" xfId="0" applyFont="1" applyFill="1" applyBorder="1" applyAlignment="1" applyProtection="1">
      <alignment horizontal="center" vertical="center"/>
      <protection locked="0"/>
    </xf>
    <xf numFmtId="1" fontId="7" fillId="7" borderId="32" xfId="0" applyNumberFormat="1" applyFont="1" applyFill="1" applyBorder="1" applyAlignment="1" applyProtection="1">
      <alignment horizontal="center" vertical="center"/>
      <protection locked="0"/>
    </xf>
    <xf numFmtId="1" fontId="7" fillId="7" borderId="17" xfId="0" applyNumberFormat="1" applyFont="1" applyFill="1" applyBorder="1" applyAlignment="1" applyProtection="1">
      <alignment horizontal="center" vertical="center"/>
      <protection locked="0"/>
    </xf>
    <xf numFmtId="1" fontId="7" fillId="7" borderId="83" xfId="0" applyNumberFormat="1" applyFont="1" applyFill="1" applyBorder="1" applyAlignment="1" applyProtection="1">
      <alignment horizontal="center" vertical="center"/>
      <protection locked="0"/>
    </xf>
    <xf numFmtId="1" fontId="4" fillId="8" borderId="62" xfId="0" applyNumberFormat="1" applyFont="1" applyFill="1" applyBorder="1" applyAlignment="1" applyProtection="1">
      <alignment horizontal="center" vertical="center"/>
      <protection hidden="1"/>
    </xf>
    <xf numFmtId="0" fontId="4" fillId="5" borderId="4" xfId="0" applyFont="1" applyFill="1" applyBorder="1" applyAlignment="1" applyProtection="1">
      <alignment vertical="center"/>
      <protection hidden="1"/>
    </xf>
    <xf numFmtId="3" fontId="4" fillId="0" borderId="60" xfId="0" applyNumberFormat="1" applyFont="1" applyBorder="1" applyAlignment="1" applyProtection="1">
      <alignment vertical="center"/>
      <protection hidden="1"/>
    </xf>
    <xf numFmtId="167" fontId="7" fillId="0" borderId="0" xfId="0" applyNumberFormat="1" applyFont="1" applyAlignment="1">
      <alignment horizontal="center"/>
    </xf>
    <xf numFmtId="0" fontId="12" fillId="0" borderId="2" xfId="0" applyFont="1" applyBorder="1" applyAlignment="1" applyProtection="1">
      <alignment vertical="center"/>
      <protection locked="0"/>
    </xf>
    <xf numFmtId="0" fontId="4" fillId="0" borderId="0" xfId="0" applyFont="1" applyAlignment="1">
      <alignment horizontal="left" vertical="center"/>
    </xf>
    <xf numFmtId="1" fontId="6" fillId="3" borderId="0" xfId="0" applyNumberFormat="1" applyFont="1" applyFill="1" applyAlignment="1">
      <alignment horizontal="center"/>
    </xf>
    <xf numFmtId="164" fontId="0" fillId="0" borderId="0" xfId="2" applyNumberFormat="1" applyFont="1"/>
    <xf numFmtId="164" fontId="12" fillId="0" borderId="0" xfId="2" applyNumberFormat="1" applyFont="1"/>
    <xf numFmtId="3" fontId="12" fillId="0" borderId="0" xfId="2" applyNumberFormat="1" applyFont="1"/>
    <xf numFmtId="9" fontId="12" fillId="0" borderId="0" xfId="2" applyFont="1"/>
    <xf numFmtId="1" fontId="6" fillId="0" borderId="0" xfId="0" applyNumberFormat="1" applyFont="1" applyAlignment="1">
      <alignment horizontal="left"/>
    </xf>
    <xf numFmtId="0" fontId="0" fillId="0" borderId="0" xfId="0" applyAlignment="1">
      <alignment horizontal="right" vertical="center"/>
    </xf>
    <xf numFmtId="3" fontId="38" fillId="0" borderId="0" xfId="0" applyNumberFormat="1" applyFont="1" applyAlignment="1">
      <alignment horizontal="right"/>
    </xf>
    <xf numFmtId="0" fontId="38" fillId="0" borderId="0" xfId="0" applyFont="1"/>
    <xf numFmtId="1" fontId="38" fillId="0" borderId="0" xfId="0" applyNumberFormat="1" applyFont="1" applyAlignment="1">
      <alignment horizontal="right"/>
    </xf>
    <xf numFmtId="0" fontId="12" fillId="0" borderId="16" xfId="0" applyFont="1" applyBorder="1" applyAlignment="1">
      <alignment horizontal="left" vertical="center"/>
    </xf>
    <xf numFmtId="0" fontId="23" fillId="0" borderId="0" xfId="0" applyFont="1" applyAlignment="1">
      <alignment horizontal="left" vertical="center" wrapText="1"/>
    </xf>
    <xf numFmtId="0" fontId="12" fillId="0" borderId="76" xfId="0" applyFont="1" applyBorder="1" applyAlignment="1">
      <alignment horizontal="right" vertical="center"/>
    </xf>
    <xf numFmtId="0" fontId="11" fillId="0" borderId="0" xfId="0" applyFont="1" applyAlignment="1">
      <alignment horizontal="left" vertical="center"/>
    </xf>
    <xf numFmtId="0" fontId="11" fillId="0" borderId="31" xfId="0" applyFont="1" applyBorder="1" applyAlignment="1">
      <alignment vertical="center"/>
    </xf>
    <xf numFmtId="0" fontId="11" fillId="0" borderId="91" xfId="0" applyFont="1" applyBorder="1" applyAlignment="1">
      <alignment vertical="center"/>
    </xf>
    <xf numFmtId="0" fontId="11" fillId="0" borderId="92" xfId="0" applyFont="1" applyBorder="1" applyAlignment="1">
      <alignment horizontal="right" vertical="center"/>
    </xf>
    <xf numFmtId="0" fontId="11" fillId="0" borderId="91" xfId="0" applyFont="1" applyBorder="1" applyAlignment="1">
      <alignment horizontal="right" vertical="center"/>
    </xf>
    <xf numFmtId="0" fontId="39" fillId="0" borderId="0" xfId="0" applyFont="1" applyAlignment="1" applyProtection="1">
      <alignment vertical="center"/>
      <protection hidden="1"/>
    </xf>
    <xf numFmtId="0" fontId="0" fillId="0" borderId="2" xfId="0" applyBorder="1" applyAlignment="1">
      <alignment vertical="center"/>
    </xf>
    <xf numFmtId="0" fontId="6" fillId="0" borderId="12" xfId="0" applyFont="1" applyBorder="1" applyAlignment="1">
      <alignment vertical="center"/>
    </xf>
    <xf numFmtId="3" fontId="12" fillId="0" borderId="34" xfId="0" applyNumberFormat="1" applyFont="1" applyBorder="1" applyAlignment="1" applyProtection="1">
      <alignment vertical="center"/>
      <protection hidden="1"/>
    </xf>
    <xf numFmtId="0" fontId="6" fillId="0" borderId="94" xfId="0" applyFont="1" applyBorder="1" applyAlignment="1">
      <alignment horizontal="right" vertical="center"/>
    </xf>
    <xf numFmtId="0" fontId="12" fillId="0" borderId="46" xfId="0" applyFont="1" applyBorder="1" applyAlignment="1" applyProtection="1">
      <alignment vertical="center"/>
      <protection hidden="1"/>
    </xf>
    <xf numFmtId="0" fontId="12" fillId="0" borderId="93" xfId="0" applyFont="1" applyBorder="1" applyAlignment="1" applyProtection="1">
      <alignment vertical="center"/>
      <protection hidden="1"/>
    </xf>
    <xf numFmtId="0" fontId="12" fillId="0" borderId="94" xfId="0" applyFont="1" applyBorder="1" applyAlignment="1" applyProtection="1">
      <alignment vertical="center"/>
      <protection hidden="1"/>
    </xf>
    <xf numFmtId="0" fontId="18" fillId="0" borderId="7" xfId="0" applyFont="1" applyBorder="1" applyAlignment="1" applyProtection="1">
      <alignment vertical="center"/>
      <protection locked="0"/>
    </xf>
    <xf numFmtId="0" fontId="5" fillId="0" borderId="7" xfId="0" applyFont="1" applyBorder="1" applyAlignment="1" applyProtection="1">
      <alignment vertical="center"/>
      <protection locked="0"/>
    </xf>
    <xf numFmtId="0" fontId="5" fillId="2" borderId="7" xfId="0" applyFont="1" applyFill="1" applyBorder="1" applyAlignment="1" applyProtection="1">
      <alignment vertical="center"/>
      <protection locked="0"/>
    </xf>
    <xf numFmtId="0" fontId="5" fillId="0" borderId="8" xfId="0" applyFont="1" applyBorder="1" applyAlignment="1" applyProtection="1">
      <alignment vertical="center"/>
      <protection locked="0"/>
    </xf>
    <xf numFmtId="0" fontId="12" fillId="2" borderId="0" xfId="0" applyFont="1" applyFill="1" applyAlignment="1" applyProtection="1">
      <alignment vertical="center"/>
      <protection locked="0"/>
    </xf>
    <xf numFmtId="0" fontId="12" fillId="0" borderId="31" xfId="0" applyFont="1" applyBorder="1" applyAlignment="1" applyProtection="1">
      <alignment vertical="center"/>
      <protection locked="0"/>
    </xf>
    <xf numFmtId="0" fontId="12" fillId="0" borderId="16" xfId="0" applyFont="1" applyBorder="1" applyAlignment="1" applyProtection="1">
      <alignment vertical="center"/>
      <protection locked="0"/>
    </xf>
    <xf numFmtId="0" fontId="12" fillId="2" borderId="16" xfId="0" applyFont="1" applyFill="1" applyBorder="1" applyAlignment="1" applyProtection="1">
      <alignment vertical="center"/>
      <protection locked="0"/>
    </xf>
    <xf numFmtId="0" fontId="12" fillId="0" borderId="59" xfId="0" applyFont="1" applyBorder="1" applyAlignment="1" applyProtection="1">
      <alignment vertical="center"/>
      <protection locked="0"/>
    </xf>
    <xf numFmtId="0" fontId="12" fillId="2" borderId="31" xfId="0" applyFont="1" applyFill="1" applyBorder="1" applyAlignment="1" applyProtection="1">
      <alignment vertical="center"/>
      <protection locked="0"/>
    </xf>
    <xf numFmtId="3" fontId="3" fillId="2" borderId="0" xfId="0" applyNumberFormat="1" applyFont="1" applyFill="1" applyProtection="1">
      <protection hidden="1"/>
    </xf>
    <xf numFmtId="17" fontId="6" fillId="0" borderId="0" xfId="0" applyNumberFormat="1" applyFont="1"/>
    <xf numFmtId="17" fontId="11" fillId="0" borderId="0" xfId="0" applyNumberFormat="1" applyFont="1"/>
    <xf numFmtId="1" fontId="11" fillId="0" borderId="0" xfId="0" applyNumberFormat="1" applyFont="1"/>
    <xf numFmtId="3" fontId="11" fillId="0" borderId="0" xfId="0" applyNumberFormat="1" applyFont="1"/>
    <xf numFmtId="0" fontId="12" fillId="11" borderId="0" xfId="0" applyFont="1" applyFill="1"/>
    <xf numFmtId="3" fontId="12" fillId="11" borderId="0" xfId="0" applyNumberFormat="1" applyFont="1" applyFill="1"/>
    <xf numFmtId="0" fontId="3" fillId="0" borderId="0" xfId="0" applyFont="1"/>
    <xf numFmtId="0" fontId="11" fillId="0" borderId="0" xfId="0" applyFont="1" applyAlignment="1">
      <alignment horizontal="center"/>
    </xf>
    <xf numFmtId="0" fontId="11" fillId="0" borderId="12" xfId="0" applyFont="1" applyBorder="1"/>
    <xf numFmtId="17" fontId="11" fillId="0" borderId="2" xfId="0" applyNumberFormat="1" applyFont="1" applyBorder="1"/>
    <xf numFmtId="17" fontId="11" fillId="0" borderId="1" xfId="0" applyNumberFormat="1" applyFont="1" applyBorder="1"/>
    <xf numFmtId="0" fontId="11" fillId="0" borderId="27" xfId="0" applyFont="1" applyBorder="1" applyAlignment="1">
      <alignment horizontal="center"/>
    </xf>
    <xf numFmtId="1" fontId="11" fillId="0" borderId="28" xfId="0" applyNumberFormat="1" applyFont="1" applyBorder="1"/>
    <xf numFmtId="0" fontId="11" fillId="0" borderId="28" xfId="0" applyFont="1" applyBorder="1"/>
    <xf numFmtId="0" fontId="12" fillId="0" borderId="28" xfId="0" applyFont="1" applyBorder="1"/>
    <xf numFmtId="0" fontId="12" fillId="0" borderId="13" xfId="0" applyFont="1" applyBorder="1"/>
    <xf numFmtId="0" fontId="11" fillId="0" borderId="34" xfId="0" applyFont="1" applyBorder="1" applyAlignment="1">
      <alignment horizontal="right"/>
    </xf>
    <xf numFmtId="3" fontId="11" fillId="0" borderId="34" xfId="0" applyNumberFormat="1" applyFont="1" applyBorder="1"/>
    <xf numFmtId="0" fontId="0" fillId="0" borderId="0" xfId="0" applyProtection="1">
      <protection locked="0"/>
    </xf>
    <xf numFmtId="0" fontId="5" fillId="0" borderId="34" xfId="0" applyFont="1" applyBorder="1" applyAlignment="1" applyProtection="1">
      <alignment horizontal="left" vertical="center"/>
      <protection hidden="1"/>
    </xf>
    <xf numFmtId="0" fontId="12" fillId="0" borderId="34" xfId="0" applyFont="1" applyBorder="1" applyAlignment="1" applyProtection="1">
      <alignment horizontal="left" vertical="center"/>
      <protection hidden="1"/>
    </xf>
    <xf numFmtId="0" fontId="6" fillId="0" borderId="27" xfId="0" applyFont="1" applyBorder="1" applyAlignment="1">
      <alignment horizontal="center"/>
    </xf>
    <xf numFmtId="9" fontId="12" fillId="3" borderId="38" xfId="0" applyNumberFormat="1" applyFont="1" applyFill="1" applyBorder="1" applyAlignment="1" applyProtection="1">
      <alignment vertical="center"/>
      <protection hidden="1"/>
    </xf>
    <xf numFmtId="0" fontId="3" fillId="0" borderId="0" xfId="0" applyFont="1" applyAlignment="1">
      <alignment horizontal="right"/>
    </xf>
    <xf numFmtId="0" fontId="9" fillId="0" borderId="0" xfId="0" applyFont="1" applyAlignment="1">
      <alignment vertical="center"/>
    </xf>
    <xf numFmtId="2" fontId="5" fillId="0" borderId="0" xfId="0" applyNumberFormat="1" applyFont="1" applyAlignment="1">
      <alignment horizontal="left" vertical="center"/>
    </xf>
    <xf numFmtId="0" fontId="12" fillId="0" borderId="7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2" fillId="0" borderId="70" xfId="0" applyFont="1" applyBorder="1" applyAlignment="1" applyProtection="1">
      <alignment horizontal="left" vertical="center"/>
      <protection hidden="1"/>
    </xf>
    <xf numFmtId="0" fontId="12" fillId="0" borderId="71" xfId="0" applyFont="1" applyBorder="1" applyAlignment="1" applyProtection="1">
      <alignment horizontal="left" vertical="center"/>
      <protection hidden="1"/>
    </xf>
    <xf numFmtId="0" fontId="12" fillId="0" borderId="72" xfId="0" applyFont="1" applyBorder="1" applyAlignment="1" applyProtection="1">
      <alignment horizontal="left" vertical="center"/>
      <protection hidden="1"/>
    </xf>
    <xf numFmtId="0" fontId="12" fillId="0" borderId="73" xfId="0" applyFont="1" applyBorder="1" applyAlignment="1" applyProtection="1">
      <alignment horizontal="left" vertical="center"/>
      <protection hidden="1"/>
    </xf>
    <xf numFmtId="0" fontId="12" fillId="0" borderId="72" xfId="0" applyFont="1" applyBorder="1" applyAlignment="1" applyProtection="1">
      <alignment vertical="center"/>
      <protection hidden="1"/>
    </xf>
    <xf numFmtId="0" fontId="18" fillId="0" borderId="0" xfId="0" applyFont="1" applyAlignment="1">
      <alignment vertical="center"/>
    </xf>
    <xf numFmtId="3" fontId="12" fillId="0" borderId="45" xfId="0" applyNumberFormat="1" applyFont="1" applyBorder="1" applyAlignment="1" applyProtection="1">
      <alignment horizontal="right" vertical="center" wrapText="1"/>
      <protection hidden="1"/>
    </xf>
    <xf numFmtId="0" fontId="12" fillId="0" borderId="43" xfId="0" applyFont="1" applyBorder="1" applyAlignment="1" applyProtection="1">
      <alignment horizontal="right" vertical="center"/>
      <protection hidden="1"/>
    </xf>
    <xf numFmtId="0" fontId="12" fillId="0" borderId="27" xfId="0" applyFont="1" applyBorder="1" applyAlignment="1" applyProtection="1">
      <alignment horizontal="left" vertical="center"/>
      <protection hidden="1"/>
    </xf>
    <xf numFmtId="0" fontId="12" fillId="2" borderId="0" xfId="0" applyFont="1" applyFill="1" applyAlignment="1" applyProtection="1">
      <alignment vertical="center"/>
      <protection hidden="1"/>
    </xf>
    <xf numFmtId="0" fontId="12" fillId="0" borderId="31" xfId="0" applyFont="1" applyBorder="1" applyAlignment="1" applyProtection="1">
      <alignment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1" fontId="12" fillId="3" borderId="17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0" fontId="6" fillId="0" borderId="31" xfId="0" applyFont="1" applyBorder="1" applyAlignment="1">
      <alignment vertical="center"/>
    </xf>
    <xf numFmtId="0" fontId="12" fillId="0" borderId="0" xfId="0" applyFont="1" applyAlignment="1">
      <alignment horizontal="left" vertical="center" wrapText="1"/>
    </xf>
    <xf numFmtId="0" fontId="6" fillId="0" borderId="0" xfId="0" applyFont="1" applyAlignment="1" applyProtection="1">
      <alignment horizontal="left" vertical="center"/>
      <protection hidden="1"/>
    </xf>
    <xf numFmtId="0" fontId="12" fillId="0" borderId="20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44" xfId="0" applyFont="1" applyBorder="1" applyAlignment="1">
      <alignment horizontal="left" vertical="center"/>
    </xf>
    <xf numFmtId="0" fontId="4" fillId="0" borderId="54" xfId="0" applyFont="1" applyBorder="1" applyAlignment="1">
      <alignment horizontal="center" vertical="center"/>
    </xf>
    <xf numFmtId="167" fontId="6" fillId="0" borderId="0" xfId="0" applyNumberFormat="1" applyFont="1" applyAlignment="1">
      <alignment horizontal="center"/>
    </xf>
    <xf numFmtId="167" fontId="0" fillId="0" borderId="17" xfId="0" applyNumberFormat="1" applyBorder="1"/>
    <xf numFmtId="0" fontId="12" fillId="0" borderId="25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12" fillId="2" borderId="0" xfId="0" applyFont="1" applyFill="1" applyAlignment="1">
      <alignment vertical="center"/>
    </xf>
    <xf numFmtId="3" fontId="12" fillId="0" borderId="17" xfId="0" applyNumberFormat="1" applyFont="1" applyBorder="1"/>
    <xf numFmtId="0" fontId="39" fillId="0" borderId="20" xfId="0" applyFont="1" applyBorder="1" applyAlignment="1" applyProtection="1">
      <alignment vertical="center"/>
      <protection hidden="1"/>
    </xf>
    <xf numFmtId="4" fontId="38" fillId="0" borderId="0" xfId="0" applyNumberFormat="1" applyFont="1" applyAlignment="1">
      <alignment vertical="center"/>
    </xf>
    <xf numFmtId="0" fontId="12" fillId="0" borderId="45" xfId="0" applyFont="1" applyBorder="1" applyAlignment="1">
      <alignment horizontal="left" vertical="center" wrapText="1"/>
    </xf>
    <xf numFmtId="1" fontId="7" fillId="7" borderId="6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horizontal="right" vertical="top" wrapText="1"/>
    </xf>
    <xf numFmtId="0" fontId="4" fillId="7" borderId="47" xfId="0" applyFont="1" applyFill="1" applyBorder="1" applyAlignment="1" applyProtection="1">
      <alignment horizontal="center" vertical="center"/>
      <protection locked="0"/>
    </xf>
    <xf numFmtId="1" fontId="7" fillId="7" borderId="36" xfId="0" applyNumberFormat="1" applyFont="1" applyFill="1" applyBorder="1" applyAlignment="1" applyProtection="1">
      <alignment horizontal="center" vertical="center"/>
      <protection locked="0"/>
    </xf>
    <xf numFmtId="0" fontId="4" fillId="5" borderId="34" xfId="0" applyFont="1" applyFill="1" applyBorder="1" applyAlignment="1" applyProtection="1">
      <alignment vertical="center"/>
      <protection hidden="1"/>
    </xf>
    <xf numFmtId="3" fontId="6" fillId="0" borderId="17" xfId="0" applyNumberFormat="1" applyFont="1" applyBorder="1" applyAlignment="1" applyProtection="1">
      <alignment horizontal="center" vertical="center"/>
      <protection hidden="1"/>
    </xf>
    <xf numFmtId="0" fontId="3" fillId="0" borderId="20" xfId="0" applyFont="1" applyBorder="1" applyAlignment="1">
      <alignment horizontal="center" vertical="center"/>
    </xf>
    <xf numFmtId="0" fontId="12" fillId="0" borderId="10" xfId="0" applyFont="1" applyBorder="1" applyAlignment="1" applyProtection="1">
      <alignment vertical="center"/>
      <protection hidden="1"/>
    </xf>
    <xf numFmtId="164" fontId="0" fillId="0" borderId="17" xfId="0" applyNumberFormat="1" applyBorder="1"/>
    <xf numFmtId="0" fontId="12" fillId="0" borderId="23" xfId="0" applyFont="1" applyBorder="1" applyAlignment="1" applyProtection="1">
      <alignment vertical="center"/>
      <protection locked="0"/>
    </xf>
    <xf numFmtId="0" fontId="12" fillId="7" borderId="17" xfId="0" applyFont="1" applyFill="1" applyBorder="1" applyAlignment="1" applyProtection="1">
      <alignment horizontal="center" vertical="center"/>
      <protection locked="0"/>
    </xf>
    <xf numFmtId="0" fontId="12" fillId="0" borderId="117" xfId="0" applyFont="1" applyBorder="1" applyAlignment="1" applyProtection="1">
      <alignment vertical="center"/>
      <protection hidden="1"/>
    </xf>
    <xf numFmtId="0" fontId="11" fillId="0" borderId="118" xfId="0" applyFont="1" applyBorder="1" applyAlignment="1">
      <alignment horizontal="right" vertical="center"/>
    </xf>
    <xf numFmtId="0" fontId="11" fillId="0" borderId="119" xfId="0" quotePrefix="1" applyFont="1" applyBorder="1" applyAlignment="1">
      <alignment horizontal="right" vertical="center"/>
    </xf>
    <xf numFmtId="0" fontId="5" fillId="0" borderId="16" xfId="0" applyFont="1" applyBorder="1" applyAlignment="1">
      <alignment horizontal="left" vertical="center"/>
    </xf>
    <xf numFmtId="0" fontId="6" fillId="0" borderId="16" xfId="0" applyFont="1" applyBorder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14" fontId="5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3" fontId="5" fillId="0" borderId="0" xfId="0" applyNumberFormat="1" applyFont="1" applyAlignment="1">
      <alignment vertical="center"/>
    </xf>
    <xf numFmtId="2" fontId="5" fillId="0" borderId="0" xfId="0" applyNumberFormat="1" applyFont="1" applyAlignment="1">
      <alignment vertical="center"/>
    </xf>
    <xf numFmtId="14" fontId="6" fillId="0" borderId="16" xfId="0" applyNumberFormat="1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/>
      <protection hidden="1"/>
    </xf>
    <xf numFmtId="0" fontId="9" fillId="0" borderId="0" xfId="0" applyFont="1" applyAlignment="1" applyProtection="1">
      <alignment horizontal="left" vertical="center"/>
      <protection hidden="1"/>
    </xf>
    <xf numFmtId="1" fontId="5" fillId="0" borderId="0" xfId="0" applyNumberFormat="1" applyFont="1" applyAlignment="1" applyProtection="1">
      <alignment horizontal="left" vertical="center"/>
      <protection hidden="1"/>
    </xf>
    <xf numFmtId="3" fontId="7" fillId="0" borderId="30" xfId="0" applyNumberFormat="1" applyFont="1" applyBorder="1" applyAlignment="1" applyProtection="1">
      <alignment horizontal="center" vertical="center"/>
      <protection hidden="1"/>
    </xf>
    <xf numFmtId="3" fontId="7" fillId="0" borderId="57" xfId="0" applyNumberFormat="1" applyFont="1" applyBorder="1" applyAlignment="1" applyProtection="1">
      <alignment horizontal="center" vertical="center"/>
      <protection hidden="1"/>
    </xf>
    <xf numFmtId="3" fontId="7" fillId="0" borderId="35" xfId="0" applyNumberFormat="1" applyFont="1" applyBorder="1" applyAlignment="1" applyProtection="1">
      <alignment horizontal="center" vertical="center"/>
      <protection hidden="1"/>
    </xf>
    <xf numFmtId="3" fontId="7" fillId="0" borderId="87" xfId="0" applyNumberFormat="1" applyFont="1" applyBorder="1" applyAlignment="1" applyProtection="1">
      <alignment horizontal="center" vertical="center"/>
      <protection hidden="1"/>
    </xf>
    <xf numFmtId="3" fontId="4" fillId="0" borderId="115" xfId="0" applyNumberFormat="1" applyFont="1" applyBorder="1" applyAlignment="1" applyProtection="1">
      <alignment horizontal="center" vertical="center"/>
      <protection hidden="1"/>
    </xf>
    <xf numFmtId="3" fontId="7" fillId="7" borderId="32" xfId="0" applyNumberFormat="1" applyFont="1" applyFill="1" applyBorder="1" applyAlignment="1" applyProtection="1">
      <alignment horizontal="center" vertical="center"/>
      <protection locked="0"/>
    </xf>
    <xf numFmtId="164" fontId="7" fillId="7" borderId="33" xfId="2" applyNumberFormat="1" applyFont="1" applyFill="1" applyBorder="1" applyAlignment="1" applyProtection="1">
      <alignment horizontal="center" vertical="center"/>
      <protection locked="0"/>
    </xf>
    <xf numFmtId="3" fontId="7" fillId="7" borderId="17" xfId="0" applyNumberFormat="1" applyFont="1" applyFill="1" applyBorder="1" applyAlignment="1" applyProtection="1">
      <alignment horizontal="center" vertical="center"/>
      <protection locked="0"/>
    </xf>
    <xf numFmtId="164" fontId="7" fillId="7" borderId="35" xfId="2" applyNumberFormat="1" applyFont="1" applyFill="1" applyBorder="1" applyAlignment="1" applyProtection="1">
      <alignment horizontal="center" vertical="center"/>
      <protection locked="0"/>
    </xf>
    <xf numFmtId="3" fontId="7" fillId="7" borderId="83" xfId="0" applyNumberFormat="1" applyFont="1" applyFill="1" applyBorder="1" applyAlignment="1" applyProtection="1">
      <alignment horizontal="center" vertical="center"/>
      <protection locked="0"/>
    </xf>
    <xf numFmtId="164" fontId="7" fillId="7" borderId="87" xfId="2" applyNumberFormat="1" applyFont="1" applyFill="1" applyBorder="1" applyAlignment="1" applyProtection="1">
      <alignment horizontal="center" vertical="center"/>
      <protection locked="0"/>
    </xf>
    <xf numFmtId="0" fontId="4" fillId="3" borderId="114" xfId="0" applyFont="1" applyFill="1" applyBorder="1" applyAlignment="1">
      <alignment horizontal="center" vertical="center"/>
    </xf>
    <xf numFmtId="0" fontId="4" fillId="3" borderId="115" xfId="0" applyFont="1" applyFill="1" applyBorder="1" applyAlignment="1">
      <alignment horizontal="center" vertical="center"/>
    </xf>
    <xf numFmtId="3" fontId="7" fillId="7" borderId="53" xfId="0" applyNumberFormat="1" applyFont="1" applyFill="1" applyBorder="1" applyAlignment="1" applyProtection="1">
      <alignment horizontal="center" vertical="center"/>
      <protection locked="0"/>
    </xf>
    <xf numFmtId="3" fontId="7" fillId="7" borderId="16" xfId="0" applyNumberFormat="1" applyFont="1" applyFill="1" applyBorder="1" applyAlignment="1" applyProtection="1">
      <alignment horizontal="center" vertical="center"/>
      <protection locked="0"/>
    </xf>
    <xf numFmtId="3" fontId="7" fillId="0" borderId="23" xfId="0" applyNumberFormat="1" applyFont="1" applyBorder="1" applyAlignment="1" applyProtection="1">
      <alignment horizontal="center" vertical="center"/>
      <protection hidden="1"/>
    </xf>
    <xf numFmtId="3" fontId="7" fillId="0" borderId="53" xfId="0" applyNumberFormat="1" applyFont="1" applyBorder="1" applyAlignment="1" applyProtection="1">
      <alignment horizontal="center" vertical="center"/>
      <protection hidden="1"/>
    </xf>
    <xf numFmtId="3" fontId="7" fillId="0" borderId="33" xfId="0" applyNumberFormat="1" applyFont="1" applyBorder="1" applyAlignment="1" applyProtection="1">
      <alignment horizontal="center" vertical="center"/>
      <protection hidden="1"/>
    </xf>
    <xf numFmtId="3" fontId="7" fillId="7" borderId="52" xfId="0" applyNumberFormat="1" applyFont="1" applyFill="1" applyBorder="1" applyAlignment="1" applyProtection="1">
      <alignment horizontal="center" vertical="center"/>
      <protection locked="0"/>
    </xf>
    <xf numFmtId="3" fontId="7" fillId="0" borderId="25" xfId="0" applyNumberFormat="1" applyFont="1" applyBorder="1" applyAlignment="1" applyProtection="1">
      <alignment horizontal="center" vertical="center"/>
      <protection hidden="1"/>
    </xf>
    <xf numFmtId="3" fontId="7" fillId="0" borderId="52" xfId="0" applyNumberFormat="1" applyFont="1" applyBorder="1" applyAlignment="1" applyProtection="1">
      <alignment horizontal="center" vertical="center"/>
      <protection hidden="1"/>
    </xf>
    <xf numFmtId="3" fontId="7" fillId="0" borderId="16" xfId="0" applyNumberFormat="1" applyFont="1" applyBorder="1" applyAlignment="1" applyProtection="1">
      <alignment horizontal="center" vertical="center"/>
      <protection hidden="1"/>
    </xf>
    <xf numFmtId="3" fontId="7" fillId="0" borderId="39" xfId="0" applyNumberFormat="1" applyFont="1" applyBorder="1" applyAlignment="1" applyProtection="1">
      <alignment horizontal="center" vertical="center"/>
      <protection hidden="1"/>
    </xf>
    <xf numFmtId="3" fontId="7" fillId="0" borderId="14" xfId="0" applyNumberFormat="1" applyFont="1" applyBorder="1" applyAlignment="1">
      <alignment horizontal="center" vertical="center"/>
    </xf>
    <xf numFmtId="3" fontId="7" fillId="0" borderId="56" xfId="0" applyNumberFormat="1" applyFont="1" applyBorder="1" applyAlignment="1">
      <alignment horizontal="center" vertical="center"/>
    </xf>
    <xf numFmtId="3" fontId="7" fillId="0" borderId="14" xfId="0" applyNumberFormat="1" applyFont="1" applyBorder="1" applyAlignment="1" applyProtection="1">
      <alignment horizontal="center" vertical="center"/>
      <protection hidden="1"/>
    </xf>
    <xf numFmtId="3" fontId="7" fillId="0" borderId="56" xfId="0" applyNumberFormat="1" applyFont="1" applyBorder="1" applyAlignment="1" applyProtection="1">
      <alignment horizontal="center" vertical="center"/>
      <protection hidden="1"/>
    </xf>
    <xf numFmtId="3" fontId="7" fillId="7" borderId="39" xfId="0" applyNumberFormat="1" applyFont="1" applyFill="1" applyBorder="1" applyAlignment="1" applyProtection="1">
      <alignment horizontal="center" vertical="center"/>
      <protection locked="0"/>
    </xf>
    <xf numFmtId="3" fontId="7" fillId="7" borderId="14" xfId="0" applyNumberFormat="1" applyFont="1" applyFill="1" applyBorder="1" applyAlignment="1" applyProtection="1">
      <alignment horizontal="center" vertical="center"/>
      <protection locked="0"/>
    </xf>
    <xf numFmtId="3" fontId="7" fillId="0" borderId="37" xfId="0" applyNumberFormat="1" applyFont="1" applyBorder="1" applyAlignment="1" applyProtection="1">
      <alignment horizontal="center" vertical="center"/>
      <protection hidden="1"/>
    </xf>
    <xf numFmtId="3" fontId="7" fillId="5" borderId="38" xfId="0" applyNumberFormat="1" applyFont="1" applyFill="1" applyBorder="1" applyAlignment="1">
      <alignment horizontal="center" vertical="center"/>
    </xf>
    <xf numFmtId="3" fontId="7" fillId="0" borderId="16" xfId="0" applyNumberFormat="1" applyFont="1" applyBorder="1" applyAlignment="1">
      <alignment horizontal="center" vertical="center"/>
    </xf>
    <xf numFmtId="3" fontId="7" fillId="0" borderId="23" xfId="0" applyNumberFormat="1" applyFont="1" applyBorder="1" applyAlignment="1">
      <alignment horizontal="center" vertical="center"/>
    </xf>
    <xf numFmtId="3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7" fillId="0" borderId="25" xfId="0" applyNumberFormat="1" applyFont="1" applyBorder="1" applyAlignment="1">
      <alignment horizontal="center" vertical="center"/>
    </xf>
    <xf numFmtId="3" fontId="7" fillId="5" borderId="86" xfId="0" applyNumberFormat="1" applyFont="1" applyFill="1" applyBorder="1" applyAlignment="1">
      <alignment horizontal="center" vertical="center"/>
    </xf>
    <xf numFmtId="3" fontId="7" fillId="5" borderId="89" xfId="0" applyNumberFormat="1" applyFont="1" applyFill="1" applyBorder="1" applyAlignment="1">
      <alignment horizontal="center" vertical="center"/>
    </xf>
    <xf numFmtId="3" fontId="7" fillId="0" borderId="86" xfId="0" applyNumberFormat="1" applyFont="1" applyBorder="1" applyAlignment="1" applyProtection="1">
      <alignment horizontal="center" vertical="center"/>
      <protection hidden="1"/>
    </xf>
    <xf numFmtId="3" fontId="7" fillId="0" borderId="89" xfId="0" applyNumberFormat="1" applyFont="1" applyBorder="1" applyAlignment="1">
      <alignment horizontal="center" vertical="center"/>
    </xf>
    <xf numFmtId="3" fontId="7" fillId="0" borderId="88" xfId="0" applyNumberFormat="1" applyFont="1" applyBorder="1" applyAlignment="1">
      <alignment horizontal="center" vertical="center"/>
    </xf>
    <xf numFmtId="3" fontId="7" fillId="0" borderId="88" xfId="0" applyNumberFormat="1" applyFont="1" applyBorder="1" applyAlignment="1" applyProtection="1">
      <alignment horizontal="center" vertical="center"/>
      <protection hidden="1"/>
    </xf>
    <xf numFmtId="3" fontId="7" fillId="7" borderId="86" xfId="0" applyNumberFormat="1" applyFont="1" applyFill="1" applyBorder="1" applyAlignment="1" applyProtection="1">
      <alignment horizontal="center" vertical="center"/>
      <protection locked="0"/>
    </xf>
    <xf numFmtId="3" fontId="4" fillId="0" borderId="54" xfId="0" applyNumberFormat="1" applyFont="1" applyBorder="1" applyAlignment="1" applyProtection="1">
      <alignment horizontal="center" vertical="center"/>
      <protection hidden="1"/>
    </xf>
    <xf numFmtId="3" fontId="4" fillId="0" borderId="62" xfId="0" applyNumberFormat="1" applyFont="1" applyBorder="1" applyAlignment="1" applyProtection="1">
      <alignment horizontal="center" vertical="center"/>
      <protection hidden="1"/>
    </xf>
    <xf numFmtId="3" fontId="4" fillId="0" borderId="66" xfId="0" applyNumberFormat="1" applyFont="1" applyBorder="1" applyAlignment="1" applyProtection="1">
      <alignment horizontal="center" vertical="center"/>
      <protection hidden="1"/>
    </xf>
    <xf numFmtId="3" fontId="4" fillId="0" borderId="63" xfId="0" applyNumberFormat="1" applyFont="1" applyBorder="1" applyAlignment="1" applyProtection="1">
      <alignment horizontal="center" vertical="center"/>
      <protection hidden="1"/>
    </xf>
    <xf numFmtId="3" fontId="4" fillId="0" borderId="43" xfId="0" applyNumberFormat="1" applyFont="1" applyBorder="1" applyAlignment="1" applyProtection="1">
      <alignment horizontal="center" vertical="center"/>
      <protection hidden="1"/>
    </xf>
    <xf numFmtId="3" fontId="7" fillId="8" borderId="16" xfId="0" applyNumberFormat="1" applyFont="1" applyFill="1" applyBorder="1" applyAlignment="1" applyProtection="1">
      <alignment horizontal="center" vertical="center"/>
      <protection hidden="1"/>
    </xf>
    <xf numFmtId="3" fontId="7" fillId="8" borderId="33" xfId="0" applyNumberFormat="1" applyFont="1" applyFill="1" applyBorder="1" applyAlignment="1" applyProtection="1">
      <alignment horizontal="center" vertical="center"/>
      <protection hidden="1"/>
    </xf>
    <xf numFmtId="3" fontId="7" fillId="8" borderId="59" xfId="0" applyNumberFormat="1" applyFont="1" applyFill="1" applyBorder="1" applyAlignment="1" applyProtection="1">
      <alignment horizontal="center" vertical="center"/>
      <protection hidden="1"/>
    </xf>
    <xf numFmtId="3" fontId="7" fillId="8" borderId="53" xfId="0" applyNumberFormat="1" applyFont="1" applyFill="1" applyBorder="1" applyAlignment="1" applyProtection="1">
      <alignment horizontal="center" vertical="center"/>
      <protection hidden="1"/>
    </xf>
    <xf numFmtId="3" fontId="7" fillId="5" borderId="53" xfId="0" applyNumberFormat="1" applyFont="1" applyFill="1" applyBorder="1" applyAlignment="1" applyProtection="1">
      <alignment horizontal="center" vertical="center"/>
      <protection hidden="1"/>
    </xf>
    <xf numFmtId="3" fontId="7" fillId="5" borderId="16" xfId="0" applyNumberFormat="1" applyFont="1" applyFill="1" applyBorder="1" applyAlignment="1" applyProtection="1">
      <alignment horizontal="center" vertical="center"/>
      <protection hidden="1"/>
    </xf>
    <xf numFmtId="3" fontId="7" fillId="5" borderId="23" xfId="0" applyNumberFormat="1" applyFont="1" applyFill="1" applyBorder="1" applyAlignment="1" applyProtection="1">
      <alignment horizontal="center" vertical="center"/>
      <protection hidden="1"/>
    </xf>
    <xf numFmtId="3" fontId="7" fillId="5" borderId="10" xfId="0" applyNumberFormat="1" applyFont="1" applyFill="1" applyBorder="1" applyAlignment="1">
      <alignment horizontal="center" vertical="center"/>
    </xf>
    <xf numFmtId="3" fontId="7" fillId="5" borderId="20" xfId="0" applyNumberFormat="1" applyFont="1" applyFill="1" applyBorder="1" applyAlignment="1">
      <alignment horizontal="center" vertical="center"/>
    </xf>
    <xf numFmtId="3" fontId="7" fillId="5" borderId="10" xfId="0" applyNumberFormat="1" applyFont="1" applyFill="1" applyBorder="1" applyAlignment="1" applyProtection="1">
      <alignment horizontal="center" vertical="center"/>
      <protection hidden="1"/>
    </xf>
    <xf numFmtId="3" fontId="7" fillId="5" borderId="35" xfId="0" applyNumberFormat="1" applyFont="1" applyFill="1" applyBorder="1" applyAlignment="1" applyProtection="1">
      <alignment horizontal="center" vertical="center"/>
      <protection hidden="1"/>
    </xf>
    <xf numFmtId="3" fontId="7" fillId="8" borderId="10" xfId="0" applyNumberFormat="1" applyFont="1" applyFill="1" applyBorder="1" applyAlignment="1" applyProtection="1">
      <alignment horizontal="center" vertical="center"/>
      <protection hidden="1"/>
    </xf>
    <xf numFmtId="3" fontId="7" fillId="0" borderId="38" xfId="0" applyNumberFormat="1" applyFont="1" applyBorder="1" applyAlignment="1">
      <alignment horizontal="center" vertical="center"/>
    </xf>
    <xf numFmtId="3" fontId="7" fillId="5" borderId="90" xfId="0" applyNumberFormat="1" applyFont="1" applyFill="1" applyBorder="1" applyAlignment="1">
      <alignment horizontal="center" vertical="center"/>
    </xf>
    <xf numFmtId="3" fontId="7" fillId="5" borderId="88" xfId="0" applyNumberFormat="1" applyFont="1" applyFill="1" applyBorder="1" applyAlignment="1">
      <alignment horizontal="center" vertical="center"/>
    </xf>
    <xf numFmtId="3" fontId="7" fillId="5" borderId="89" xfId="0" applyNumberFormat="1" applyFont="1" applyFill="1" applyBorder="1" applyAlignment="1" applyProtection="1">
      <alignment horizontal="center" vertical="center"/>
      <protection hidden="1"/>
    </xf>
    <xf numFmtId="3" fontId="7" fillId="5" borderId="87" xfId="0" applyNumberFormat="1" applyFont="1" applyFill="1" applyBorder="1" applyAlignment="1" applyProtection="1">
      <alignment horizontal="center" vertical="center"/>
      <protection hidden="1"/>
    </xf>
    <xf numFmtId="3" fontId="7" fillId="0" borderId="90" xfId="0" applyNumberFormat="1" applyFont="1" applyBorder="1" applyAlignment="1">
      <alignment horizontal="center" vertical="center"/>
    </xf>
    <xf numFmtId="3" fontId="7" fillId="8" borderId="89" xfId="0" applyNumberFormat="1" applyFont="1" applyFill="1" applyBorder="1" applyAlignment="1" applyProtection="1">
      <alignment horizontal="center" vertical="center"/>
      <protection hidden="1"/>
    </xf>
    <xf numFmtId="3" fontId="4" fillId="8" borderId="54" xfId="0" applyNumberFormat="1" applyFont="1" applyFill="1" applyBorder="1" applyAlignment="1" applyProtection="1">
      <alignment horizontal="center" vertical="center"/>
      <protection hidden="1"/>
    </xf>
    <xf numFmtId="3" fontId="4" fillId="8" borderId="66" xfId="0" applyNumberFormat="1" applyFont="1" applyFill="1" applyBorder="1" applyAlignment="1" applyProtection="1">
      <alignment horizontal="center" vertical="center"/>
      <protection hidden="1"/>
    </xf>
    <xf numFmtId="3" fontId="4" fillId="8" borderId="62" xfId="0" applyNumberFormat="1" applyFont="1" applyFill="1" applyBorder="1" applyAlignment="1" applyProtection="1">
      <alignment horizontal="center" vertical="center"/>
      <protection hidden="1"/>
    </xf>
    <xf numFmtId="3" fontId="4" fillId="8" borderId="43" xfId="0" applyNumberFormat="1" applyFont="1" applyFill="1" applyBorder="1" applyAlignment="1" applyProtection="1">
      <alignment horizontal="center" vertical="center"/>
      <protection hidden="1"/>
    </xf>
    <xf numFmtId="3" fontId="4" fillId="5" borderId="3" xfId="0" applyNumberFormat="1" applyFont="1" applyFill="1" applyBorder="1" applyAlignment="1">
      <alignment horizontal="center" vertical="center"/>
    </xf>
    <xf numFmtId="3" fontId="4" fillId="5" borderId="47" xfId="0" applyNumberFormat="1" applyFont="1" applyFill="1" applyBorder="1" applyAlignment="1">
      <alignment horizontal="center" vertical="center"/>
    </xf>
    <xf numFmtId="3" fontId="4" fillId="0" borderId="5" xfId="0" applyNumberFormat="1" applyFont="1" applyBorder="1" applyAlignment="1" applyProtection="1">
      <alignment horizontal="center" vertical="center"/>
      <protection hidden="1"/>
    </xf>
    <xf numFmtId="166" fontId="12" fillId="7" borderId="35" xfId="0" applyNumberFormat="1" applyFont="1" applyFill="1" applyBorder="1" applyAlignment="1" applyProtection="1">
      <alignment horizontal="center" vertical="center"/>
      <protection locked="0"/>
    </xf>
    <xf numFmtId="164" fontId="7" fillId="7" borderId="23" xfId="0" applyNumberFormat="1" applyFont="1" applyFill="1" applyBorder="1" applyAlignment="1" applyProtection="1">
      <alignment horizontal="center" vertical="center"/>
      <protection locked="0"/>
    </xf>
    <xf numFmtId="3" fontId="7" fillId="7" borderId="60" xfId="0" applyNumberFormat="1" applyFont="1" applyFill="1" applyBorder="1" applyAlignment="1" applyProtection="1">
      <alignment horizontal="center" vertical="center"/>
      <protection locked="0"/>
    </xf>
    <xf numFmtId="164" fontId="7" fillId="7" borderId="25" xfId="0" applyNumberFormat="1" applyFont="1" applyFill="1" applyBorder="1" applyAlignment="1" applyProtection="1">
      <alignment horizontal="center" vertical="center"/>
      <protection locked="0"/>
    </xf>
    <xf numFmtId="3" fontId="7" fillId="7" borderId="36" xfId="0" applyNumberFormat="1" applyFont="1" applyFill="1" applyBorder="1" applyAlignment="1" applyProtection="1">
      <alignment horizontal="center" vertical="center"/>
      <protection locked="0"/>
    </xf>
    <xf numFmtId="164" fontId="7" fillId="7" borderId="56" xfId="0" applyNumberFormat="1" applyFont="1" applyFill="1" applyBorder="1" applyAlignment="1" applyProtection="1">
      <alignment horizontal="center" vertical="center"/>
      <protection locked="0"/>
    </xf>
    <xf numFmtId="164" fontId="7" fillId="7" borderId="20" xfId="0" applyNumberFormat="1" applyFont="1" applyFill="1" applyBorder="1" applyAlignment="1" applyProtection="1">
      <alignment horizontal="center" vertical="center"/>
      <protection locked="0"/>
    </xf>
    <xf numFmtId="164" fontId="7" fillId="7" borderId="88" xfId="0" applyNumberFormat="1" applyFont="1" applyFill="1" applyBorder="1" applyAlignment="1" applyProtection="1">
      <alignment horizontal="center" vertical="center"/>
      <protection locked="0"/>
    </xf>
    <xf numFmtId="3" fontId="12" fillId="0" borderId="17" xfId="0" applyNumberFormat="1" applyFont="1" applyBorder="1" applyAlignment="1" applyProtection="1">
      <alignment horizontal="center" vertical="center"/>
      <protection hidden="1"/>
    </xf>
    <xf numFmtId="3" fontId="12" fillId="0" borderId="35" xfId="0" applyNumberFormat="1" applyFont="1" applyBorder="1" applyAlignment="1" applyProtection="1">
      <alignment horizontal="center" vertical="center"/>
      <protection hidden="1"/>
    </xf>
    <xf numFmtId="0" fontId="5" fillId="0" borderId="28" xfId="0" applyFont="1" applyBorder="1" applyAlignment="1" applyProtection="1">
      <alignment horizontal="center" vertical="center"/>
      <protection hidden="1"/>
    </xf>
    <xf numFmtId="164" fontId="12" fillId="0" borderId="17" xfId="2" applyNumberFormat="1" applyFont="1" applyBorder="1" applyAlignment="1" applyProtection="1">
      <alignment horizontal="center" vertical="center"/>
      <protection hidden="1"/>
    </xf>
    <xf numFmtId="164" fontId="12" fillId="0" borderId="35" xfId="2" applyNumberFormat="1" applyFont="1" applyBorder="1" applyAlignment="1" applyProtection="1">
      <alignment horizontal="center" vertical="center"/>
      <protection hidden="1"/>
    </xf>
    <xf numFmtId="0" fontId="43" fillId="0" borderId="17" xfId="0" applyFont="1" applyBorder="1" applyAlignment="1" applyProtection="1">
      <alignment horizontal="center" vertical="center"/>
      <protection hidden="1"/>
    </xf>
    <xf numFmtId="4" fontId="12" fillId="0" borderId="17" xfId="0" applyNumberFormat="1" applyFont="1" applyBorder="1" applyAlignment="1" applyProtection="1">
      <alignment horizontal="center" vertical="center"/>
      <protection hidden="1"/>
    </xf>
    <xf numFmtId="4" fontId="12" fillId="0" borderId="35" xfId="0" applyNumberFormat="1" applyFont="1" applyBorder="1" applyAlignment="1" applyProtection="1">
      <alignment horizontal="center" vertical="center"/>
      <protection hidden="1"/>
    </xf>
    <xf numFmtId="0" fontId="12" fillId="5" borderId="17" xfId="0" applyFont="1" applyFill="1" applyBorder="1" applyAlignment="1">
      <alignment horizontal="center" vertical="center"/>
    </xf>
    <xf numFmtId="0" fontId="43" fillId="5" borderId="17" xfId="0" applyFont="1" applyFill="1" applyBorder="1" applyAlignment="1" applyProtection="1">
      <alignment horizontal="center" vertical="center"/>
      <protection hidden="1"/>
    </xf>
    <xf numFmtId="2" fontId="12" fillId="0" borderId="17" xfId="2" applyNumberFormat="1" applyFont="1" applyBorder="1" applyAlignment="1" applyProtection="1">
      <alignment horizontal="center" vertical="center"/>
      <protection hidden="1"/>
    </xf>
    <xf numFmtId="3" fontId="12" fillId="0" borderId="17" xfId="0" applyNumberFormat="1" applyFont="1" applyBorder="1" applyAlignment="1" applyProtection="1">
      <alignment horizontal="center"/>
      <protection hidden="1"/>
    </xf>
    <xf numFmtId="164" fontId="58" fillId="5" borderId="17" xfId="0" applyNumberFormat="1" applyFont="1" applyFill="1" applyBorder="1" applyAlignment="1" applyProtection="1">
      <alignment horizontal="center"/>
      <protection hidden="1"/>
    </xf>
    <xf numFmtId="3" fontId="12" fillId="7" borderId="17" xfId="0" applyNumberFormat="1" applyFont="1" applyFill="1" applyBorder="1" applyAlignment="1" applyProtection="1">
      <alignment horizontal="center" vertical="center"/>
      <protection locked="0"/>
    </xf>
    <xf numFmtId="3" fontId="12" fillId="7" borderId="35" xfId="0" applyNumberFormat="1" applyFont="1" applyFill="1" applyBorder="1" applyAlignment="1" applyProtection="1">
      <alignment horizontal="center" vertical="center"/>
      <protection locked="0"/>
    </xf>
    <xf numFmtId="3" fontId="12" fillId="0" borderId="19" xfId="0" applyNumberFormat="1" applyFont="1" applyBorder="1" applyAlignment="1" applyProtection="1">
      <alignment horizontal="center" vertical="center"/>
      <protection hidden="1"/>
    </xf>
    <xf numFmtId="3" fontId="12" fillId="0" borderId="22" xfId="0" applyNumberFormat="1" applyFont="1" applyBorder="1" applyAlignment="1" applyProtection="1">
      <alignment horizontal="center" vertical="center"/>
      <protection hidden="1"/>
    </xf>
    <xf numFmtId="3" fontId="42" fillId="5" borderId="60" xfId="0" applyNumberFormat="1" applyFont="1" applyFill="1" applyBorder="1" applyAlignment="1" applyProtection="1">
      <alignment horizontal="center" vertical="center"/>
      <protection hidden="1"/>
    </xf>
    <xf numFmtId="3" fontId="41" fillId="5" borderId="17" xfId="0" applyNumberFormat="1" applyFont="1" applyFill="1" applyBorder="1" applyAlignment="1" applyProtection="1">
      <alignment horizontal="center" vertical="center"/>
      <protection hidden="1"/>
    </xf>
    <xf numFmtId="3" fontId="42" fillId="0" borderId="17" xfId="0" applyNumberFormat="1" applyFont="1" applyBorder="1" applyAlignment="1" applyProtection="1">
      <alignment horizontal="center" vertical="center"/>
      <protection hidden="1"/>
    </xf>
    <xf numFmtId="3" fontId="42" fillId="5" borderId="17" xfId="0" applyNumberFormat="1" applyFont="1" applyFill="1" applyBorder="1" applyAlignment="1" applyProtection="1">
      <alignment horizontal="center" vertical="center"/>
      <protection hidden="1"/>
    </xf>
    <xf numFmtId="164" fontId="42" fillId="7" borderId="17" xfId="0" applyNumberFormat="1" applyFont="1" applyFill="1" applyBorder="1" applyAlignment="1" applyProtection="1">
      <alignment horizontal="center" vertical="center"/>
      <protection locked="0"/>
    </xf>
    <xf numFmtId="164" fontId="42" fillId="5" borderId="17" xfId="2" applyNumberFormat="1" applyFont="1" applyFill="1" applyBorder="1" applyAlignment="1" applyProtection="1">
      <alignment horizontal="center" vertical="center"/>
      <protection hidden="1"/>
    </xf>
    <xf numFmtId="164" fontId="42" fillId="7" borderId="17" xfId="0" applyNumberFormat="1" applyFont="1" applyFill="1" applyBorder="1" applyAlignment="1" applyProtection="1">
      <alignment horizontal="center"/>
      <protection locked="0"/>
    </xf>
    <xf numFmtId="3" fontId="5" fillId="2" borderId="0" xfId="0" applyNumberFormat="1" applyFont="1" applyFill="1" applyAlignment="1">
      <alignment horizontal="center" vertical="center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41" fillId="7" borderId="17" xfId="0" applyNumberFormat="1" applyFont="1" applyFill="1" applyBorder="1" applyAlignment="1" applyProtection="1">
      <alignment horizontal="center" vertical="center"/>
      <protection locked="0"/>
    </xf>
    <xf numFmtId="3" fontId="41" fillId="0" borderId="17" xfId="0" applyNumberFormat="1" applyFont="1" applyBorder="1" applyAlignment="1" applyProtection="1">
      <alignment horizontal="center" vertical="center"/>
      <protection hidden="1"/>
    </xf>
    <xf numFmtId="3" fontId="41" fillId="5" borderId="83" xfId="0" applyNumberFormat="1" applyFont="1" applyFill="1" applyBorder="1" applyAlignment="1" applyProtection="1">
      <alignment horizontal="center" vertical="center"/>
      <protection hidden="1"/>
    </xf>
    <xf numFmtId="3" fontId="41" fillId="7" borderId="32" xfId="0" applyNumberFormat="1" applyFont="1" applyFill="1" applyBorder="1" applyAlignment="1" applyProtection="1">
      <alignment horizontal="center" vertical="center"/>
      <protection locked="0"/>
    </xf>
    <xf numFmtId="3" fontId="41" fillId="5" borderId="32" xfId="0" applyNumberFormat="1" applyFont="1" applyFill="1" applyBorder="1" applyAlignment="1" applyProtection="1">
      <alignment horizontal="center" vertical="center"/>
      <protection hidden="1"/>
    </xf>
    <xf numFmtId="3" fontId="5" fillId="2" borderId="0" xfId="0" applyNumberFormat="1" applyFont="1" applyFill="1" applyAlignment="1" applyProtection="1">
      <alignment horizontal="center" vertical="center"/>
      <protection hidden="1"/>
    </xf>
    <xf numFmtId="3" fontId="5" fillId="5" borderId="17" xfId="0" applyNumberFormat="1" applyFont="1" applyFill="1" applyBorder="1" applyAlignment="1" applyProtection="1">
      <alignment horizontal="center" vertical="center"/>
      <protection hidden="1"/>
    </xf>
    <xf numFmtId="0" fontId="4" fillId="0" borderId="60" xfId="0" applyFont="1" applyBorder="1" applyAlignment="1" applyProtection="1">
      <alignment horizontal="center" vertical="center"/>
      <protection hidden="1"/>
    </xf>
    <xf numFmtId="0" fontId="4" fillId="5" borderId="25" xfId="0" applyFont="1" applyFill="1" applyBorder="1" applyAlignment="1" applyProtection="1">
      <alignment horizontal="center" vertical="center"/>
      <protection hidden="1"/>
    </xf>
    <xf numFmtId="0" fontId="6" fillId="0" borderId="12" xfId="0" applyFont="1" applyBorder="1" applyAlignment="1">
      <alignment horizontal="left" vertical="center" indent="1"/>
    </xf>
    <xf numFmtId="0" fontId="6" fillId="0" borderId="12" xfId="0" applyFont="1" applyBorder="1" applyAlignment="1">
      <alignment horizontal="center" vertical="center"/>
    </xf>
    <xf numFmtId="3" fontId="5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horizontal="center"/>
    </xf>
    <xf numFmtId="3" fontId="0" fillId="10" borderId="38" xfId="2" applyNumberFormat="1" applyFont="1" applyFill="1" applyBorder="1"/>
    <xf numFmtId="3" fontId="0" fillId="10" borderId="17" xfId="0" applyNumberFormat="1" applyFill="1" applyBorder="1"/>
    <xf numFmtId="3" fontId="0" fillId="10" borderId="35" xfId="0" applyNumberFormat="1" applyFill="1" applyBorder="1"/>
    <xf numFmtId="164" fontId="4" fillId="7" borderId="5" xfId="2" applyNumberFormat="1" applyFont="1" applyFill="1" applyBorder="1" applyAlignment="1" applyProtection="1">
      <alignment horizontal="center" vertical="center"/>
      <protection locked="0"/>
    </xf>
    <xf numFmtId="14" fontId="7" fillId="0" borderId="0" xfId="0" applyNumberFormat="1" applyFont="1" applyAlignment="1">
      <alignment horizontal="left" vertical="center"/>
    </xf>
    <xf numFmtId="3" fontId="6" fillId="0" borderId="35" xfId="0" applyNumberFormat="1" applyFont="1" applyBorder="1" applyAlignment="1" applyProtection="1">
      <alignment horizontal="center" vertical="center"/>
      <protection hidden="1"/>
    </xf>
    <xf numFmtId="3" fontId="12" fillId="7" borderId="32" xfId="0" applyNumberFormat="1" applyFont="1" applyFill="1" applyBorder="1" applyAlignment="1" applyProtection="1">
      <alignment horizontal="center" vertical="center"/>
      <protection locked="0"/>
    </xf>
    <xf numFmtId="3" fontId="12" fillId="7" borderId="23" xfId="0" applyNumberFormat="1" applyFont="1" applyFill="1" applyBorder="1" applyAlignment="1" applyProtection="1">
      <alignment horizontal="center" vertical="center"/>
      <protection locked="0"/>
    </xf>
    <xf numFmtId="0" fontId="12" fillId="0" borderId="25" xfId="0" applyFont="1" applyBorder="1" applyAlignment="1">
      <alignment horizontal="center"/>
    </xf>
    <xf numFmtId="167" fontId="6" fillId="0" borderId="0" xfId="0" applyNumberFormat="1" applyFont="1" applyAlignment="1">
      <alignment horizontal="center" vertical="center"/>
    </xf>
    <xf numFmtId="3" fontId="5" fillId="7" borderId="17" xfId="0" applyNumberFormat="1" applyFont="1" applyFill="1" applyBorder="1" applyAlignment="1" applyProtection="1">
      <alignment horizontal="center" vertical="center"/>
      <protection locked="0"/>
    </xf>
    <xf numFmtId="167" fontId="5" fillId="0" borderId="17" xfId="0" applyNumberFormat="1" applyFont="1" applyBorder="1" applyAlignment="1">
      <alignment horizontal="center" vertical="center"/>
    </xf>
    <xf numFmtId="3" fontId="4" fillId="0" borderId="0" xfId="0" applyNumberFormat="1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3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>
      <alignment horizontal="center" vertical="center" wrapText="1"/>
    </xf>
    <xf numFmtId="167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4" fillId="0" borderId="47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 wrapText="1" indent="3"/>
      <protection hidden="1"/>
    </xf>
    <xf numFmtId="167" fontId="67" fillId="0" borderId="0" xfId="0" applyNumberFormat="1" applyFont="1" applyAlignment="1" applyProtection="1">
      <alignment horizontal="right" vertical="center"/>
      <protection hidden="1"/>
    </xf>
    <xf numFmtId="167" fontId="7" fillId="0" borderId="0" xfId="0" applyNumberFormat="1" applyFont="1" applyAlignment="1" applyProtection="1">
      <alignment horizontal="center" vertical="center"/>
      <protection hidden="1"/>
    </xf>
    <xf numFmtId="167" fontId="7" fillId="0" borderId="0" xfId="0" applyNumberFormat="1" applyFont="1" applyProtection="1">
      <protection hidden="1"/>
    </xf>
    <xf numFmtId="167" fontId="9" fillId="0" borderId="0" xfId="0" applyNumberFormat="1" applyFont="1" applyAlignment="1" applyProtection="1">
      <alignment horizontal="right" vertical="center"/>
      <protection hidden="1"/>
    </xf>
    <xf numFmtId="0" fontId="4" fillId="0" borderId="0" xfId="0" applyFont="1" applyAlignment="1">
      <alignment horizontal="right" vertical="center"/>
    </xf>
    <xf numFmtId="0" fontId="6" fillId="0" borderId="0" xfId="0" applyFont="1" applyAlignment="1">
      <alignment horizontal="left"/>
    </xf>
    <xf numFmtId="3" fontId="12" fillId="5" borderId="17" xfId="0" applyNumberFormat="1" applyFont="1" applyFill="1" applyBorder="1" applyAlignment="1">
      <alignment horizontal="center" vertical="center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3" fontId="12" fillId="0" borderId="32" xfId="0" applyNumberFormat="1" applyFont="1" applyBorder="1" applyAlignment="1">
      <alignment horizontal="center" vertical="center"/>
    </xf>
    <xf numFmtId="3" fontId="12" fillId="0" borderId="33" xfId="0" applyNumberFormat="1" applyFont="1" applyBorder="1" applyAlignment="1">
      <alignment horizontal="center" vertical="center"/>
    </xf>
    <xf numFmtId="3" fontId="12" fillId="0" borderId="32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6" fillId="0" borderId="4" xfId="0" applyNumberFormat="1" applyFont="1" applyBorder="1" applyAlignment="1">
      <alignment horizontal="center" vertical="center"/>
    </xf>
    <xf numFmtId="3" fontId="6" fillId="0" borderId="4" xfId="0" applyNumberFormat="1" applyFont="1" applyBorder="1" applyAlignment="1" applyProtection="1">
      <alignment horizontal="center" vertical="center"/>
      <protection hidden="1"/>
    </xf>
    <xf numFmtId="3" fontId="6" fillId="0" borderId="2" xfId="0" applyNumberFormat="1" applyFont="1" applyBorder="1" applyAlignment="1" applyProtection="1">
      <alignment horizontal="center" vertical="center"/>
      <protection hidden="1"/>
    </xf>
    <xf numFmtId="3" fontId="6" fillId="0" borderId="55" xfId="0" applyNumberFormat="1" applyFont="1" applyBorder="1" applyAlignment="1" applyProtection="1">
      <alignment horizontal="center" vertical="center"/>
      <protection hidden="1"/>
    </xf>
    <xf numFmtId="3" fontId="6" fillId="0" borderId="29" xfId="0" applyNumberFormat="1" applyFont="1" applyBorder="1" applyAlignment="1" applyProtection="1">
      <alignment horizontal="center" vertical="center"/>
      <protection hidden="1"/>
    </xf>
    <xf numFmtId="3" fontId="6" fillId="0" borderId="30" xfId="0" applyNumberFormat="1" applyFont="1" applyBorder="1" applyAlignment="1" applyProtection="1">
      <alignment horizontal="center" vertical="center"/>
      <protection hidden="1"/>
    </xf>
    <xf numFmtId="3" fontId="12" fillId="5" borderId="36" xfId="0" applyNumberFormat="1" applyFont="1" applyFill="1" applyBorder="1" applyAlignment="1" applyProtection="1">
      <alignment horizontal="center" vertical="center"/>
      <protection hidden="1"/>
    </xf>
    <xf numFmtId="3" fontId="12" fillId="0" borderId="36" xfId="0" applyNumberFormat="1" applyFont="1" applyBorder="1" applyAlignment="1" applyProtection="1">
      <alignment horizontal="center" vertical="center"/>
      <protection hidden="1"/>
    </xf>
    <xf numFmtId="3" fontId="12" fillId="0" borderId="37" xfId="0" applyNumberFormat="1" applyFont="1" applyBorder="1" applyAlignment="1" applyProtection="1">
      <alignment horizontal="center" vertical="center"/>
      <protection hidden="1"/>
    </xf>
    <xf numFmtId="3" fontId="11" fillId="0" borderId="62" xfId="0" applyNumberFormat="1" applyFont="1" applyBorder="1" applyAlignment="1" applyProtection="1">
      <alignment horizontal="center" vertical="center"/>
      <protection hidden="1"/>
    </xf>
    <xf numFmtId="3" fontId="11" fillId="0" borderId="66" xfId="0" applyNumberFormat="1" applyFont="1" applyBorder="1" applyAlignment="1" applyProtection="1">
      <alignment horizontal="center" vertical="center"/>
      <protection hidden="1"/>
    </xf>
    <xf numFmtId="3" fontId="12" fillId="5" borderId="36" xfId="0" applyNumberFormat="1" applyFont="1" applyFill="1" applyBorder="1" applyAlignment="1">
      <alignment horizontal="center" vertical="center"/>
    </xf>
    <xf numFmtId="3" fontId="7" fillId="0" borderId="32" xfId="0" applyNumberFormat="1" applyFont="1" applyBorder="1" applyAlignment="1" applyProtection="1">
      <alignment horizontal="center" vertical="center"/>
      <protection hidden="1"/>
    </xf>
    <xf numFmtId="4" fontId="7" fillId="0" borderId="17" xfId="0" applyNumberFormat="1" applyFont="1" applyBorder="1" applyAlignment="1" applyProtection="1">
      <alignment horizontal="center" vertical="center"/>
      <protection hidden="1"/>
    </xf>
    <xf numFmtId="4" fontId="7" fillId="7" borderId="17" xfId="0" applyNumberFormat="1" applyFont="1" applyFill="1" applyBorder="1" applyAlignment="1" applyProtection="1">
      <alignment horizontal="center" vertical="center"/>
      <protection locked="0"/>
    </xf>
    <xf numFmtId="164" fontId="7" fillId="0" borderId="17" xfId="0" applyNumberFormat="1" applyFont="1" applyBorder="1" applyAlignment="1" applyProtection="1">
      <alignment horizontal="center" vertical="center"/>
      <protection hidden="1"/>
    </xf>
    <xf numFmtId="164" fontId="7" fillId="7" borderId="17" xfId="0" applyNumberFormat="1" applyFont="1" applyFill="1" applyBorder="1" applyAlignment="1" applyProtection="1">
      <alignment horizontal="center" vertical="center"/>
      <protection locked="0"/>
    </xf>
    <xf numFmtId="3" fontId="7" fillId="0" borderId="36" xfId="0" applyNumberFormat="1" applyFont="1" applyBorder="1" applyAlignment="1" applyProtection="1">
      <alignment horizontal="center" vertical="center"/>
      <protection hidden="1"/>
    </xf>
    <xf numFmtId="4" fontId="7" fillId="7" borderId="20" xfId="0" applyNumberFormat="1" applyFont="1" applyFill="1" applyBorder="1" applyAlignment="1" applyProtection="1">
      <alignment horizontal="center" vertical="center"/>
      <protection locked="0"/>
    </xf>
    <xf numFmtId="3" fontId="7" fillId="7" borderId="20" xfId="0" applyNumberFormat="1" applyFont="1" applyFill="1" applyBorder="1" applyAlignment="1" applyProtection="1">
      <alignment horizontal="center" vertical="center"/>
      <protection locked="0"/>
    </xf>
    <xf numFmtId="3" fontId="7" fillId="0" borderId="20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 applyProtection="1">
      <alignment horizontal="center"/>
      <protection hidden="1"/>
    </xf>
    <xf numFmtId="164" fontId="11" fillId="0" borderId="17" xfId="2" applyNumberFormat="1" applyFont="1" applyBorder="1" applyAlignment="1" applyProtection="1">
      <alignment horizontal="center" vertical="center"/>
      <protection hidden="1"/>
    </xf>
    <xf numFmtId="164" fontId="11" fillId="0" borderId="17" xfId="2" applyNumberFormat="1" applyFont="1" applyBorder="1" applyAlignment="1" applyProtection="1">
      <alignment horizontal="center"/>
      <protection hidden="1"/>
    </xf>
    <xf numFmtId="3" fontId="11" fillId="6" borderId="17" xfId="0" applyNumberFormat="1" applyFont="1" applyFill="1" applyBorder="1" applyAlignment="1" applyProtection="1">
      <alignment horizontal="center" vertical="center"/>
      <protection hidden="1"/>
    </xf>
    <xf numFmtId="0" fontId="45" fillId="0" borderId="0" xfId="0" applyFont="1" applyAlignment="1">
      <alignment horizontal="center" vertical="center"/>
    </xf>
    <xf numFmtId="166" fontId="12" fillId="0" borderId="0" xfId="2" applyNumberFormat="1" applyFont="1" applyBorder="1" applyAlignment="1" applyProtection="1">
      <alignment horizontal="right" vertical="center"/>
      <protection hidden="1"/>
    </xf>
    <xf numFmtId="0" fontId="68" fillId="0" borderId="45" xfId="0" applyFont="1" applyBorder="1" applyAlignment="1" applyProtection="1">
      <alignment horizontal="center" vertical="center"/>
      <protection hidden="1"/>
    </xf>
    <xf numFmtId="0" fontId="69" fillId="0" borderId="45" xfId="0" applyFont="1" applyBorder="1" applyAlignment="1" applyProtection="1">
      <alignment horizontal="right" vertical="center"/>
      <protection hidden="1"/>
    </xf>
    <xf numFmtId="0" fontId="70" fillId="0" borderId="0" xfId="0" applyFont="1"/>
    <xf numFmtId="164" fontId="50" fillId="0" borderId="35" xfId="0" applyNumberFormat="1" applyFont="1" applyBorder="1" applyAlignment="1" applyProtection="1">
      <alignment horizontal="center" vertical="center"/>
      <protection hidden="1"/>
    </xf>
    <xf numFmtId="3" fontId="12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12" fillId="7" borderId="35" xfId="0" applyNumberFormat="1" applyFont="1" applyFill="1" applyBorder="1" applyAlignment="1" applyProtection="1">
      <alignment horizontal="center" vertical="center"/>
      <protection locked="0" hidden="1"/>
    </xf>
    <xf numFmtId="1" fontId="5" fillId="0" borderId="0" xfId="0" applyNumberFormat="1" applyFont="1" applyAlignment="1" applyProtection="1">
      <alignment vertical="center"/>
      <protection hidden="1"/>
    </xf>
    <xf numFmtId="14" fontId="5" fillId="0" borderId="0" xfId="0" applyNumberFormat="1" applyFont="1" applyAlignment="1" applyProtection="1">
      <alignment horizontal="left" vertical="center"/>
      <protection hidden="1"/>
    </xf>
    <xf numFmtId="3" fontId="0" fillId="0" borderId="17" xfId="0" applyNumberFormat="1" applyBorder="1" applyAlignment="1" applyProtection="1">
      <alignment horizontal="center" vertical="center"/>
      <protection hidden="1"/>
    </xf>
    <xf numFmtId="3" fontId="0" fillId="0" borderId="35" xfId="0" applyNumberFormat="1" applyBorder="1" applyAlignment="1" applyProtection="1">
      <alignment horizontal="center" vertical="center"/>
      <protection hidden="1"/>
    </xf>
    <xf numFmtId="0" fontId="6" fillId="0" borderId="122" xfId="0" applyFont="1" applyBorder="1" applyAlignment="1" applyProtection="1">
      <alignment horizontal="center" vertical="center"/>
      <protection hidden="1"/>
    </xf>
    <xf numFmtId="0" fontId="51" fillId="0" borderId="124" xfId="0" applyFont="1" applyBorder="1" applyAlignment="1" applyProtection="1">
      <alignment horizontal="center" vertical="center"/>
      <protection hidden="1"/>
    </xf>
    <xf numFmtId="3" fontId="52" fillId="0" borderId="121" xfId="0" applyNumberFormat="1" applyFont="1" applyBorder="1" applyAlignment="1" applyProtection="1">
      <alignment horizontal="center" vertical="center"/>
      <protection hidden="1"/>
    </xf>
    <xf numFmtId="3" fontId="52" fillId="0" borderId="124" xfId="0" applyNumberFormat="1" applyFont="1" applyBorder="1" applyAlignment="1" applyProtection="1">
      <alignment horizontal="center" vertical="center"/>
      <protection hidden="1"/>
    </xf>
    <xf numFmtId="0" fontId="28" fillId="0" borderId="122" xfId="0" applyFont="1" applyBorder="1" applyAlignment="1" applyProtection="1">
      <alignment horizontal="center" vertical="center"/>
      <protection hidden="1"/>
    </xf>
    <xf numFmtId="3" fontId="53" fillId="0" borderId="121" xfId="0" applyNumberFormat="1" applyFont="1" applyBorder="1" applyAlignment="1" applyProtection="1">
      <alignment horizontal="center" vertical="center"/>
      <protection hidden="1"/>
    </xf>
    <xf numFmtId="0" fontId="54" fillId="0" borderId="122" xfId="0" applyFont="1" applyBorder="1" applyAlignment="1" applyProtection="1">
      <alignment horizontal="center" vertical="center"/>
      <protection hidden="1"/>
    </xf>
    <xf numFmtId="3" fontId="41" fillId="0" borderId="121" xfId="0" applyNumberFormat="1" applyFont="1" applyBorder="1" applyAlignment="1" applyProtection="1">
      <alignment horizontal="center" vertical="center"/>
      <protection hidden="1"/>
    </xf>
    <xf numFmtId="3" fontId="41" fillId="5" borderId="121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9" fillId="2" borderId="0" xfId="0" applyFont="1" applyFill="1" applyAlignment="1" applyProtection="1">
      <alignment horizontal="left" vertical="center"/>
      <protection hidden="1"/>
    </xf>
    <xf numFmtId="0" fontId="25" fillId="2" borderId="0" xfId="0" applyFont="1" applyFill="1" applyAlignment="1" applyProtection="1">
      <alignment horizontal="center"/>
      <protection hidden="1"/>
    </xf>
    <xf numFmtId="0" fontId="28" fillId="0" borderId="17" xfId="0" applyFont="1" applyBorder="1" applyAlignment="1" applyProtection="1">
      <alignment horizontal="center" vertical="center"/>
      <protection hidden="1"/>
    </xf>
    <xf numFmtId="0" fontId="28" fillId="0" borderId="20" xfId="0" applyFont="1" applyBorder="1" applyAlignment="1" applyProtection="1">
      <alignment horizontal="center" vertical="center"/>
      <protection hidden="1"/>
    </xf>
    <xf numFmtId="0" fontId="28" fillId="0" borderId="80" xfId="0" applyFont="1" applyBorder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vertical="center"/>
      <protection hidden="1"/>
    </xf>
    <xf numFmtId="0" fontId="12" fillId="0" borderId="20" xfId="0" applyFont="1" applyBorder="1" applyAlignment="1" applyProtection="1">
      <alignment horizontal="center" vertical="center"/>
      <protection hidden="1"/>
    </xf>
    <xf numFmtId="0" fontId="12" fillId="0" borderId="99" xfId="0" applyFont="1" applyBorder="1" applyAlignment="1" applyProtection="1">
      <alignment horizontal="center" vertical="center"/>
      <protection hidden="1"/>
    </xf>
    <xf numFmtId="0" fontId="7" fillId="2" borderId="0" xfId="0" applyFont="1" applyFill="1" applyProtection="1">
      <protection hidden="1"/>
    </xf>
    <xf numFmtId="0" fontId="8" fillId="0" borderId="0" xfId="0" applyFont="1" applyProtection="1">
      <protection hidden="1"/>
    </xf>
    <xf numFmtId="0" fontId="8" fillId="0" borderId="0" xfId="0" applyFont="1" applyAlignment="1" applyProtection="1">
      <alignment horizontal="left"/>
      <protection hidden="1"/>
    </xf>
    <xf numFmtId="3" fontId="5" fillId="5" borderId="61" xfId="0" applyNumberFormat="1" applyFont="1" applyFill="1" applyBorder="1" applyAlignment="1" applyProtection="1">
      <alignment vertical="center"/>
      <protection hidden="1"/>
    </xf>
    <xf numFmtId="167" fontId="5" fillId="0" borderId="18" xfId="0" applyNumberFormat="1" applyFont="1" applyBorder="1" applyAlignment="1" applyProtection="1">
      <alignment vertical="center"/>
      <protection hidden="1"/>
    </xf>
    <xf numFmtId="167" fontId="5" fillId="0" borderId="25" xfId="0" applyNumberFormat="1" applyFont="1" applyBorder="1" applyAlignment="1" applyProtection="1">
      <alignment horizontal="center" vertical="center"/>
      <protection hidden="1"/>
    </xf>
    <xf numFmtId="14" fontId="7" fillId="0" borderId="0" xfId="0" applyNumberFormat="1" applyFont="1" applyAlignment="1" applyProtection="1">
      <alignment horizontal="left" vertical="center"/>
      <protection hidden="1"/>
    </xf>
    <xf numFmtId="14" fontId="4" fillId="0" borderId="0" xfId="0" applyNumberFormat="1" applyFont="1" applyAlignment="1">
      <alignment horizontal="left" vertical="center"/>
    </xf>
    <xf numFmtId="0" fontId="6" fillId="0" borderId="0" xfId="0" applyFont="1" applyAlignment="1" applyProtection="1">
      <alignment horizontal="center" vertical="top"/>
      <protection hidden="1"/>
    </xf>
    <xf numFmtId="167" fontId="7" fillId="0" borderId="125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126" xfId="0" applyFont="1" applyBorder="1" applyAlignment="1" applyProtection="1">
      <alignment horizontal="center" vertical="center"/>
      <protection hidden="1"/>
    </xf>
    <xf numFmtId="0" fontId="7" fillId="0" borderId="129" xfId="0" applyFont="1" applyBorder="1" applyAlignment="1" applyProtection="1">
      <alignment vertical="center"/>
      <protection hidden="1"/>
    </xf>
    <xf numFmtId="0" fontId="7" fillId="0" borderId="127" xfId="0" applyFont="1" applyBorder="1" applyAlignment="1" applyProtection="1">
      <alignment horizontal="left" vertical="center"/>
      <protection hidden="1"/>
    </xf>
    <xf numFmtId="0" fontId="7" fillId="0" borderId="130" xfId="0" applyFont="1" applyBorder="1" applyAlignment="1" applyProtection="1">
      <alignment vertical="center"/>
      <protection hidden="1"/>
    </xf>
    <xf numFmtId="0" fontId="7" fillId="0" borderId="130" xfId="0" applyFont="1" applyBorder="1" applyAlignment="1" applyProtection="1">
      <alignment horizontal="left" vertical="center"/>
      <protection hidden="1"/>
    </xf>
    <xf numFmtId="0" fontId="7" fillId="0" borderId="131" xfId="0" applyFont="1" applyBorder="1" applyAlignment="1" applyProtection="1">
      <alignment vertical="center"/>
      <protection hidden="1"/>
    </xf>
    <xf numFmtId="0" fontId="7" fillId="0" borderId="132" xfId="0" applyFont="1" applyBorder="1" applyAlignment="1" applyProtection="1">
      <alignment vertical="center"/>
      <protection hidden="1"/>
    </xf>
    <xf numFmtId="167" fontId="7" fillId="0" borderId="133" xfId="0" applyNumberFormat="1" applyFont="1" applyBorder="1" applyAlignment="1" applyProtection="1">
      <alignment horizontal="center" vertical="center"/>
      <protection hidden="1"/>
    </xf>
    <xf numFmtId="164" fontId="7" fillId="0" borderId="133" xfId="0" applyNumberFormat="1" applyFont="1" applyBorder="1" applyAlignment="1" applyProtection="1">
      <alignment horizontal="center" vertical="center"/>
      <protection hidden="1"/>
    </xf>
    <xf numFmtId="167" fontId="7" fillId="5" borderId="133" xfId="0" applyNumberFormat="1" applyFont="1" applyFill="1" applyBorder="1" applyAlignment="1" applyProtection="1">
      <alignment horizontal="center" vertical="center"/>
      <protection hidden="1"/>
    </xf>
    <xf numFmtId="1" fontId="4" fillId="0" borderId="133" xfId="0" applyNumberFormat="1" applyFont="1" applyBorder="1" applyAlignment="1" applyProtection="1">
      <alignment horizontal="center" vertical="center"/>
      <protection hidden="1"/>
    </xf>
    <xf numFmtId="166" fontId="7" fillId="0" borderId="133" xfId="0" applyNumberFormat="1" applyFont="1" applyBorder="1" applyAlignment="1" applyProtection="1">
      <alignment horizontal="center" vertical="center"/>
      <protection hidden="1"/>
    </xf>
    <xf numFmtId="3" fontId="4" fillId="0" borderId="133" xfId="0" applyNumberFormat="1" applyFont="1" applyBorder="1" applyAlignment="1" applyProtection="1">
      <alignment horizontal="center" vertical="center"/>
      <protection hidden="1"/>
    </xf>
    <xf numFmtId="0" fontId="4" fillId="0" borderId="137" xfId="0" applyFont="1" applyBorder="1" applyAlignment="1" applyProtection="1">
      <alignment vertical="center"/>
      <protection hidden="1"/>
    </xf>
    <xf numFmtId="0" fontId="7" fillId="0" borderId="138" xfId="0" applyFont="1" applyBorder="1" applyAlignment="1" applyProtection="1">
      <alignment vertical="center"/>
      <protection hidden="1"/>
    </xf>
    <xf numFmtId="0" fontId="4" fillId="0" borderId="138" xfId="0" applyFont="1" applyBorder="1" applyAlignment="1" applyProtection="1">
      <alignment vertical="center"/>
      <protection hidden="1"/>
    </xf>
    <xf numFmtId="0" fontId="4" fillId="0" borderId="138" xfId="0" applyFont="1" applyBorder="1" applyAlignment="1" applyProtection="1">
      <alignment horizontal="left" vertical="center"/>
      <protection hidden="1"/>
    </xf>
    <xf numFmtId="167" fontId="4" fillId="0" borderId="133" xfId="0" applyNumberFormat="1" applyFont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167" fontId="4" fillId="0" borderId="133" xfId="0" applyNumberFormat="1" applyFont="1" applyBorder="1" applyAlignment="1" applyProtection="1">
      <alignment horizontal="center"/>
      <protection hidden="1"/>
    </xf>
    <xf numFmtId="167" fontId="7" fillId="0" borderId="133" xfId="0" applyNumberFormat="1" applyFont="1" applyBorder="1" applyAlignment="1" applyProtection="1">
      <alignment horizontal="center"/>
      <protection hidden="1"/>
    </xf>
    <xf numFmtId="0" fontId="4" fillId="0" borderId="131" xfId="0" applyFont="1" applyBorder="1" applyAlignment="1" applyProtection="1">
      <alignment vertical="center"/>
      <protection hidden="1"/>
    </xf>
    <xf numFmtId="0" fontId="7" fillId="0" borderId="137" xfId="0" applyFont="1" applyBorder="1" applyAlignment="1" applyProtection="1">
      <alignment vertical="center"/>
      <protection hidden="1"/>
    </xf>
    <xf numFmtId="0" fontId="4" fillId="0" borderId="132" xfId="0" applyFont="1" applyBorder="1" applyAlignment="1" applyProtection="1">
      <alignment vertical="center"/>
      <protection hidden="1"/>
    </xf>
    <xf numFmtId="0" fontId="4" fillId="0" borderId="131" xfId="0" applyFont="1" applyBorder="1" applyAlignment="1" applyProtection="1">
      <alignment horizontal="left" vertical="center"/>
      <protection hidden="1"/>
    </xf>
    <xf numFmtId="0" fontId="4" fillId="0" borderId="137" xfId="0" applyFont="1" applyBorder="1" applyAlignment="1" applyProtection="1">
      <alignment horizontal="left" vertical="center"/>
      <protection hidden="1"/>
    </xf>
    <xf numFmtId="0" fontId="7" fillId="5" borderId="133" xfId="0" applyFont="1" applyFill="1" applyBorder="1" applyAlignment="1" applyProtection="1">
      <alignment horizontal="center"/>
      <protection hidden="1"/>
    </xf>
    <xf numFmtId="0" fontId="7" fillId="5" borderId="133" xfId="0" applyFont="1" applyFill="1" applyBorder="1" applyAlignment="1" applyProtection="1">
      <alignment horizontal="center" vertical="center"/>
      <protection hidden="1"/>
    </xf>
    <xf numFmtId="167" fontId="68" fillId="0" borderId="133" xfId="0" applyNumberFormat="1" applyFont="1" applyBorder="1" applyAlignment="1" applyProtection="1">
      <alignment horizontal="center" vertical="center"/>
      <protection hidden="1"/>
    </xf>
    <xf numFmtId="0" fontId="7" fillId="5" borderId="131" xfId="0" applyFont="1" applyFill="1" applyBorder="1" applyAlignment="1" applyProtection="1">
      <alignment vertical="center"/>
      <protection hidden="1"/>
    </xf>
    <xf numFmtId="0" fontId="7" fillId="5" borderId="137" xfId="0" applyFont="1" applyFill="1" applyBorder="1" applyAlignment="1" applyProtection="1">
      <alignment vertical="center"/>
      <protection hidden="1"/>
    </xf>
    <xf numFmtId="167" fontId="7" fillId="5" borderId="133" xfId="0" applyNumberFormat="1" applyFont="1" applyFill="1" applyBorder="1" applyAlignment="1" applyProtection="1">
      <alignment horizontal="center"/>
      <protection hidden="1"/>
    </xf>
    <xf numFmtId="0" fontId="7" fillId="0" borderId="131" xfId="0" applyFont="1" applyBorder="1" applyAlignment="1" applyProtection="1">
      <alignment horizontal="left" vertical="center"/>
      <protection hidden="1"/>
    </xf>
    <xf numFmtId="0" fontId="4" fillId="0" borderId="132" xfId="0" applyFont="1" applyBorder="1" applyAlignment="1" applyProtection="1">
      <alignment horizontal="left" vertical="center"/>
      <protection hidden="1"/>
    </xf>
    <xf numFmtId="0" fontId="4" fillId="0" borderId="132" xfId="0" applyFont="1" applyBorder="1" applyAlignment="1" applyProtection="1">
      <alignment horizontal="right" vertical="center"/>
      <protection hidden="1"/>
    </xf>
    <xf numFmtId="3" fontId="4" fillId="0" borderId="132" xfId="0" applyNumberFormat="1" applyFont="1" applyBorder="1" applyAlignment="1" applyProtection="1">
      <alignment vertical="center"/>
      <protection hidden="1"/>
    </xf>
    <xf numFmtId="0" fontId="7" fillId="0" borderId="131" xfId="0" applyFont="1" applyBorder="1" applyAlignment="1">
      <alignment vertical="center"/>
    </xf>
    <xf numFmtId="0" fontId="0" fillId="0" borderId="131" xfId="0" applyBorder="1" applyAlignment="1">
      <alignment vertical="center"/>
    </xf>
    <xf numFmtId="0" fontId="7" fillId="0" borderId="132" xfId="0" applyFont="1" applyBorder="1" applyAlignment="1">
      <alignment vertical="center"/>
    </xf>
    <xf numFmtId="0" fontId="0" fillId="0" borderId="132" xfId="0" applyBorder="1" applyAlignment="1">
      <alignment vertical="center"/>
    </xf>
    <xf numFmtId="0" fontId="3" fillId="0" borderId="0" xfId="0" applyFont="1" applyAlignment="1" applyProtection="1">
      <alignment horizontal="center"/>
      <protection hidden="1"/>
    </xf>
    <xf numFmtId="4" fontId="4" fillId="0" borderId="133" xfId="0" applyNumberFormat="1" applyFont="1" applyBorder="1" applyAlignment="1" applyProtection="1">
      <alignment horizontal="center"/>
      <protection hidden="1"/>
    </xf>
    <xf numFmtId="0" fontId="4" fillId="0" borderId="131" xfId="0" applyFont="1" applyBorder="1" applyAlignment="1" applyProtection="1">
      <alignment horizontal="left"/>
      <protection hidden="1"/>
    </xf>
    <xf numFmtId="0" fontId="4" fillId="0" borderId="137" xfId="0" applyFont="1" applyBorder="1" applyAlignment="1" applyProtection="1">
      <alignment horizontal="left"/>
      <protection hidden="1"/>
    </xf>
    <xf numFmtId="0" fontId="4" fillId="0" borderId="132" xfId="0" applyFont="1" applyBorder="1" applyAlignment="1" applyProtection="1">
      <alignment horizontal="left"/>
      <protection hidden="1"/>
    </xf>
    <xf numFmtId="0" fontId="4" fillId="0" borderId="138" xfId="0" applyFont="1" applyBorder="1" applyAlignment="1" applyProtection="1">
      <alignment horizontal="left"/>
      <protection hidden="1"/>
    </xf>
    <xf numFmtId="0" fontId="7" fillId="0" borderId="137" xfId="0" applyFont="1" applyBorder="1" applyAlignment="1" applyProtection="1">
      <alignment horizontal="left"/>
      <protection hidden="1"/>
    </xf>
    <xf numFmtId="3" fontId="4" fillId="6" borderId="0" xfId="0" applyNumberFormat="1" applyFont="1" applyFill="1" applyAlignment="1" applyProtection="1">
      <alignment horizontal="center" vertical="center"/>
      <protection hidden="1"/>
    </xf>
    <xf numFmtId="1" fontId="7" fillId="0" borderId="133" xfId="0" applyNumberFormat="1" applyFont="1" applyBorder="1" applyAlignment="1" applyProtection="1">
      <alignment horizontal="center" vertical="center"/>
      <protection hidden="1"/>
    </xf>
    <xf numFmtId="0" fontId="7" fillId="0" borderId="133" xfId="0" applyFont="1" applyBorder="1" applyAlignment="1" applyProtection="1">
      <alignment horizontal="center" vertical="center"/>
      <protection hidden="1"/>
    </xf>
    <xf numFmtId="167" fontId="71" fillId="0" borderId="0" xfId="0" applyNumberFormat="1" applyFont="1" applyAlignment="1" applyProtection="1">
      <alignment horizontal="right" vertical="center"/>
      <protection hidden="1"/>
    </xf>
    <xf numFmtId="0" fontId="7" fillId="0" borderId="132" xfId="0" applyFont="1" applyBorder="1" applyAlignment="1" applyProtection="1">
      <alignment horizontal="left" vertical="center"/>
      <protection hidden="1"/>
    </xf>
    <xf numFmtId="0" fontId="7" fillId="0" borderId="138" xfId="0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6" fillId="0" borderId="0" xfId="0" applyFont="1" applyAlignment="1" applyProtection="1">
      <alignment horizontal="left" vertical="center" wrapText="1"/>
      <protection hidden="1"/>
    </xf>
    <xf numFmtId="167" fontId="7" fillId="0" borderId="141" xfId="0" applyNumberFormat="1" applyFont="1" applyBorder="1" applyAlignment="1" applyProtection="1">
      <alignment horizontal="center"/>
      <protection hidden="1"/>
    </xf>
    <xf numFmtId="167" fontId="7" fillId="0" borderId="141" xfId="0" applyNumberFormat="1" applyFont="1" applyBorder="1" applyAlignment="1" applyProtection="1">
      <alignment horizontal="center" vertical="center"/>
      <protection hidden="1"/>
    </xf>
    <xf numFmtId="167" fontId="4" fillId="0" borderId="142" xfId="0" applyNumberFormat="1" applyFont="1" applyBorder="1" applyAlignment="1" applyProtection="1">
      <alignment horizontal="center"/>
      <protection hidden="1"/>
    </xf>
    <xf numFmtId="167" fontId="4" fillId="0" borderId="142" xfId="0" applyNumberFormat="1" applyFont="1" applyBorder="1" applyAlignment="1" applyProtection="1">
      <alignment horizontal="center" vertical="center"/>
      <protection hidden="1"/>
    </xf>
    <xf numFmtId="3" fontId="6" fillId="0" borderId="50" xfId="0" applyNumberFormat="1" applyFont="1" applyBorder="1" applyAlignment="1">
      <alignment horizontal="center" vertical="center"/>
    </xf>
    <xf numFmtId="167" fontId="6" fillId="0" borderId="51" xfId="0" applyNumberFormat="1" applyFont="1" applyBorder="1" applyAlignment="1">
      <alignment horizontal="center" vertical="center"/>
    </xf>
    <xf numFmtId="3" fontId="12" fillId="2" borderId="38" xfId="0" applyNumberFormat="1" applyFont="1" applyFill="1" applyBorder="1" applyAlignment="1">
      <alignment horizontal="center" vertical="center"/>
    </xf>
    <xf numFmtId="167" fontId="12" fillId="0" borderId="35" xfId="0" applyNumberFormat="1" applyFont="1" applyBorder="1" applyAlignment="1">
      <alignment horizontal="center" vertical="center"/>
    </xf>
    <xf numFmtId="167" fontId="7" fillId="3" borderId="35" xfId="0" applyNumberFormat="1" applyFont="1" applyFill="1" applyBorder="1" applyAlignment="1">
      <alignment horizontal="center" vertical="center"/>
    </xf>
    <xf numFmtId="167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12" fillId="0" borderId="38" xfId="0" applyNumberFormat="1" applyFont="1" applyBorder="1" applyAlignment="1">
      <alignment horizontal="center" vertical="center"/>
    </xf>
    <xf numFmtId="3" fontId="12" fillId="7" borderId="52" xfId="0" applyNumberFormat="1" applyFont="1" applyFill="1" applyBorder="1" applyAlignment="1" applyProtection="1">
      <alignment horizontal="center" vertical="center"/>
      <protection locked="0"/>
    </xf>
    <xf numFmtId="167" fontId="12" fillId="3" borderId="33" xfId="0" applyNumberFormat="1" applyFont="1" applyFill="1" applyBorder="1" applyAlignment="1">
      <alignment horizontal="center" vertical="center"/>
    </xf>
    <xf numFmtId="167" fontId="7" fillId="3" borderId="33" xfId="0" applyNumberFormat="1" applyFont="1" applyFill="1" applyBorder="1" applyAlignment="1">
      <alignment horizontal="center" vertical="center"/>
    </xf>
    <xf numFmtId="3" fontId="6" fillId="0" borderId="48" xfId="0" applyNumberFormat="1" applyFont="1" applyBorder="1" applyAlignment="1" applyProtection="1">
      <alignment horizontal="center" vertical="center"/>
      <protection hidden="1"/>
    </xf>
    <xf numFmtId="167" fontId="6" fillId="0" borderId="51" xfId="0" applyNumberFormat="1" applyFont="1" applyBorder="1" applyAlignment="1" applyProtection="1">
      <alignment horizontal="center" vertical="center"/>
      <protection hidden="1"/>
    </xf>
    <xf numFmtId="167" fontId="12" fillId="3" borderId="35" xfId="0" applyNumberFormat="1" applyFont="1" applyFill="1" applyBorder="1" applyAlignment="1">
      <alignment horizontal="center" vertical="center"/>
    </xf>
    <xf numFmtId="10" fontId="7" fillId="7" borderId="105" xfId="0" applyNumberFormat="1" applyFont="1" applyFill="1" applyBorder="1" applyAlignment="1" applyProtection="1">
      <alignment horizontal="center" vertical="center"/>
      <protection locked="0"/>
    </xf>
    <xf numFmtId="164" fontId="7" fillId="3" borderId="35" xfId="0" applyNumberFormat="1" applyFont="1" applyFill="1" applyBorder="1" applyAlignment="1">
      <alignment horizontal="center" vertical="center"/>
    </xf>
    <xf numFmtId="10" fontId="7" fillId="7" borderId="38" xfId="0" applyNumberFormat="1" applyFont="1" applyFill="1" applyBorder="1" applyAlignment="1" applyProtection="1">
      <alignment horizontal="center" vertical="center"/>
      <protection locked="0"/>
    </xf>
    <xf numFmtId="164" fontId="7" fillId="3" borderId="17" xfId="0" applyNumberFormat="1" applyFont="1" applyFill="1" applyBorder="1" applyAlignment="1">
      <alignment horizontal="center" vertical="center"/>
    </xf>
    <xf numFmtId="3" fontId="7" fillId="0" borderId="38" xfId="0" applyNumberFormat="1" applyFont="1" applyBorder="1" applyAlignment="1" applyProtection="1">
      <alignment horizontal="center" vertical="center"/>
      <protection hidden="1"/>
    </xf>
    <xf numFmtId="167" fontId="7" fillId="3" borderId="35" xfId="0" applyNumberFormat="1" applyFont="1" applyFill="1" applyBorder="1" applyAlignment="1" applyProtection="1">
      <alignment horizontal="center" vertical="center"/>
      <protection hidden="1"/>
    </xf>
    <xf numFmtId="167" fontId="7" fillId="3" borderId="17" xfId="0" applyNumberFormat="1" applyFont="1" applyFill="1" applyBorder="1" applyAlignment="1" applyProtection="1">
      <alignment horizontal="center" vertical="center"/>
      <protection hidden="1"/>
    </xf>
    <xf numFmtId="3" fontId="57" fillId="7" borderId="38" xfId="0" applyNumberFormat="1" applyFont="1" applyFill="1" applyBorder="1" applyAlignment="1" applyProtection="1">
      <alignment horizontal="center" vertical="center"/>
      <protection locked="0"/>
    </xf>
    <xf numFmtId="167" fontId="7" fillId="3" borderId="17" xfId="0" applyNumberFormat="1" applyFont="1" applyFill="1" applyBorder="1" applyAlignment="1">
      <alignment horizontal="center" vertical="center"/>
    </xf>
    <xf numFmtId="3" fontId="12" fillId="0" borderId="38" xfId="0" applyNumberFormat="1" applyFont="1" applyBorder="1" applyAlignment="1" applyProtection="1">
      <alignment horizontal="center" vertical="center"/>
      <protection hidden="1"/>
    </xf>
    <xf numFmtId="167" fontId="12" fillId="3" borderId="35" xfId="0" applyNumberFormat="1" applyFont="1" applyFill="1" applyBorder="1" applyAlignment="1" applyProtection="1">
      <alignment horizontal="center" vertical="center"/>
      <protection hidden="1"/>
    </xf>
    <xf numFmtId="167" fontId="12" fillId="3" borderId="17" xfId="0" applyNumberFormat="1" applyFont="1" applyFill="1" applyBorder="1" applyAlignment="1" applyProtection="1">
      <alignment horizontal="center" vertical="center"/>
      <protection hidden="1"/>
    </xf>
    <xf numFmtId="167" fontId="12" fillId="3" borderId="20" xfId="0" applyNumberFormat="1" applyFont="1" applyFill="1" applyBorder="1" applyAlignment="1" applyProtection="1">
      <alignment horizontal="center" vertical="center"/>
      <protection hidden="1"/>
    </xf>
    <xf numFmtId="167" fontId="12" fillId="3" borderId="20" xfId="0" applyNumberFormat="1" applyFont="1" applyFill="1" applyBorder="1" applyAlignment="1">
      <alignment horizontal="center" vertical="center"/>
    </xf>
    <xf numFmtId="3" fontId="12" fillId="7" borderId="38" xfId="0" applyNumberFormat="1" applyFont="1" applyFill="1" applyBorder="1" applyAlignment="1" applyProtection="1">
      <alignment horizontal="center" vertical="center"/>
      <protection locked="0"/>
    </xf>
    <xf numFmtId="3" fontId="7" fillId="0" borderId="39" xfId="0" applyNumberFormat="1" applyFont="1" applyBorder="1" applyAlignment="1">
      <alignment horizontal="center" vertical="center"/>
    </xf>
    <xf numFmtId="167" fontId="7" fillId="0" borderId="37" xfId="0" applyNumberFormat="1" applyFont="1" applyBorder="1" applyAlignment="1">
      <alignment horizontal="center" vertical="center"/>
    </xf>
    <xf numFmtId="3" fontId="12" fillId="0" borderId="50" xfId="0" applyNumberFormat="1" applyFont="1" applyBorder="1" applyAlignment="1">
      <alignment horizontal="center" vertical="center"/>
    </xf>
    <xf numFmtId="167" fontId="12" fillId="0" borderId="51" xfId="0" applyNumberFormat="1" applyFont="1" applyBorder="1" applyAlignment="1" applyProtection="1">
      <alignment horizontal="center" vertical="center"/>
      <protection hidden="1"/>
    </xf>
    <xf numFmtId="167" fontId="7" fillId="3" borderId="22" xfId="0" applyNumberFormat="1" applyFont="1" applyFill="1" applyBorder="1" applyAlignment="1" applyProtection="1">
      <alignment horizontal="center" vertical="center"/>
      <protection hidden="1"/>
    </xf>
    <xf numFmtId="3" fontId="7" fillId="7" borderId="21" xfId="0" applyNumberFormat="1" applyFont="1" applyFill="1" applyBorder="1" applyAlignment="1" applyProtection="1">
      <alignment horizontal="center" vertical="center"/>
      <protection locked="0"/>
    </xf>
    <xf numFmtId="167" fontId="7" fillId="3" borderId="37" xfId="0" applyNumberFormat="1" applyFont="1" applyFill="1" applyBorder="1" applyAlignment="1" applyProtection="1">
      <alignment horizontal="center" vertical="center"/>
      <protection hidden="1"/>
    </xf>
    <xf numFmtId="167" fontId="12" fillId="0" borderId="69" xfId="0" applyNumberFormat="1" applyFont="1" applyBorder="1" applyAlignment="1" applyProtection="1">
      <alignment horizontal="center" vertical="center"/>
      <protection hidden="1"/>
    </xf>
    <xf numFmtId="3" fontId="12" fillId="7" borderId="3" xfId="0" applyNumberFormat="1" applyFont="1" applyFill="1" applyBorder="1" applyAlignment="1" applyProtection="1">
      <alignment horizontal="center" vertical="center"/>
      <protection locked="0"/>
    </xf>
    <xf numFmtId="167" fontId="12" fillId="0" borderId="30" xfId="0" applyNumberFormat="1" applyFont="1" applyBorder="1" applyAlignment="1" applyProtection="1">
      <alignment horizontal="center" vertical="center"/>
      <protection hidden="1"/>
    </xf>
    <xf numFmtId="3" fontId="12" fillId="7" borderId="48" xfId="0" applyNumberFormat="1" applyFont="1" applyFill="1" applyBorder="1" applyAlignment="1" applyProtection="1">
      <alignment horizontal="center" vertical="center"/>
      <protection locked="0"/>
    </xf>
    <xf numFmtId="167" fontId="12" fillId="0" borderId="5" xfId="0" applyNumberFormat="1" applyFont="1" applyBorder="1" applyAlignment="1" applyProtection="1">
      <alignment horizontal="center" vertical="center"/>
      <protection hidden="1"/>
    </xf>
    <xf numFmtId="3" fontId="12" fillId="0" borderId="53" xfId="0" applyNumberFormat="1" applyFont="1" applyBorder="1" applyAlignment="1">
      <alignment horizontal="center" vertical="center"/>
    </xf>
    <xf numFmtId="167" fontId="12" fillId="0" borderId="33" xfId="0" applyNumberFormat="1" applyFont="1" applyBorder="1" applyAlignment="1" applyProtection="1">
      <alignment horizontal="center" vertical="center"/>
      <protection hidden="1"/>
    </xf>
    <xf numFmtId="167" fontId="7" fillId="3" borderId="57" xfId="0" applyNumberFormat="1" applyFont="1" applyFill="1" applyBorder="1" applyAlignment="1" applyProtection="1">
      <alignment horizontal="center" vertical="center"/>
      <protection hidden="1"/>
    </xf>
    <xf numFmtId="3" fontId="12" fillId="0" borderId="50" xfId="0" applyNumberFormat="1" applyFont="1" applyBorder="1" applyAlignment="1" applyProtection="1">
      <alignment horizontal="center" vertical="center"/>
      <protection hidden="1"/>
    </xf>
    <xf numFmtId="3" fontId="6" fillId="0" borderId="61" xfId="0" applyNumberFormat="1" applyFont="1" applyBorder="1" applyAlignment="1" applyProtection="1">
      <alignment horizontal="center" vertic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12" fillId="0" borderId="20" xfId="0" applyNumberFormat="1" applyFont="1" applyBorder="1" applyAlignment="1" applyProtection="1">
      <alignment horizontal="center" vertical="center"/>
      <protection hidden="1"/>
    </xf>
    <xf numFmtId="3" fontId="12" fillId="7" borderId="20" xfId="0" applyNumberFormat="1" applyFont="1" applyFill="1" applyBorder="1" applyAlignment="1" applyProtection="1">
      <alignment horizontal="center" vertical="center"/>
      <protection locked="0"/>
    </xf>
    <xf numFmtId="3" fontId="11" fillId="0" borderId="60" xfId="0" applyNumberFormat="1" applyFont="1" applyBorder="1" applyAlignment="1" applyProtection="1">
      <alignment horizontal="center" vertical="center"/>
      <protection hidden="1"/>
    </xf>
    <xf numFmtId="3" fontId="11" fillId="0" borderId="25" xfId="0" applyNumberFormat="1" applyFont="1" applyBorder="1" applyAlignment="1" applyProtection="1">
      <alignment horizontal="center" vertical="center"/>
      <protection hidden="1"/>
    </xf>
    <xf numFmtId="3" fontId="11" fillId="0" borderId="57" xfId="0" applyNumberFormat="1" applyFont="1" applyBorder="1" applyAlignment="1" applyProtection="1">
      <alignment horizontal="center" vertical="center"/>
      <protection hidden="1"/>
    </xf>
    <xf numFmtId="3" fontId="11" fillId="7" borderId="32" xfId="0" applyNumberFormat="1" applyFont="1" applyFill="1" applyBorder="1" applyAlignment="1" applyProtection="1">
      <alignment horizontal="center" vertical="center"/>
      <protection locked="0"/>
    </xf>
    <xf numFmtId="3" fontId="12" fillId="5" borderId="19" xfId="0" applyNumberFormat="1" applyFont="1" applyFill="1" applyBorder="1" applyAlignment="1" applyProtection="1">
      <alignment horizontal="center" vertical="center"/>
      <protection hidden="1"/>
    </xf>
    <xf numFmtId="3" fontId="11" fillId="7" borderId="60" xfId="0" applyNumberFormat="1" applyFont="1" applyFill="1" applyBorder="1" applyAlignment="1" applyProtection="1">
      <alignment horizontal="center" vertical="center"/>
      <protection locked="0"/>
    </xf>
    <xf numFmtId="3" fontId="11" fillId="5" borderId="17" xfId="0" applyNumberFormat="1" applyFont="1" applyFill="1" applyBorder="1" applyAlignment="1">
      <alignment horizontal="center" vertical="center"/>
    </xf>
    <xf numFmtId="3" fontId="11" fillId="5" borderId="36" xfId="0" applyNumberFormat="1" applyFont="1" applyFill="1" applyBorder="1" applyAlignment="1">
      <alignment horizontal="center" vertical="center"/>
    </xf>
    <xf numFmtId="3" fontId="12" fillId="7" borderId="36" xfId="0" applyNumberFormat="1" applyFont="1" applyFill="1" applyBorder="1" applyAlignment="1" applyProtection="1">
      <alignment horizontal="center" vertical="center"/>
      <protection locked="0"/>
    </xf>
    <xf numFmtId="3" fontId="12" fillId="7" borderId="37" xfId="0" applyNumberFormat="1" applyFont="1" applyFill="1" applyBorder="1" applyAlignment="1" applyProtection="1">
      <alignment horizontal="center" vertical="center"/>
      <protection locked="0"/>
    </xf>
    <xf numFmtId="3" fontId="6" fillId="0" borderId="49" xfId="0" applyNumberFormat="1" applyFont="1" applyBorder="1" applyAlignment="1" applyProtection="1">
      <alignment horizontal="center" vertical="center"/>
      <protection hidden="1"/>
    </xf>
    <xf numFmtId="3" fontId="6" fillId="0" borderId="51" xfId="0" applyNumberFormat="1" applyFont="1" applyBorder="1" applyAlignment="1" applyProtection="1">
      <alignment horizontal="center" vertical="center"/>
      <protection hidden="1"/>
    </xf>
    <xf numFmtId="167" fontId="58" fillId="0" borderId="17" xfId="0" applyNumberFormat="1" applyFont="1" applyBorder="1" applyAlignment="1" applyProtection="1">
      <alignment horizontal="center" vertical="center"/>
      <protection hidden="1"/>
    </xf>
    <xf numFmtId="167" fontId="58" fillId="0" borderId="35" xfId="0" applyNumberFormat="1" applyFont="1" applyBorder="1" applyAlignment="1" applyProtection="1">
      <alignment horizontal="center" vertical="center"/>
      <protection hidden="1"/>
    </xf>
    <xf numFmtId="164" fontId="58" fillId="0" borderId="17" xfId="0" applyNumberFormat="1" applyFont="1" applyBorder="1" applyAlignment="1" applyProtection="1">
      <alignment horizontal="center" vertical="center"/>
      <protection hidden="1"/>
    </xf>
    <xf numFmtId="164" fontId="58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7" borderId="36" xfId="0" applyNumberFormat="1" applyFont="1" applyFill="1" applyBorder="1" applyAlignment="1" applyProtection="1">
      <alignment horizontal="center" vertical="center"/>
      <protection locked="0"/>
    </xf>
    <xf numFmtId="3" fontId="11" fillId="0" borderId="56" xfId="0" applyNumberFormat="1" applyFont="1" applyBorder="1" applyAlignment="1" applyProtection="1">
      <alignment horizontal="center" vertical="center"/>
      <protection hidden="1"/>
    </xf>
    <xf numFmtId="3" fontId="6" fillId="0" borderId="32" xfId="0" applyNumberFormat="1" applyFont="1" applyBorder="1" applyAlignment="1" applyProtection="1">
      <alignment horizontal="center" vertical="center"/>
      <protection hidden="1"/>
    </xf>
    <xf numFmtId="3" fontId="6" fillId="0" borderId="112" xfId="0" applyNumberFormat="1" applyFont="1" applyBorder="1" applyAlignment="1" applyProtection="1">
      <alignment horizontal="center" vertical="center"/>
      <protection hidden="1"/>
    </xf>
    <xf numFmtId="3" fontId="12" fillId="0" borderId="44" xfId="0" applyNumberFormat="1" applyFont="1" applyBorder="1" applyAlignment="1" applyProtection="1">
      <alignment horizontal="center" vertical="center"/>
      <protection hidden="1"/>
    </xf>
    <xf numFmtId="3" fontId="12" fillId="0" borderId="67" xfId="0" applyNumberFormat="1" applyFont="1" applyBorder="1" applyAlignment="1" applyProtection="1">
      <alignment horizontal="center" vertical="center"/>
      <protection hidden="1"/>
    </xf>
    <xf numFmtId="3" fontId="12" fillId="0" borderId="23" xfId="0" applyNumberFormat="1" applyFont="1" applyBorder="1" applyAlignment="1" applyProtection="1">
      <alignment horizontal="center" vertical="center"/>
      <protection hidden="1"/>
    </xf>
    <xf numFmtId="3" fontId="12" fillId="9" borderId="32" xfId="0" applyNumberFormat="1" applyFont="1" applyFill="1" applyBorder="1" applyAlignment="1" applyProtection="1">
      <alignment horizontal="center" vertical="center"/>
      <protection hidden="1"/>
    </xf>
    <xf numFmtId="3" fontId="12" fillId="9" borderId="35" xfId="0" applyNumberFormat="1" applyFont="1" applyFill="1" applyBorder="1" applyAlignment="1" applyProtection="1">
      <alignment horizontal="center" vertical="center"/>
      <protection hidden="1"/>
    </xf>
    <xf numFmtId="3" fontId="6" fillId="0" borderId="20" xfId="0" applyNumberFormat="1" applyFont="1" applyBorder="1" applyAlignment="1" applyProtection="1">
      <alignment horizontal="center" vertical="center"/>
      <protection hidden="1"/>
    </xf>
    <xf numFmtId="164" fontId="15" fillId="0" borderId="17" xfId="0" applyNumberFormat="1" applyFont="1" applyBorder="1" applyAlignment="1" applyProtection="1">
      <alignment horizontal="center" vertical="center"/>
      <protection hidden="1"/>
    </xf>
    <xf numFmtId="3" fontId="6" fillId="7" borderId="17" xfId="0" applyNumberFormat="1" applyFont="1" applyFill="1" applyBorder="1" applyAlignment="1" applyProtection="1">
      <alignment horizontal="center" vertical="center"/>
      <protection locked="0"/>
    </xf>
    <xf numFmtId="3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7" borderId="35" xfId="0" applyNumberFormat="1" applyFont="1" applyFill="1" applyBorder="1" applyAlignment="1" applyProtection="1">
      <alignment horizontal="center" vertical="center"/>
      <protection locked="0"/>
    </xf>
    <xf numFmtId="3" fontId="12" fillId="0" borderId="17" xfId="0" applyNumberFormat="1" applyFont="1" applyBorder="1" applyAlignment="1">
      <alignment horizontal="center" vertical="center"/>
    </xf>
    <xf numFmtId="164" fontId="58" fillId="0" borderId="17" xfId="2" applyNumberFormat="1" applyFont="1" applyBorder="1" applyAlignment="1" applyProtection="1">
      <alignment horizontal="center" vertical="center"/>
      <protection hidden="1"/>
    </xf>
    <xf numFmtId="3" fontId="12" fillId="8" borderId="32" xfId="0" applyNumberFormat="1" applyFont="1" applyFill="1" applyBorder="1" applyAlignment="1" applyProtection="1">
      <alignment horizontal="center" vertical="center"/>
      <protection hidden="1"/>
    </xf>
    <xf numFmtId="3" fontId="12" fillId="8" borderId="35" xfId="0" applyNumberFormat="1" applyFont="1" applyFill="1" applyBorder="1" applyAlignment="1" applyProtection="1">
      <alignment horizontal="center" vertical="center"/>
      <protection hidden="1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3" fontId="6" fillId="0" borderId="47" xfId="0" applyNumberFormat="1" applyFont="1" applyBorder="1" applyAlignment="1" applyProtection="1">
      <alignment horizontal="center" vertical="center"/>
      <protection hidden="1"/>
    </xf>
    <xf numFmtId="3" fontId="6" fillId="0" borderId="24" xfId="0" applyNumberFormat="1" applyFont="1" applyBorder="1" applyAlignment="1" applyProtection="1">
      <alignment horizontal="center" vertical="center"/>
      <protection hidden="1"/>
    </xf>
    <xf numFmtId="3" fontId="12" fillId="7" borderId="59" xfId="0" applyNumberFormat="1" applyFont="1" applyFill="1" applyBorder="1" applyAlignment="1" applyProtection="1">
      <alignment horizontal="center" vertical="center"/>
      <protection locked="0"/>
    </xf>
    <xf numFmtId="3" fontId="12" fillId="0" borderId="53" xfId="0" applyNumberFormat="1" applyFont="1" applyBorder="1" applyAlignment="1" applyProtection="1">
      <alignment horizontal="center" vertical="center"/>
      <protection hidden="1"/>
    </xf>
    <xf numFmtId="3" fontId="12" fillId="7" borderId="44" xfId="0" applyNumberFormat="1" applyFont="1" applyFill="1" applyBorder="1" applyAlignment="1" applyProtection="1">
      <alignment horizontal="center" vertical="center"/>
      <protection locked="0"/>
    </xf>
    <xf numFmtId="3" fontId="11" fillId="0" borderId="44" xfId="0" applyNumberFormat="1" applyFont="1" applyBorder="1" applyAlignment="1" applyProtection="1">
      <alignment horizontal="center" vertical="center"/>
      <protection hidden="1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3" fontId="12" fillId="0" borderId="8" xfId="0" applyNumberFormat="1" applyFont="1" applyBorder="1" applyAlignment="1" applyProtection="1">
      <alignment horizontal="center" vertical="center"/>
      <protection hidden="1"/>
    </xf>
    <xf numFmtId="3" fontId="12" fillId="0" borderId="21" xfId="0" applyNumberFormat="1" applyFont="1" applyBorder="1" applyAlignment="1" applyProtection="1">
      <alignment horizontal="center" vertical="center"/>
      <protection hidden="1"/>
    </xf>
    <xf numFmtId="3" fontId="12" fillId="7" borderId="8" xfId="0" applyNumberFormat="1" applyFont="1" applyFill="1" applyBorder="1" applyAlignment="1" applyProtection="1">
      <alignment horizontal="center" vertical="center"/>
      <protection locked="0"/>
    </xf>
    <xf numFmtId="3" fontId="12" fillId="7" borderId="21" xfId="0" applyNumberFormat="1" applyFont="1" applyFill="1" applyBorder="1" applyAlignment="1" applyProtection="1">
      <alignment horizontal="center" vertical="center"/>
      <protection locked="0"/>
    </xf>
    <xf numFmtId="3" fontId="12" fillId="7" borderId="21" xfId="0" applyNumberFormat="1" applyFont="1" applyFill="1" applyBorder="1" applyAlignment="1" applyProtection="1">
      <alignment horizontal="center" vertical="center"/>
      <protection locked="0" hidden="1"/>
    </xf>
    <xf numFmtId="3" fontId="12" fillId="5" borderId="8" xfId="0" applyNumberFormat="1" applyFont="1" applyFill="1" applyBorder="1" applyAlignment="1">
      <alignment horizontal="center" vertical="center"/>
    </xf>
    <xf numFmtId="164" fontId="50" fillId="7" borderId="21" xfId="0" applyNumberFormat="1" applyFont="1" applyFill="1" applyBorder="1" applyAlignment="1" applyProtection="1">
      <alignment horizontal="center" vertical="center"/>
      <protection locked="0"/>
    </xf>
    <xf numFmtId="3" fontId="60" fillId="7" borderId="38" xfId="0" applyNumberFormat="1" applyFont="1" applyFill="1" applyBorder="1" applyAlignment="1" applyProtection="1">
      <alignment horizontal="center" vertical="center"/>
      <protection locked="0"/>
    </xf>
    <xf numFmtId="3" fontId="60" fillId="7" borderId="21" xfId="0" applyNumberFormat="1" applyFont="1" applyFill="1" applyBorder="1" applyAlignment="1" applyProtection="1">
      <alignment horizontal="center" vertical="center"/>
      <protection locked="0"/>
    </xf>
    <xf numFmtId="164" fontId="7" fillId="7" borderId="8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top"/>
      <protection hidden="1"/>
    </xf>
    <xf numFmtId="0" fontId="4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right" vertical="top" wrapText="1"/>
      <protection hidden="1"/>
    </xf>
    <xf numFmtId="3" fontId="12" fillId="7" borderId="53" xfId="0" applyNumberFormat="1" applyFont="1" applyFill="1" applyBorder="1" applyAlignment="1" applyProtection="1">
      <alignment horizontal="center" vertical="center"/>
      <protection locked="0"/>
    </xf>
    <xf numFmtId="3" fontId="12" fillId="5" borderId="2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0" fillId="0" borderId="0" xfId="0" applyAlignment="1" applyProtection="1">
      <alignment vertical="center"/>
      <protection hidden="1"/>
    </xf>
    <xf numFmtId="4" fontId="4" fillId="0" borderId="0" xfId="0" applyNumberFormat="1" applyFont="1" applyAlignment="1" applyProtection="1">
      <alignment vertical="center"/>
      <protection hidden="1"/>
    </xf>
    <xf numFmtId="0" fontId="12" fillId="0" borderId="45" xfId="0" applyFont="1" applyBorder="1" applyAlignment="1">
      <alignment horizontal="left" vertical="center"/>
    </xf>
    <xf numFmtId="0" fontId="12" fillId="0" borderId="46" xfId="0" applyFont="1" applyBorder="1" applyAlignment="1">
      <alignment horizontal="left" vertical="center"/>
    </xf>
    <xf numFmtId="0" fontId="11" fillId="0" borderId="45" xfId="0" applyFont="1" applyBorder="1" applyAlignment="1">
      <alignment horizontal="left" vertical="center"/>
    </xf>
    <xf numFmtId="0" fontId="12" fillId="0" borderId="75" xfId="0" applyFont="1" applyBorder="1" applyAlignment="1">
      <alignment horizontal="left" vertical="center"/>
    </xf>
    <xf numFmtId="0" fontId="12" fillId="0" borderId="76" xfId="0" applyFont="1" applyBorder="1" applyAlignment="1">
      <alignment horizontal="left" vertical="center"/>
    </xf>
    <xf numFmtId="3" fontId="12" fillId="5" borderId="17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>
      <alignment shrinkToFit="1"/>
    </xf>
    <xf numFmtId="3" fontId="12" fillId="0" borderId="0" xfId="0" applyNumberFormat="1" applyFont="1" applyAlignment="1" applyProtection="1">
      <alignment horizontal="center" vertical="center"/>
      <protection hidden="1"/>
    </xf>
    <xf numFmtId="3" fontId="12" fillId="0" borderId="2" xfId="0" applyNumberFormat="1" applyFont="1" applyBorder="1" applyAlignment="1" applyProtection="1">
      <alignment horizontal="center" vertical="center"/>
      <protection hidden="1"/>
    </xf>
    <xf numFmtId="0" fontId="11" fillId="0" borderId="0" xfId="0" applyFont="1" applyAlignment="1">
      <alignment vertical="top" wrapText="1"/>
    </xf>
    <xf numFmtId="0" fontId="6" fillId="0" borderId="12" xfId="0" applyFont="1" applyBorder="1" applyAlignment="1">
      <alignment horizontal="center"/>
    </xf>
    <xf numFmtId="0" fontId="0" fillId="0" borderId="9" xfId="0" applyBorder="1"/>
    <xf numFmtId="3" fontId="6" fillId="0" borderId="61" xfId="0" applyNumberFormat="1" applyFont="1" applyBorder="1" applyAlignment="1" applyProtection="1">
      <alignment horizontal="center"/>
      <protection hidden="1"/>
    </xf>
    <xf numFmtId="3" fontId="6" fillId="0" borderId="2" xfId="0" applyNumberFormat="1" applyFont="1" applyBorder="1" applyAlignment="1" applyProtection="1">
      <alignment horizontal="center"/>
      <protection hidden="1"/>
    </xf>
    <xf numFmtId="0" fontId="11" fillId="0" borderId="4" xfId="0" applyFont="1" applyBorder="1" applyAlignment="1">
      <alignment horizontal="center"/>
    </xf>
    <xf numFmtId="0" fontId="11" fillId="0" borderId="4" xfId="0" applyFont="1" applyBorder="1"/>
    <xf numFmtId="0" fontId="11" fillId="0" borderId="4" xfId="0" applyFont="1" applyBorder="1" applyAlignment="1">
      <alignment horizontal="right"/>
    </xf>
    <xf numFmtId="3" fontId="11" fillId="0" borderId="4" xfId="0" applyNumberFormat="1" applyFont="1" applyBorder="1" applyAlignment="1">
      <alignment horizontal="center"/>
    </xf>
    <xf numFmtId="3" fontId="11" fillId="0" borderId="4" xfId="0" applyNumberFormat="1" applyFont="1" applyBorder="1" applyAlignment="1" applyProtection="1">
      <alignment horizontal="center"/>
      <protection hidden="1"/>
    </xf>
    <xf numFmtId="3" fontId="6" fillId="0" borderId="62" xfId="0" applyNumberFormat="1" applyFont="1" applyBorder="1" applyAlignment="1" applyProtection="1">
      <alignment horizontal="center"/>
      <protection hidden="1"/>
    </xf>
    <xf numFmtId="3" fontId="6" fillId="0" borderId="63" xfId="0" applyNumberFormat="1" applyFont="1" applyBorder="1" applyAlignment="1" applyProtection="1">
      <alignment horizontal="center"/>
      <protection hidden="1"/>
    </xf>
    <xf numFmtId="0" fontId="5" fillId="0" borderId="27" xfId="0" applyFont="1" applyBorder="1" applyAlignment="1">
      <alignment horizontal="left"/>
    </xf>
    <xf numFmtId="0" fontId="0" fillId="0" borderId="27" xfId="0" applyBorder="1" applyAlignment="1">
      <alignment horizontal="center"/>
    </xf>
    <xf numFmtId="0" fontId="12" fillId="0" borderId="13" xfId="0" applyFont="1" applyBorder="1" applyAlignment="1">
      <alignment horizontal="center"/>
    </xf>
    <xf numFmtId="3" fontId="6" fillId="0" borderId="30" xfId="0" applyNumberFormat="1" applyFont="1" applyBorder="1" applyAlignment="1" applyProtection="1">
      <alignment horizontal="center"/>
      <protection hidden="1"/>
    </xf>
    <xf numFmtId="3" fontId="6" fillId="0" borderId="5" xfId="0" applyNumberFormat="1" applyFont="1" applyBorder="1" applyAlignment="1" applyProtection="1">
      <alignment horizontal="center"/>
      <protection hidden="1"/>
    </xf>
    <xf numFmtId="3" fontId="12" fillId="7" borderId="0" xfId="0" applyNumberFormat="1" applyFont="1" applyFill="1" applyAlignment="1" applyProtection="1">
      <alignment horizontal="center" vertical="center"/>
      <protection locked="0"/>
    </xf>
    <xf numFmtId="3" fontId="12" fillId="0" borderId="35" xfId="0" applyNumberFormat="1" applyFont="1" applyBorder="1" applyAlignment="1">
      <alignment horizontal="center" vertical="center"/>
    </xf>
    <xf numFmtId="3" fontId="4" fillId="5" borderId="48" xfId="0" applyNumberFormat="1" applyFont="1" applyFill="1" applyBorder="1" applyAlignment="1">
      <alignment horizontal="center" vertical="center"/>
    </xf>
    <xf numFmtId="3" fontId="4" fillId="5" borderId="29" xfId="0" applyNumberFormat="1" applyFont="1" applyFill="1" applyBorder="1" applyAlignment="1">
      <alignment horizontal="center" vertical="center"/>
    </xf>
    <xf numFmtId="3" fontId="4" fillId="0" borderId="121" xfId="0" applyNumberFormat="1" applyFont="1" applyBorder="1" applyAlignment="1" applyProtection="1">
      <alignment horizontal="center" vertical="center"/>
      <protection hidden="1"/>
    </xf>
    <xf numFmtId="0" fontId="4" fillId="0" borderId="121" xfId="0" applyFont="1" applyBorder="1" applyAlignment="1" applyProtection="1">
      <alignment vertical="center"/>
      <protection hidden="1"/>
    </xf>
    <xf numFmtId="164" fontId="50" fillId="0" borderId="8" xfId="0" applyNumberFormat="1" applyFont="1" applyBorder="1" applyAlignment="1" applyProtection="1">
      <alignment horizontal="center" vertical="center"/>
      <protection hidden="1"/>
    </xf>
    <xf numFmtId="164" fontId="60" fillId="0" borderId="8" xfId="0" applyNumberFormat="1" applyFont="1" applyBorder="1" applyAlignment="1" applyProtection="1">
      <alignment horizontal="center" vertical="center"/>
      <protection hidden="1"/>
    </xf>
    <xf numFmtId="164" fontId="58" fillId="7" borderId="17" xfId="2" applyNumberFormat="1" applyFont="1" applyFill="1" applyBorder="1" applyAlignment="1" applyProtection="1">
      <alignment horizontal="center" vertical="center"/>
      <protection locked="0"/>
    </xf>
    <xf numFmtId="164" fontId="58" fillId="7" borderId="20" xfId="2" applyNumberFormat="1" applyFont="1" applyFill="1" applyBorder="1" applyAlignment="1" applyProtection="1">
      <alignment horizontal="center" vertical="center"/>
      <protection locked="0"/>
    </xf>
    <xf numFmtId="164" fontId="58" fillId="7" borderId="35" xfId="2" applyNumberFormat="1" applyFont="1" applyFill="1" applyBorder="1" applyAlignment="1" applyProtection="1">
      <alignment horizontal="center" vertical="center"/>
      <protection locked="0"/>
    </xf>
    <xf numFmtId="164" fontId="58" fillId="7" borderId="17" xfId="0" applyNumberFormat="1" applyFont="1" applyFill="1" applyBorder="1" applyAlignment="1" applyProtection="1">
      <alignment horizontal="center" vertical="center"/>
      <protection locked="0"/>
    </xf>
    <xf numFmtId="164" fontId="58" fillId="7" borderId="35" xfId="0" applyNumberFormat="1" applyFont="1" applyFill="1" applyBorder="1" applyAlignment="1" applyProtection="1">
      <alignment horizontal="center" vertical="center"/>
      <protection locked="0"/>
    </xf>
    <xf numFmtId="166" fontId="58" fillId="0" borderId="17" xfId="0" applyNumberFormat="1" applyFont="1" applyBorder="1" applyAlignment="1" applyProtection="1">
      <alignment horizontal="center" vertical="center"/>
      <protection hidden="1"/>
    </xf>
    <xf numFmtId="167" fontId="58" fillId="7" borderId="17" xfId="0" applyNumberFormat="1" applyFont="1" applyFill="1" applyBorder="1" applyAlignment="1" applyProtection="1">
      <alignment horizontal="center" vertical="center"/>
      <protection locked="0"/>
    </xf>
    <xf numFmtId="167" fontId="58" fillId="7" borderId="35" xfId="0" applyNumberFormat="1" applyFont="1" applyFill="1" applyBorder="1" applyAlignment="1" applyProtection="1">
      <alignment horizontal="center" vertical="center"/>
      <protection locked="0"/>
    </xf>
    <xf numFmtId="164" fontId="58" fillId="0" borderId="19" xfId="2" applyNumberFormat="1" applyFont="1" applyBorder="1" applyAlignment="1" applyProtection="1">
      <alignment horizontal="center" vertical="center"/>
      <protection hidden="1"/>
    </xf>
    <xf numFmtId="164" fontId="58" fillId="7" borderId="19" xfId="2" applyNumberFormat="1" applyFont="1" applyFill="1" applyBorder="1" applyAlignment="1" applyProtection="1">
      <alignment horizontal="center" vertical="center"/>
      <protection locked="0"/>
    </xf>
    <xf numFmtId="164" fontId="58" fillId="7" borderId="22" xfId="2" applyNumberFormat="1" applyFont="1" applyFill="1" applyBorder="1" applyAlignment="1" applyProtection="1">
      <alignment horizontal="center" vertical="center"/>
      <protection locked="0"/>
    </xf>
    <xf numFmtId="164" fontId="58" fillId="0" borderId="17" xfId="2" applyNumberFormat="1" applyFont="1" applyBorder="1" applyAlignment="1" applyProtection="1">
      <alignment horizontal="center"/>
      <protection hidden="1"/>
    </xf>
    <xf numFmtId="164" fontId="58" fillId="0" borderId="35" xfId="2" applyNumberFormat="1" applyFont="1" applyBorder="1" applyAlignment="1" applyProtection="1">
      <alignment horizontal="center"/>
      <protection hidden="1"/>
    </xf>
    <xf numFmtId="0" fontId="43" fillId="0" borderId="35" xfId="0" applyFont="1" applyBorder="1" applyAlignment="1" applyProtection="1">
      <alignment horizontal="center" vertical="center"/>
      <protection hidden="1"/>
    </xf>
    <xf numFmtId="0" fontId="50" fillId="0" borderId="0" xfId="0" applyFont="1" applyAlignment="1" applyProtection="1">
      <alignment horizontal="right"/>
      <protection hidden="1"/>
    </xf>
    <xf numFmtId="4" fontId="58" fillId="0" borderId="133" xfId="0" applyNumberFormat="1" applyFont="1" applyBorder="1" applyAlignment="1" applyProtection="1">
      <alignment horizontal="center"/>
      <protection hidden="1"/>
    </xf>
    <xf numFmtId="4" fontId="58" fillId="6" borderId="133" xfId="0" applyNumberFormat="1" applyFont="1" applyFill="1" applyBorder="1" applyAlignment="1" applyProtection="1">
      <alignment horizontal="center"/>
      <protection hidden="1"/>
    </xf>
    <xf numFmtId="0" fontId="58" fillId="0" borderId="0" xfId="0" applyFont="1" applyAlignment="1" applyProtection="1">
      <alignment horizontal="right"/>
      <protection hidden="1"/>
    </xf>
    <xf numFmtId="164" fontId="4" fillId="0" borderId="133" xfId="2" applyNumberFormat="1" applyFont="1" applyBorder="1" applyAlignment="1" applyProtection="1">
      <alignment horizontal="center"/>
      <protection hidden="1"/>
    </xf>
    <xf numFmtId="2" fontId="4" fillId="0" borderId="137" xfId="0" applyNumberFormat="1" applyFont="1" applyBorder="1" applyAlignment="1" applyProtection="1">
      <alignment horizontal="center" vertical="center"/>
      <protection hidden="1"/>
    </xf>
    <xf numFmtId="0" fontId="4" fillId="0" borderId="66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11" fillId="0" borderId="0" xfId="0" applyFont="1" applyAlignment="1" applyProtection="1">
      <alignment vertical="center"/>
      <protection hidden="1"/>
    </xf>
    <xf numFmtId="0" fontId="11" fillId="0" borderId="65" xfId="0" applyFont="1" applyBorder="1" applyAlignment="1">
      <alignment horizontal="right" vertical="center" indent="1"/>
    </xf>
    <xf numFmtId="0" fontId="12" fillId="0" borderId="132" xfId="0" applyFont="1" applyBorder="1" applyAlignment="1" applyProtection="1">
      <alignment horizontal="center"/>
      <protection hidden="1"/>
    </xf>
    <xf numFmtId="0" fontId="12" fillId="0" borderId="138" xfId="0" applyFont="1" applyBorder="1" applyAlignment="1" applyProtection="1">
      <alignment horizontal="center"/>
      <protection hidden="1"/>
    </xf>
    <xf numFmtId="0" fontId="22" fillId="0" borderId="0" xfId="0" applyFont="1" applyAlignment="1">
      <alignment horizontal="left" vertical="center"/>
    </xf>
    <xf numFmtId="3" fontId="4" fillId="0" borderId="120" xfId="0" applyNumberFormat="1" applyFont="1" applyBorder="1" applyAlignment="1" applyProtection="1">
      <alignment horizontal="center" vertical="center" wrapText="1"/>
      <protection hidden="1"/>
    </xf>
    <xf numFmtId="167" fontId="68" fillId="0" borderId="47" xfId="0" applyNumberFormat="1" applyFont="1" applyBorder="1" applyAlignment="1" applyProtection="1">
      <alignment horizontal="center" vertical="center"/>
      <protection hidden="1"/>
    </xf>
    <xf numFmtId="167" fontId="68" fillId="0" borderId="5" xfId="0" applyNumberFormat="1" applyFont="1" applyBorder="1" applyAlignment="1" applyProtection="1">
      <alignment horizontal="center" vertical="center"/>
      <protection hidden="1"/>
    </xf>
    <xf numFmtId="165" fontId="7" fillId="7" borderId="38" xfId="0" applyNumberFormat="1" applyFont="1" applyFill="1" applyBorder="1" applyAlignment="1" applyProtection="1">
      <alignment horizontal="center" vertical="center"/>
      <protection locked="0"/>
    </xf>
    <xf numFmtId="0" fontId="7" fillId="0" borderId="10" xfId="0" applyFont="1" applyBorder="1" applyAlignment="1">
      <alignment vertical="center"/>
    </xf>
    <xf numFmtId="0" fontId="11" fillId="0" borderId="64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14" xfId="0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49" fontId="11" fillId="0" borderId="4" xfId="0" applyNumberFormat="1" applyFont="1" applyBorder="1" applyAlignment="1">
      <alignment horizontal="left" vertical="center"/>
    </xf>
    <xf numFmtId="49" fontId="11" fillId="0" borderId="4" xfId="0" applyNumberFormat="1" applyFont="1" applyBorder="1" applyAlignment="1" applyProtection="1">
      <alignment horizontal="left" vertical="center"/>
      <protection hidden="1"/>
    </xf>
    <xf numFmtId="0" fontId="6" fillId="0" borderId="16" xfId="0" applyFont="1" applyBorder="1" applyAlignment="1">
      <alignment vertical="center"/>
    </xf>
    <xf numFmtId="0" fontId="12" fillId="0" borderId="25" xfId="0" applyFont="1" applyBorder="1" applyAlignment="1">
      <alignment horizontal="right" vertical="center"/>
    </xf>
    <xf numFmtId="0" fontId="7" fillId="0" borderId="25" xfId="0" applyFont="1" applyBorder="1" applyAlignment="1">
      <alignment horizontal="right" vertical="center"/>
    </xf>
    <xf numFmtId="0" fontId="7" fillId="0" borderId="63" xfId="0" applyFont="1" applyBorder="1" applyAlignment="1">
      <alignment vertical="center"/>
    </xf>
    <xf numFmtId="4" fontId="4" fillId="6" borderId="133" xfId="0" applyNumberFormat="1" applyFont="1" applyFill="1" applyBorder="1" applyAlignment="1" applyProtection="1">
      <alignment horizontal="center"/>
      <protection hidden="1"/>
    </xf>
    <xf numFmtId="0" fontId="74" fillId="0" borderId="0" xfId="0" applyFont="1" applyAlignment="1" applyProtection="1">
      <alignment horizontal="right"/>
      <protection hidden="1"/>
    </xf>
    <xf numFmtId="2" fontId="74" fillId="0" borderId="133" xfId="0" applyNumberFormat="1" applyFont="1" applyBorder="1" applyAlignment="1" applyProtection="1">
      <alignment horizontal="center" vertical="center"/>
      <protection hidden="1"/>
    </xf>
    <xf numFmtId="0" fontId="22" fillId="0" borderId="0" xfId="0" applyFont="1"/>
    <xf numFmtId="3" fontId="12" fillId="7" borderId="20" xfId="0" applyNumberFormat="1" applyFont="1" applyFill="1" applyBorder="1" applyAlignment="1" applyProtection="1">
      <alignment horizontal="center" vertical="center"/>
      <protection locked="0" hidden="1"/>
    </xf>
    <xf numFmtId="3" fontId="12" fillId="7" borderId="56" xfId="0" applyNumberFormat="1" applyFont="1" applyFill="1" applyBorder="1" applyAlignment="1" applyProtection="1">
      <alignment horizontal="center" vertical="center"/>
      <protection locked="0"/>
    </xf>
    <xf numFmtId="0" fontId="75" fillId="0" borderId="0" xfId="0" applyFont="1" applyProtection="1">
      <protection hidden="1"/>
    </xf>
    <xf numFmtId="167" fontId="75" fillId="0" borderId="0" xfId="0" applyNumberFormat="1" applyFont="1" applyAlignment="1">
      <alignment horizontal="left"/>
    </xf>
    <xf numFmtId="0" fontId="4" fillId="0" borderId="133" xfId="0" applyFont="1" applyBorder="1" applyAlignment="1" applyProtection="1">
      <alignment horizontal="center" vertical="center"/>
      <protection hidden="1"/>
    </xf>
    <xf numFmtId="0" fontId="6" fillId="0" borderId="25" xfId="0" applyFont="1" applyBorder="1" applyAlignment="1">
      <alignment horizontal="right" vertical="center"/>
    </xf>
    <xf numFmtId="0" fontId="6" fillId="0" borderId="55" xfId="0" applyFont="1" applyBorder="1" applyAlignment="1">
      <alignment horizontal="right" vertical="center"/>
    </xf>
    <xf numFmtId="167" fontId="7" fillId="3" borderId="10" xfId="0" applyNumberFormat="1" applyFont="1" applyFill="1" applyBorder="1" applyAlignment="1" applyProtection="1">
      <alignment vertical="center"/>
      <protection hidden="1"/>
    </xf>
    <xf numFmtId="164" fontId="7" fillId="7" borderId="38" xfId="0" applyNumberFormat="1" applyFont="1" applyFill="1" applyBorder="1" applyAlignment="1" applyProtection="1">
      <alignment horizontal="center" vertical="center"/>
      <protection locked="0"/>
    </xf>
    <xf numFmtId="0" fontId="77" fillId="0" borderId="23" xfId="0" applyFont="1" applyBorder="1" applyAlignment="1" applyProtection="1">
      <alignment vertical="center"/>
      <protection locked="0"/>
    </xf>
    <xf numFmtId="165" fontId="12" fillId="0" borderId="53" xfId="0" applyNumberFormat="1" applyFont="1" applyBorder="1" applyAlignment="1" applyProtection="1">
      <alignment horizontal="center" vertical="center"/>
      <protection hidden="1"/>
    </xf>
    <xf numFmtId="0" fontId="6" fillId="0" borderId="64" xfId="0" applyFont="1" applyBorder="1" applyAlignment="1">
      <alignment vertical="center"/>
    </xf>
    <xf numFmtId="3" fontId="6" fillId="0" borderId="50" xfId="0" applyNumberFormat="1" applyFont="1" applyBorder="1" applyAlignment="1" applyProtection="1">
      <alignment horizontal="center" vertical="center"/>
      <protection hidden="1"/>
    </xf>
    <xf numFmtId="165" fontId="0" fillId="0" borderId="44" xfId="0" applyNumberFormat="1" applyBorder="1" applyAlignment="1">
      <alignment horizontal="center" vertical="center"/>
    </xf>
    <xf numFmtId="165" fontId="3" fillId="0" borderId="10" xfId="0" applyNumberFormat="1" applyFont="1" applyBorder="1" applyAlignment="1">
      <alignment horizontal="center" vertical="center"/>
    </xf>
    <xf numFmtId="3" fontId="3" fillId="0" borderId="7" xfId="0" applyNumberFormat="1" applyFont="1" applyBorder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6" fillId="0" borderId="0" xfId="0" applyNumberFormat="1" applyFont="1" applyAlignment="1" applyProtection="1">
      <alignment horizontal="center" vertical="center"/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170" fontId="0" fillId="0" borderId="44" xfId="0" applyNumberFormat="1" applyBorder="1" applyAlignment="1">
      <alignment horizontal="center" vertical="center"/>
    </xf>
    <xf numFmtId="170" fontId="3" fillId="0" borderId="10" xfId="0" applyNumberFormat="1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Protection="1">
      <protection hidden="1"/>
    </xf>
    <xf numFmtId="0" fontId="12" fillId="0" borderId="10" xfId="0" applyFont="1" applyBorder="1" applyProtection="1">
      <protection hidden="1"/>
    </xf>
    <xf numFmtId="0" fontId="11" fillId="0" borderId="152" xfId="0" applyFont="1" applyBorder="1" applyProtection="1">
      <protection hidden="1"/>
    </xf>
    <xf numFmtId="1" fontId="12" fillId="0" borderId="17" xfId="0" applyNumberFormat="1" applyFont="1" applyBorder="1" applyAlignment="1" applyProtection="1">
      <alignment horizontal="center" vertical="center"/>
      <protection hidden="1"/>
    </xf>
    <xf numFmtId="166" fontId="12" fillId="0" borderId="17" xfId="2" applyNumberFormat="1" applyFont="1" applyBorder="1" applyAlignment="1" applyProtection="1">
      <alignment horizontal="center" vertical="center"/>
      <protection hidden="1"/>
    </xf>
    <xf numFmtId="3" fontId="7" fillId="0" borderId="44" xfId="0" applyNumberFormat="1" applyFont="1" applyBorder="1" applyAlignment="1" applyProtection="1">
      <alignment horizontal="center" vertical="center"/>
      <protection hidden="1"/>
    </xf>
    <xf numFmtId="3" fontId="3" fillId="5" borderId="17" xfId="0" applyNumberFormat="1" applyFont="1" applyFill="1" applyBorder="1" applyAlignment="1" applyProtection="1">
      <alignment horizontal="center" vertical="center"/>
      <protection hidden="1"/>
    </xf>
    <xf numFmtId="0" fontId="4" fillId="5" borderId="34" xfId="0" applyFont="1" applyFill="1" applyBorder="1" applyAlignment="1" applyProtection="1">
      <alignment horizontal="center" vertical="center"/>
      <protection hidden="1"/>
    </xf>
    <xf numFmtId="164" fontId="4" fillId="8" borderId="63" xfId="0" applyNumberFormat="1" applyFont="1" applyFill="1" applyBorder="1" applyAlignment="1" applyProtection="1">
      <alignment horizontal="center" vertical="center"/>
      <protection hidden="1"/>
    </xf>
    <xf numFmtId="164" fontId="4" fillId="7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122" xfId="0" applyFont="1" applyBorder="1" applyAlignment="1" applyProtection="1">
      <alignment horizontal="center" vertical="center"/>
      <protection hidden="1"/>
    </xf>
    <xf numFmtId="166" fontId="12" fillId="0" borderId="35" xfId="2" applyNumberFormat="1" applyFont="1" applyBorder="1" applyAlignment="1" applyProtection="1">
      <alignment horizontal="center" vertical="center"/>
      <protection hidden="1"/>
    </xf>
    <xf numFmtId="0" fontId="12" fillId="0" borderId="17" xfId="0" applyFont="1" applyBorder="1" applyAlignment="1" applyProtection="1">
      <alignment horizontal="center"/>
      <protection hidden="1"/>
    </xf>
    <xf numFmtId="0" fontId="12" fillId="0" borderId="10" xfId="0" applyFont="1" applyBorder="1" applyAlignment="1" applyProtection="1">
      <alignment horizontal="center"/>
      <protection hidden="1"/>
    </xf>
    <xf numFmtId="0" fontId="12" fillId="0" borderId="44" xfId="0" applyFont="1" applyBorder="1" applyAlignment="1" applyProtection="1">
      <alignment horizontal="center"/>
      <protection hidden="1"/>
    </xf>
    <xf numFmtId="0" fontId="11" fillId="0" borderId="10" xfId="0" applyFont="1" applyBorder="1" applyProtection="1">
      <protection hidden="1"/>
    </xf>
    <xf numFmtId="0" fontId="11" fillId="0" borderId="44" xfId="0" applyFont="1" applyBorder="1" applyProtection="1">
      <protection hidden="1"/>
    </xf>
    <xf numFmtId="0" fontId="0" fillId="0" borderId="10" xfId="0" applyBorder="1"/>
    <xf numFmtId="0" fontId="12" fillId="0" borderId="154" xfId="0" applyFont="1" applyBorder="1" applyProtection="1">
      <protection hidden="1"/>
    </xf>
    <xf numFmtId="0" fontId="7" fillId="0" borderId="19" xfId="0" applyFont="1" applyBorder="1" applyAlignment="1" applyProtection="1">
      <alignment vertical="center"/>
      <protection hidden="1"/>
    </xf>
    <xf numFmtId="0" fontId="7" fillId="0" borderId="18" xfId="0" applyFont="1" applyBorder="1" applyAlignment="1" applyProtection="1">
      <alignment vertical="center"/>
      <protection hidden="1"/>
    </xf>
    <xf numFmtId="0" fontId="7" fillId="0" borderId="21" xfId="0" applyFont="1" applyBorder="1" applyAlignment="1" applyProtection="1">
      <alignment horizontal="center" vertical="center"/>
      <protection hidden="1"/>
    </xf>
    <xf numFmtId="0" fontId="7" fillId="0" borderId="19" xfId="0" applyFont="1" applyBorder="1" applyAlignment="1" applyProtection="1">
      <alignment horizontal="center" vertical="center"/>
      <protection hidden="1"/>
    </xf>
    <xf numFmtId="0" fontId="7" fillId="0" borderId="19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8" xfId="0" applyFont="1" applyBorder="1" applyAlignment="1" applyProtection="1">
      <alignment horizontal="center" vertical="center"/>
      <protection hidden="1"/>
    </xf>
    <xf numFmtId="0" fontId="7" fillId="0" borderId="18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32" xfId="0" applyFont="1" applyBorder="1" applyAlignment="1" applyProtection="1">
      <alignment vertical="center"/>
      <protection hidden="1"/>
    </xf>
    <xf numFmtId="0" fontId="7" fillId="0" borderId="23" xfId="0" applyFont="1" applyBorder="1" applyAlignment="1" applyProtection="1">
      <alignment vertical="center"/>
      <protection hidden="1"/>
    </xf>
    <xf numFmtId="0" fontId="7" fillId="0" borderId="53" xfId="0" applyFont="1" applyBorder="1" applyAlignment="1" applyProtection="1">
      <alignment horizontal="center" vertical="center"/>
      <protection hidden="1"/>
    </xf>
    <xf numFmtId="0" fontId="7" fillId="0" borderId="32" xfId="0" applyFont="1" applyBorder="1" applyAlignment="1" applyProtection="1">
      <alignment horizontal="center" vertical="center"/>
      <protection hidden="1"/>
    </xf>
    <xf numFmtId="0" fontId="7" fillId="0" borderId="32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59" xfId="0" applyFont="1" applyBorder="1" applyAlignment="1" applyProtection="1">
      <alignment horizontal="center" vertical="center"/>
      <protection hidden="1"/>
    </xf>
    <xf numFmtId="0" fontId="7" fillId="0" borderId="53" xfId="0" applyFont="1" applyBorder="1" applyAlignment="1">
      <alignment horizontal="center" vertical="center"/>
    </xf>
    <xf numFmtId="0" fontId="7" fillId="0" borderId="17" xfId="0" applyFont="1" applyBorder="1" applyAlignment="1" applyProtection="1">
      <alignment horizontal="center" vertical="center"/>
      <protection hidden="1"/>
    </xf>
    <xf numFmtId="0" fontId="7" fillId="0" borderId="20" xfId="0" applyFont="1" applyBorder="1" applyAlignment="1" applyProtection="1">
      <alignment horizontal="center" vertical="center"/>
      <protection hidden="1"/>
    </xf>
    <xf numFmtId="10" fontId="4" fillId="5" borderId="17" xfId="2" applyNumberFormat="1" applyFont="1" applyFill="1" applyBorder="1" applyAlignment="1" applyProtection="1">
      <alignment horizontal="center" vertical="center"/>
      <protection hidden="1"/>
    </xf>
    <xf numFmtId="10" fontId="4" fillId="5" borderId="19" xfId="2" applyNumberFormat="1" applyFont="1" applyFill="1" applyBorder="1" applyAlignment="1" applyProtection="1">
      <alignment horizontal="center" vertical="center"/>
      <protection hidden="1"/>
    </xf>
    <xf numFmtId="10" fontId="4" fillId="7" borderId="19" xfId="0" applyNumberFormat="1" applyFont="1" applyFill="1" applyBorder="1" applyAlignment="1">
      <alignment horizontal="center" vertical="center"/>
    </xf>
    <xf numFmtId="10" fontId="4" fillId="5" borderId="19" xfId="0" applyNumberFormat="1" applyFont="1" applyFill="1" applyBorder="1" applyAlignment="1">
      <alignment horizontal="center" vertical="center"/>
    </xf>
    <xf numFmtId="10" fontId="7" fillId="5" borderId="35" xfId="0" applyNumberFormat="1" applyFont="1" applyFill="1" applyBorder="1" applyAlignment="1">
      <alignment horizontal="center" vertical="center"/>
    </xf>
    <xf numFmtId="10" fontId="4" fillId="5" borderId="17" xfId="0" applyNumberFormat="1" applyFont="1" applyFill="1" applyBorder="1" applyAlignment="1">
      <alignment horizontal="center" vertical="center"/>
    </xf>
    <xf numFmtId="10" fontId="4" fillId="7" borderId="17" xfId="0" applyNumberFormat="1" applyFont="1" applyFill="1" applyBorder="1" applyAlignment="1">
      <alignment horizontal="center" vertical="center"/>
    </xf>
    <xf numFmtId="10" fontId="7" fillId="5" borderId="20" xfId="0" applyNumberFormat="1" applyFont="1" applyFill="1" applyBorder="1" applyAlignment="1">
      <alignment horizontal="center" vertical="center"/>
    </xf>
    <xf numFmtId="10" fontId="0" fillId="5" borderId="38" xfId="0" applyNumberFormat="1" applyFill="1" applyBorder="1"/>
    <xf numFmtId="10" fontId="7" fillId="5" borderId="17" xfId="0" applyNumberFormat="1" applyFont="1" applyFill="1" applyBorder="1" applyAlignment="1">
      <alignment horizontal="center" vertical="center"/>
    </xf>
    <xf numFmtId="10" fontId="0" fillId="5" borderId="35" xfId="0" applyNumberFormat="1" applyFill="1" applyBorder="1"/>
    <xf numFmtId="3" fontId="7" fillId="0" borderId="17" xfId="0" applyNumberFormat="1" applyFont="1" applyBorder="1" applyAlignment="1" applyProtection="1">
      <alignment horizontal="center" vertical="center"/>
      <protection hidden="1"/>
    </xf>
    <xf numFmtId="164" fontId="7" fillId="0" borderId="17" xfId="2" applyNumberFormat="1" applyFont="1" applyFill="1" applyBorder="1" applyAlignment="1" applyProtection="1">
      <alignment horizontal="center" vertical="center"/>
      <protection hidden="1"/>
    </xf>
    <xf numFmtId="3" fontId="7" fillId="5" borderId="19" xfId="2" applyNumberFormat="1" applyFont="1" applyFill="1" applyBorder="1" applyAlignment="1">
      <alignment horizontal="center" vertical="center"/>
    </xf>
    <xf numFmtId="3" fontId="78" fillId="0" borderId="35" xfId="2" applyNumberFormat="1" applyFont="1" applyBorder="1" applyAlignment="1" applyProtection="1">
      <alignment horizontal="center" vertical="center"/>
      <protection locked="0"/>
    </xf>
    <xf numFmtId="3" fontId="7" fillId="5" borderId="17" xfId="0" applyNumberFormat="1" applyFont="1" applyFill="1" applyBorder="1" applyAlignment="1">
      <alignment horizontal="center" vertical="center"/>
    </xf>
    <xf numFmtId="3" fontId="7" fillId="0" borderId="17" xfId="0" applyNumberFormat="1" applyFont="1" applyBorder="1" applyAlignment="1">
      <alignment horizontal="center" vertical="center"/>
    </xf>
    <xf numFmtId="3" fontId="7" fillId="0" borderId="35" xfId="0" applyNumberFormat="1" applyFont="1" applyBorder="1" applyAlignment="1">
      <alignment horizontal="center" vertical="center"/>
    </xf>
    <xf numFmtId="3" fontId="7" fillId="5" borderId="17" xfId="2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3" fontId="53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>
      <alignment horizontal="left" vertical="center"/>
    </xf>
    <xf numFmtId="0" fontId="7" fillId="0" borderId="156" xfId="0" applyFont="1" applyBorder="1" applyAlignment="1" applyProtection="1">
      <alignment horizontal="center" vertical="center"/>
      <protection hidden="1"/>
    </xf>
    <xf numFmtId="167" fontId="7" fillId="0" borderId="156" xfId="0" applyNumberFormat="1" applyFont="1" applyBorder="1" applyAlignment="1" applyProtection="1">
      <alignment horizontal="center" vertical="center"/>
      <protection hidden="1"/>
    </xf>
    <xf numFmtId="0" fontId="7" fillId="0" borderId="67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49" fontId="11" fillId="0" borderId="24" xfId="0" applyNumberFormat="1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left" vertical="top" wrapText="1"/>
      <protection hidden="1"/>
    </xf>
    <xf numFmtId="0" fontId="12" fillId="13" borderId="34" xfId="0" applyFont="1" applyFill="1" applyBorder="1" applyAlignment="1">
      <alignment horizontal="center" vertical="center"/>
    </xf>
    <xf numFmtId="0" fontId="12" fillId="13" borderId="26" xfId="0" applyFont="1" applyFill="1" applyBorder="1" applyAlignment="1">
      <alignment horizontal="center" vertical="center"/>
    </xf>
    <xf numFmtId="49" fontId="82" fillId="13" borderId="13" xfId="0" applyNumberFormat="1" applyFont="1" applyFill="1" applyBorder="1" applyAlignment="1">
      <alignment horizontal="center"/>
    </xf>
    <xf numFmtId="0" fontId="82" fillId="13" borderId="26" xfId="0" applyFont="1" applyFill="1" applyBorder="1" applyAlignment="1">
      <alignment horizontal="center"/>
    </xf>
    <xf numFmtId="0" fontId="79" fillId="13" borderId="2" xfId="0" applyFont="1" applyFill="1" applyBorder="1"/>
    <xf numFmtId="0" fontId="79" fillId="13" borderId="9" xfId="0" applyFont="1" applyFill="1" applyBorder="1"/>
    <xf numFmtId="0" fontId="84" fillId="13" borderId="29" xfId="0" applyFont="1" applyFill="1" applyBorder="1" applyAlignment="1" applyProtection="1">
      <alignment horizontal="center" vertical="center"/>
      <protection hidden="1"/>
    </xf>
    <xf numFmtId="0" fontId="84" fillId="13" borderId="55" xfId="0" applyFont="1" applyFill="1" applyBorder="1" applyAlignment="1" applyProtection="1">
      <alignment horizontal="center" vertical="center"/>
      <protection hidden="1"/>
    </xf>
    <xf numFmtId="0" fontId="84" fillId="13" borderId="30" xfId="0" applyFont="1" applyFill="1" applyBorder="1" applyAlignment="1" applyProtection="1">
      <alignment horizontal="center" vertical="center"/>
      <protection hidden="1"/>
    </xf>
    <xf numFmtId="0" fontId="79" fillId="13" borderId="0" xfId="0" applyFont="1" applyFill="1"/>
    <xf numFmtId="0" fontId="61" fillId="13" borderId="60" xfId="0" applyFont="1" applyFill="1" applyBorder="1" applyAlignment="1" applyProtection="1">
      <alignment horizontal="center" vertical="center"/>
      <protection hidden="1"/>
    </xf>
    <xf numFmtId="0" fontId="61" fillId="13" borderId="146" xfId="0" applyFont="1" applyFill="1" applyBorder="1" applyAlignment="1" applyProtection="1">
      <alignment horizontal="center" vertical="center"/>
      <protection hidden="1"/>
    </xf>
    <xf numFmtId="0" fontId="79" fillId="13" borderId="100" xfId="0" applyFont="1" applyFill="1" applyBorder="1" applyAlignment="1">
      <alignment horizontal="center"/>
    </xf>
    <xf numFmtId="0" fontId="79" fillId="13" borderId="101" xfId="0" applyFont="1" applyFill="1" applyBorder="1"/>
    <xf numFmtId="0" fontId="79" fillId="13" borderId="107" xfId="0" applyFont="1" applyFill="1" applyBorder="1"/>
    <xf numFmtId="0" fontId="84" fillId="13" borderId="108" xfId="0" applyFont="1" applyFill="1" applyBorder="1" applyAlignment="1" applyProtection="1">
      <alignment horizontal="center"/>
      <protection hidden="1"/>
    </xf>
    <xf numFmtId="0" fontId="84" fillId="13" borderId="109" xfId="0" applyFont="1" applyFill="1" applyBorder="1" applyAlignment="1" applyProtection="1">
      <alignment horizontal="center"/>
      <protection hidden="1"/>
    </xf>
    <xf numFmtId="0" fontId="84" fillId="13" borderId="110" xfId="0" applyFont="1" applyFill="1" applyBorder="1" applyAlignment="1" applyProtection="1">
      <alignment horizontal="center"/>
      <protection hidden="1"/>
    </xf>
    <xf numFmtId="0" fontId="83" fillId="13" borderId="0" xfId="0" applyFont="1" applyFill="1" applyAlignment="1">
      <alignment horizontal="left"/>
    </xf>
    <xf numFmtId="0" fontId="83" fillId="13" borderId="31" xfId="0" applyFont="1" applyFill="1" applyBorder="1" applyAlignment="1">
      <alignment horizontal="left"/>
    </xf>
    <xf numFmtId="1" fontId="61" fillId="13" borderId="60" xfId="0" applyNumberFormat="1" applyFont="1" applyFill="1" applyBorder="1" applyAlignment="1" applyProtection="1">
      <alignment horizontal="center"/>
      <protection hidden="1"/>
    </xf>
    <xf numFmtId="1" fontId="61" fillId="13" borderId="25" xfId="0" applyNumberFormat="1" applyFont="1" applyFill="1" applyBorder="1" applyAlignment="1" applyProtection="1">
      <alignment horizontal="center"/>
      <protection hidden="1"/>
    </xf>
    <xf numFmtId="1" fontId="61" fillId="13" borderId="146" xfId="0" applyNumberFormat="1" applyFont="1" applyFill="1" applyBorder="1" applyAlignment="1" applyProtection="1">
      <alignment horizontal="center"/>
      <protection hidden="1"/>
    </xf>
    <xf numFmtId="0" fontId="85" fillId="13" borderId="103" xfId="0" applyFont="1" applyFill="1" applyBorder="1" applyAlignment="1">
      <alignment horizontal="center"/>
    </xf>
    <xf numFmtId="0" fontId="85" fillId="13" borderId="104" xfId="0" applyFont="1" applyFill="1" applyBorder="1"/>
    <xf numFmtId="0" fontId="79" fillId="13" borderId="111" xfId="0" applyFont="1" applyFill="1" applyBorder="1"/>
    <xf numFmtId="168" fontId="82" fillId="13" borderId="60" xfId="0" applyNumberFormat="1" applyFont="1" applyFill="1" applyBorder="1" applyAlignment="1">
      <alignment horizontal="center" vertical="center"/>
    </xf>
    <xf numFmtId="168" fontId="82" fillId="13" borderId="25" xfId="0" applyNumberFormat="1" applyFont="1" applyFill="1" applyBorder="1" applyAlignment="1">
      <alignment horizontal="center" vertical="center"/>
    </xf>
    <xf numFmtId="168" fontId="82" fillId="13" borderId="57" xfId="0" applyNumberFormat="1" applyFont="1" applyFill="1" applyBorder="1" applyAlignment="1">
      <alignment horizontal="center" vertical="center"/>
    </xf>
    <xf numFmtId="168" fontId="82" fillId="13" borderId="147" xfId="0" applyNumberFormat="1" applyFont="1" applyFill="1" applyBorder="1" applyAlignment="1">
      <alignment horizontal="center"/>
    </xf>
    <xf numFmtId="168" fontId="82" fillId="13" borderId="148" xfId="0" applyNumberFormat="1" applyFont="1" applyFill="1" applyBorder="1" applyAlignment="1">
      <alignment horizontal="center"/>
    </xf>
    <xf numFmtId="168" fontId="82" fillId="13" borderId="149" xfId="0" applyNumberFormat="1" applyFont="1" applyFill="1" applyBorder="1" applyAlignment="1">
      <alignment horizontal="center"/>
    </xf>
    <xf numFmtId="0" fontId="86" fillId="13" borderId="64" xfId="0" applyFont="1" applyFill="1" applyBorder="1" applyAlignment="1">
      <alignment horizontal="center" vertical="center"/>
    </xf>
    <xf numFmtId="0" fontId="86" fillId="13" borderId="64" xfId="0" applyFont="1" applyFill="1" applyBorder="1" applyAlignment="1">
      <alignment horizontal="center" vertical="center" wrapText="1"/>
    </xf>
    <xf numFmtId="0" fontId="84" fillId="13" borderId="64" xfId="0" applyFont="1" applyFill="1" applyBorder="1" applyAlignment="1">
      <alignment horizontal="center" vertical="center"/>
    </xf>
    <xf numFmtId="3" fontId="86" fillId="13" borderId="64" xfId="0" applyNumberFormat="1" applyFont="1" applyFill="1" applyBorder="1" applyAlignment="1" applyProtection="1">
      <alignment horizontal="center" vertical="center"/>
      <protection locked="0"/>
    </xf>
    <xf numFmtId="1" fontId="86" fillId="13" borderId="64" xfId="0" applyNumberFormat="1" applyFont="1" applyFill="1" applyBorder="1" applyAlignment="1" applyProtection="1">
      <alignment horizontal="center" vertical="center"/>
      <protection locked="0"/>
    </xf>
    <xf numFmtId="164" fontId="86" fillId="13" borderId="64" xfId="0" applyNumberFormat="1" applyFont="1" applyFill="1" applyBorder="1" applyAlignment="1" applyProtection="1">
      <alignment horizontal="center" vertical="center"/>
      <protection locked="0"/>
    </xf>
    <xf numFmtId="3" fontId="86" fillId="13" borderId="64" xfId="0" applyNumberFormat="1" applyFont="1" applyFill="1" applyBorder="1" applyAlignment="1" applyProtection="1">
      <alignment horizontal="center" vertical="center"/>
      <protection hidden="1"/>
    </xf>
    <xf numFmtId="3" fontId="86" fillId="13" borderId="32" xfId="0" applyNumberFormat="1" applyFont="1" applyFill="1" applyBorder="1" applyAlignment="1" applyProtection="1">
      <alignment horizontal="center" vertical="center"/>
      <protection locked="0"/>
    </xf>
    <xf numFmtId="1" fontId="86" fillId="13" borderId="32" xfId="0" applyNumberFormat="1" applyFont="1" applyFill="1" applyBorder="1" applyAlignment="1" applyProtection="1">
      <alignment horizontal="center" vertical="center"/>
      <protection locked="0"/>
    </xf>
    <xf numFmtId="164" fontId="86" fillId="13" borderId="23" xfId="0" applyNumberFormat="1" applyFont="1" applyFill="1" applyBorder="1" applyAlignment="1" applyProtection="1">
      <alignment horizontal="center" vertical="center"/>
      <protection locked="0"/>
    </xf>
    <xf numFmtId="3" fontId="86" fillId="13" borderId="53" xfId="0" applyNumberFormat="1" applyFont="1" applyFill="1" applyBorder="1" applyAlignment="1" applyProtection="1">
      <alignment horizontal="center" vertical="center"/>
      <protection hidden="1"/>
    </xf>
    <xf numFmtId="3" fontId="86" fillId="13" borderId="16" xfId="0" applyNumberFormat="1" applyFont="1" applyFill="1" applyBorder="1" applyAlignment="1">
      <alignment horizontal="center" vertical="center"/>
    </xf>
    <xf numFmtId="3" fontId="86" fillId="13" borderId="23" xfId="0" applyNumberFormat="1" applyFont="1" applyFill="1" applyBorder="1" applyAlignment="1">
      <alignment horizontal="center" vertical="center"/>
    </xf>
    <xf numFmtId="3" fontId="86" fillId="13" borderId="16" xfId="0" applyNumberFormat="1" applyFont="1" applyFill="1" applyBorder="1" applyAlignment="1" applyProtection="1">
      <alignment horizontal="center" vertical="center"/>
      <protection hidden="1"/>
    </xf>
    <xf numFmtId="3" fontId="86" fillId="13" borderId="23" xfId="0" applyNumberFormat="1" applyFont="1" applyFill="1" applyBorder="1" applyAlignment="1" applyProtection="1">
      <alignment horizontal="center" vertical="center"/>
      <protection hidden="1"/>
    </xf>
    <xf numFmtId="3" fontId="86" fillId="13" borderId="53" xfId="0" applyNumberFormat="1" applyFont="1" applyFill="1" applyBorder="1" applyAlignment="1" applyProtection="1">
      <alignment horizontal="center" vertical="center"/>
      <protection locked="0"/>
    </xf>
    <xf numFmtId="3" fontId="86" fillId="13" borderId="16" xfId="0" applyNumberFormat="1" applyFont="1" applyFill="1" applyBorder="1" applyAlignment="1" applyProtection="1">
      <alignment horizontal="center" vertical="center"/>
      <protection locked="0"/>
    </xf>
    <xf numFmtId="3" fontId="86" fillId="13" borderId="33" xfId="0" applyNumberFormat="1" applyFont="1" applyFill="1" applyBorder="1" applyAlignment="1" applyProtection="1">
      <alignment horizontal="center" vertical="center"/>
      <protection hidden="1"/>
    </xf>
    <xf numFmtId="3" fontId="84" fillId="13" borderId="4" xfId="0" applyNumberFormat="1" applyFont="1" applyFill="1" applyBorder="1" applyAlignment="1" applyProtection="1">
      <alignment vertical="center"/>
      <protection hidden="1"/>
    </xf>
    <xf numFmtId="0" fontId="84" fillId="13" borderId="4" xfId="0" applyFont="1" applyFill="1" applyBorder="1" applyAlignment="1" applyProtection="1">
      <alignment vertical="center"/>
      <protection hidden="1"/>
    </xf>
    <xf numFmtId="0" fontId="84" fillId="13" borderId="4" xfId="0" applyFont="1" applyFill="1" applyBorder="1" applyAlignment="1" applyProtection="1">
      <alignment horizontal="center" vertical="center"/>
      <protection hidden="1"/>
    </xf>
    <xf numFmtId="0" fontId="84" fillId="13" borderId="39" xfId="0" applyFont="1" applyFill="1" applyBorder="1" applyAlignment="1">
      <alignment horizontal="center" vertical="center"/>
    </xf>
    <xf numFmtId="0" fontId="84" fillId="13" borderId="14" xfId="0" applyFont="1" applyFill="1" applyBorder="1" applyAlignment="1">
      <alignment horizontal="center" vertical="center"/>
    </xf>
    <xf numFmtId="0" fontId="84" fillId="13" borderId="37" xfId="0" applyFont="1" applyFill="1" applyBorder="1" applyAlignment="1">
      <alignment horizontal="center" vertical="center"/>
    </xf>
    <xf numFmtId="0" fontId="82" fillId="13" borderId="41" xfId="0" applyFont="1" applyFill="1" applyBorder="1" applyAlignment="1" applyProtection="1">
      <alignment horizontal="center"/>
      <protection hidden="1"/>
    </xf>
    <xf numFmtId="0" fontId="82" fillId="13" borderId="33" xfId="0" applyFont="1" applyFill="1" applyBorder="1" applyAlignment="1" applyProtection="1">
      <alignment horizontal="center"/>
      <protection hidden="1"/>
    </xf>
    <xf numFmtId="0" fontId="80" fillId="13" borderId="42" xfId="0" applyFont="1" applyFill="1" applyBorder="1" applyAlignment="1">
      <alignment horizontal="center" vertical="center" wrapText="1"/>
    </xf>
    <xf numFmtId="0" fontId="6" fillId="4" borderId="63" xfId="0" applyFont="1" applyFill="1" applyBorder="1" applyAlignment="1" applyProtection="1">
      <alignment horizontal="right" vertical="center"/>
      <protection hidden="1"/>
    </xf>
    <xf numFmtId="0" fontId="6" fillId="4" borderId="4" xfId="0" applyFont="1" applyFill="1" applyBorder="1" applyAlignment="1" applyProtection="1">
      <alignment vertical="center"/>
      <protection hidden="1"/>
    </xf>
    <xf numFmtId="3" fontId="6" fillId="4" borderId="3" xfId="0" applyNumberFormat="1" applyFont="1" applyFill="1" applyBorder="1" applyAlignment="1" applyProtection="1">
      <alignment horizontal="center" vertical="center"/>
      <protection hidden="1"/>
    </xf>
    <xf numFmtId="3" fontId="6" fillId="4" borderId="5" xfId="0" applyNumberFormat="1" applyFont="1" applyFill="1" applyBorder="1" applyAlignment="1" applyProtection="1">
      <alignment horizontal="center" vertical="center"/>
      <protection hidden="1"/>
    </xf>
    <xf numFmtId="167" fontId="6" fillId="3" borderId="5" xfId="0" applyNumberFormat="1" applyFont="1" applyFill="1" applyBorder="1" applyAlignment="1" applyProtection="1">
      <alignment horizontal="center" vertical="center"/>
      <protection hidden="1"/>
    </xf>
    <xf numFmtId="167" fontId="6" fillId="3" borderId="6" xfId="0" applyNumberFormat="1" applyFont="1" applyFill="1" applyBorder="1" applyAlignment="1" applyProtection="1">
      <alignment horizontal="center" vertical="center"/>
      <protection hidden="1"/>
    </xf>
    <xf numFmtId="1" fontId="61" fillId="13" borderId="60" xfId="0" applyNumberFormat="1" applyFont="1" applyFill="1" applyBorder="1" applyAlignment="1" applyProtection="1">
      <alignment horizontal="center" vertical="center"/>
      <protection hidden="1"/>
    </xf>
    <xf numFmtId="1" fontId="61" fillId="13" borderId="57" xfId="0" applyNumberFormat="1" applyFont="1" applyFill="1" applyBorder="1" applyAlignment="1" applyProtection="1">
      <alignment horizontal="center" vertical="center"/>
      <protection hidden="1"/>
    </xf>
    <xf numFmtId="1" fontId="61" fillId="13" borderId="62" xfId="0" applyNumberFormat="1" applyFont="1" applyFill="1" applyBorder="1" applyAlignment="1" applyProtection="1">
      <alignment horizontal="center" vertical="center"/>
      <protection hidden="1"/>
    </xf>
    <xf numFmtId="1" fontId="61" fillId="13" borderId="66" xfId="0" applyNumberFormat="1" applyFont="1" applyFill="1" applyBorder="1" applyAlignment="1" applyProtection="1">
      <alignment horizontal="center" vertical="center"/>
      <protection hidden="1"/>
    </xf>
    <xf numFmtId="168" fontId="82" fillId="13" borderId="62" xfId="0" applyNumberFormat="1" applyFont="1" applyFill="1" applyBorder="1" applyAlignment="1">
      <alignment horizontal="center" vertical="center"/>
    </xf>
    <xf numFmtId="168" fontId="82" fillId="13" borderId="66" xfId="0" applyNumberFormat="1" applyFont="1" applyFill="1" applyBorder="1" applyAlignment="1">
      <alignment horizontal="center" vertical="center"/>
    </xf>
    <xf numFmtId="3" fontId="84" fillId="13" borderId="29" xfId="0" applyNumberFormat="1" applyFont="1" applyFill="1" applyBorder="1" applyAlignment="1">
      <alignment horizontal="center" vertical="center"/>
    </xf>
    <xf numFmtId="3" fontId="84" fillId="13" borderId="29" xfId="0" applyNumberFormat="1" applyFont="1" applyFill="1" applyBorder="1" applyAlignment="1" applyProtection="1">
      <alignment horizontal="center" vertical="center"/>
      <protection hidden="1"/>
    </xf>
    <xf numFmtId="3" fontId="84" fillId="13" borderId="30" xfId="0" applyNumberFormat="1" applyFont="1" applyFill="1" applyBorder="1" applyAlignment="1" applyProtection="1">
      <alignment horizontal="center" vertical="center"/>
      <protection hidden="1"/>
    </xf>
    <xf numFmtId="1" fontId="61" fillId="13" borderId="60" xfId="0" applyNumberFormat="1" applyFont="1" applyFill="1" applyBorder="1" applyAlignment="1">
      <alignment horizontal="center" vertical="center"/>
    </xf>
    <xf numFmtId="0" fontId="82" fillId="13" borderId="17" xfId="0" applyFont="1" applyFill="1" applyBorder="1" applyAlignment="1" applyProtection="1">
      <alignment horizontal="center" vertical="center"/>
      <protection hidden="1"/>
    </xf>
    <xf numFmtId="1" fontId="82" fillId="13" borderId="35" xfId="0" applyNumberFormat="1" applyFont="1" applyFill="1" applyBorder="1" applyAlignment="1" applyProtection="1">
      <alignment horizontal="center"/>
      <protection hidden="1"/>
    </xf>
    <xf numFmtId="0" fontId="82" fillId="13" borderId="0" xfId="0" applyFont="1" applyFill="1" applyAlignment="1">
      <alignment horizontal="center" vertical="center"/>
    </xf>
    <xf numFmtId="0" fontId="84" fillId="13" borderId="17" xfId="0" applyFont="1" applyFill="1" applyBorder="1" applyAlignment="1">
      <alignment horizontal="center" vertical="center"/>
    </xf>
    <xf numFmtId="17" fontId="82" fillId="13" borderId="17" xfId="0" applyNumberFormat="1" applyFont="1" applyFill="1" applyBorder="1" applyAlignment="1" applyProtection="1">
      <alignment horizontal="center" vertical="center"/>
      <protection hidden="1"/>
    </xf>
    <xf numFmtId="166" fontId="41" fillId="7" borderId="157" xfId="0" applyNumberFormat="1" applyFont="1" applyFill="1" applyBorder="1" applyAlignment="1" applyProtection="1">
      <alignment horizontal="center" vertical="center"/>
      <protection locked="0"/>
    </xf>
    <xf numFmtId="0" fontId="27" fillId="0" borderId="0" xfId="0" applyFont="1" applyAlignment="1">
      <alignment horizontal="left"/>
    </xf>
    <xf numFmtId="3" fontId="55" fillId="0" borderId="32" xfId="0" applyNumberFormat="1" applyFont="1" applyBorder="1" applyAlignment="1" applyProtection="1">
      <alignment horizontal="center" vertical="center"/>
      <protection hidden="1"/>
    </xf>
    <xf numFmtId="3" fontId="42" fillId="5" borderId="32" xfId="0" applyNumberFormat="1" applyFont="1" applyFill="1" applyBorder="1" applyAlignment="1" applyProtection="1">
      <alignment horizontal="center" vertical="center"/>
      <protection hidden="1"/>
    </xf>
    <xf numFmtId="0" fontId="79" fillId="13" borderId="17" xfId="0" applyFont="1" applyFill="1" applyBorder="1" applyAlignment="1">
      <alignment horizontal="center" vertical="center"/>
    </xf>
    <xf numFmtId="0" fontId="84" fillId="13" borderId="158" xfId="0" applyFont="1" applyFill="1" applyBorder="1" applyAlignment="1">
      <alignment horizontal="center" vertical="center"/>
    </xf>
    <xf numFmtId="17" fontId="82" fillId="13" borderId="158" xfId="0" applyNumberFormat="1" applyFont="1" applyFill="1" applyBorder="1" applyAlignment="1">
      <alignment horizontal="center" vertical="center"/>
    </xf>
    <xf numFmtId="0" fontId="82" fillId="13" borderId="158" xfId="0" applyFont="1" applyFill="1" applyBorder="1" applyAlignment="1" applyProtection="1">
      <alignment horizontal="center" vertic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167" fontId="53" fillId="0" borderId="0" xfId="0" applyNumberFormat="1" applyFont="1" applyAlignment="1" applyProtection="1">
      <alignment horizontal="center" vertical="center"/>
      <protection hidden="1"/>
    </xf>
    <xf numFmtId="17" fontId="82" fillId="13" borderId="158" xfId="0" applyNumberFormat="1" applyFont="1" applyFill="1" applyBorder="1" applyAlignment="1" applyProtection="1">
      <alignment horizontal="center" vertical="center"/>
      <protection hidden="1"/>
    </xf>
    <xf numFmtId="3" fontId="82" fillId="13" borderId="158" xfId="0" applyNumberFormat="1" applyFont="1" applyFill="1" applyBorder="1" applyAlignment="1" applyProtection="1">
      <alignment horizontal="center" vertical="center"/>
      <protection hidden="1"/>
    </xf>
    <xf numFmtId="17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84" fillId="13" borderId="0" xfId="0" applyFont="1" applyFill="1" applyAlignment="1" applyProtection="1">
      <alignment horizontal="center" vertical="center"/>
      <protection hidden="1"/>
    </xf>
    <xf numFmtId="49" fontId="86" fillId="13" borderId="135" xfId="0" applyNumberFormat="1" applyFont="1" applyFill="1" applyBorder="1" applyAlignment="1" applyProtection="1">
      <alignment horizontal="center" vertical="center"/>
      <protection hidden="1"/>
    </xf>
    <xf numFmtId="0" fontId="86" fillId="13" borderId="136" xfId="0" applyFont="1" applyFill="1" applyBorder="1" applyAlignment="1" applyProtection="1">
      <alignment horizontal="center" vertical="center"/>
      <protection hidden="1"/>
    </xf>
    <xf numFmtId="0" fontId="61" fillId="13" borderId="0" xfId="0" applyFont="1" applyFill="1" applyAlignment="1" applyProtection="1">
      <alignment horizontal="left" vertical="center"/>
      <protection hidden="1"/>
    </xf>
    <xf numFmtId="0" fontId="84" fillId="13" borderId="0" xfId="0" applyFont="1" applyFill="1" applyAlignment="1">
      <alignment horizontal="center"/>
    </xf>
    <xf numFmtId="0" fontId="61" fillId="13" borderId="0" xfId="0" applyFont="1" applyFill="1" applyAlignment="1" applyProtection="1">
      <alignment horizontal="left" vertical="center" wrapText="1"/>
      <protection hidden="1"/>
    </xf>
    <xf numFmtId="164" fontId="84" fillId="13" borderId="131" xfId="0" applyNumberFormat="1" applyFont="1" applyFill="1" applyBorder="1" applyAlignment="1" applyProtection="1">
      <alignment horizontal="center" vertical="center"/>
      <protection hidden="1"/>
    </xf>
    <xf numFmtId="3" fontId="84" fillId="13" borderId="131" xfId="0" applyNumberFormat="1" applyFont="1" applyFill="1" applyBorder="1" applyAlignment="1" applyProtection="1">
      <alignment horizontal="center" vertical="center"/>
      <protection hidden="1"/>
    </xf>
    <xf numFmtId="166" fontId="84" fillId="13" borderId="131" xfId="0" applyNumberFormat="1" applyFont="1" applyFill="1" applyBorder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center" vertical="top"/>
      <protection hidden="1"/>
    </xf>
    <xf numFmtId="166" fontId="4" fillId="0" borderId="133" xfId="0" applyNumberFormat="1" applyFont="1" applyBorder="1" applyAlignment="1" applyProtection="1">
      <alignment horizontal="center" vertical="center"/>
      <protection hidden="1"/>
    </xf>
    <xf numFmtId="0" fontId="7" fillId="0" borderId="165" xfId="0" applyFont="1" applyBorder="1" applyAlignment="1">
      <alignment vertical="center"/>
    </xf>
    <xf numFmtId="0" fontId="0" fillId="0" borderId="165" xfId="0" applyBorder="1" applyAlignment="1">
      <alignment vertical="center"/>
    </xf>
    <xf numFmtId="0" fontId="4" fillId="0" borderId="166" xfId="0" applyFont="1" applyBorder="1" applyAlignment="1" applyProtection="1">
      <alignment vertical="center"/>
      <protection hidden="1"/>
    </xf>
    <xf numFmtId="3" fontId="4" fillId="0" borderId="166" xfId="0" applyNumberFormat="1" applyFont="1" applyBorder="1" applyAlignment="1" applyProtection="1">
      <alignment horizontal="center" vertical="center"/>
      <protection hidden="1"/>
    </xf>
    <xf numFmtId="3" fontId="4" fillId="6" borderId="162" xfId="0" applyNumberFormat="1" applyFont="1" applyFill="1" applyBorder="1" applyAlignment="1" applyProtection="1">
      <alignment horizontal="center" vertical="center"/>
      <protection hidden="1"/>
    </xf>
    <xf numFmtId="0" fontId="4" fillId="6" borderId="167" xfId="0" applyFont="1" applyFill="1" applyBorder="1" applyAlignment="1" applyProtection="1">
      <alignment horizontal="center" vertical="center"/>
      <protection hidden="1"/>
    </xf>
    <xf numFmtId="167" fontId="4" fillId="0" borderId="168" xfId="0" applyNumberFormat="1" applyFont="1" applyBorder="1" applyAlignment="1" applyProtection="1">
      <alignment horizontal="center" vertical="center"/>
      <protection hidden="1"/>
    </xf>
    <xf numFmtId="0" fontId="12" fillId="0" borderId="23" xfId="0" applyFont="1" applyBorder="1" applyAlignment="1">
      <alignment horizontal="left" vertical="center"/>
    </xf>
    <xf numFmtId="0" fontId="12" fillId="0" borderId="10" xfId="0" applyFont="1" applyBorder="1" applyAlignment="1">
      <alignment horizontal="left" vertical="center"/>
    </xf>
    <xf numFmtId="16" fontId="12" fillId="0" borderId="20" xfId="0" quotePrefix="1" applyNumberFormat="1" applyFont="1" applyBorder="1" applyAlignment="1">
      <alignment horizontal="left" vertical="center"/>
    </xf>
    <xf numFmtId="0" fontId="0" fillId="0" borderId="7" xfId="0" applyBorder="1"/>
    <xf numFmtId="0" fontId="0" fillId="0" borderId="8" xfId="0" applyBorder="1"/>
    <xf numFmtId="0" fontId="42" fillId="0" borderId="25" xfId="0" applyFont="1" applyBorder="1" applyAlignment="1" applyProtection="1">
      <alignment vertical="center"/>
      <protection locked="0"/>
    </xf>
    <xf numFmtId="0" fontId="42" fillId="0" borderId="31" xfId="0" applyFont="1" applyBorder="1" applyAlignment="1" applyProtection="1">
      <alignment vertical="center"/>
      <protection locked="0"/>
    </xf>
    <xf numFmtId="0" fontId="42" fillId="0" borderId="0" xfId="2" applyNumberFormat="1" applyFont="1" applyBorder="1" applyAlignment="1" applyProtection="1">
      <alignment vertical="center"/>
      <protection locked="0"/>
    </xf>
    <xf numFmtId="0" fontId="42" fillId="0" borderId="31" xfId="0" applyFont="1" applyBorder="1"/>
    <xf numFmtId="0" fontId="39" fillId="0" borderId="25" xfId="0" applyFont="1" applyBorder="1" applyAlignment="1" applyProtection="1">
      <alignment vertical="center"/>
      <protection hidden="1"/>
    </xf>
    <xf numFmtId="0" fontId="11" fillId="0" borderId="31" xfId="0" applyFont="1" applyBorder="1" applyAlignment="1" applyProtection="1">
      <alignment vertical="center"/>
      <protection hidden="1"/>
    </xf>
    <xf numFmtId="0" fontId="5" fillId="0" borderId="7" xfId="0" applyFont="1" applyBorder="1" applyProtection="1">
      <protection hidden="1"/>
    </xf>
    <xf numFmtId="0" fontId="44" fillId="0" borderId="7" xfId="0" applyFont="1" applyBorder="1" applyAlignment="1">
      <alignment vertical="center"/>
    </xf>
    <xf numFmtId="0" fontId="5" fillId="0" borderId="7" xfId="0" applyFont="1" applyBorder="1"/>
    <xf numFmtId="0" fontId="5" fillId="0" borderId="8" xfId="0" applyFont="1" applyBorder="1"/>
    <xf numFmtId="0" fontId="12" fillId="0" borderId="25" xfId="0" applyFont="1" applyBorder="1" applyAlignment="1" applyProtection="1">
      <alignment vertical="center"/>
      <protection hidden="1"/>
    </xf>
    <xf numFmtId="0" fontId="12" fillId="0" borderId="18" xfId="0" applyFont="1" applyBorder="1" applyAlignment="1" applyProtection="1">
      <alignment vertical="center"/>
      <protection locked="0"/>
    </xf>
    <xf numFmtId="0" fontId="5" fillId="0" borderId="18" xfId="0" applyFont="1" applyBorder="1" applyAlignment="1" applyProtection="1">
      <alignment horizontal="left" vertical="center"/>
      <protection hidden="1"/>
    </xf>
    <xf numFmtId="0" fontId="5" fillId="0" borderId="7" xfId="0" applyFont="1" applyBorder="1" applyAlignment="1" applyProtection="1">
      <alignment horizontal="left" vertical="center"/>
      <protection hidden="1"/>
    </xf>
    <xf numFmtId="0" fontId="5" fillId="0" borderId="8" xfId="0" applyFont="1" applyBorder="1" applyAlignment="1" applyProtection="1">
      <alignment horizontal="left" vertical="center"/>
      <protection hidden="1"/>
    </xf>
    <xf numFmtId="0" fontId="5" fillId="0" borderId="31" xfId="0" applyFont="1" applyBorder="1" applyAlignment="1" applyProtection="1">
      <alignment horizontal="left" vertical="center"/>
      <protection hidden="1"/>
    </xf>
    <xf numFmtId="0" fontId="5" fillId="0" borderId="25" xfId="0" applyFont="1" applyBorder="1" applyAlignment="1" applyProtection="1">
      <alignment horizontal="left" vertical="center"/>
      <protection hidden="1"/>
    </xf>
    <xf numFmtId="0" fontId="34" fillId="0" borderId="25" xfId="0" applyFont="1" applyBorder="1" applyAlignment="1" applyProtection="1">
      <alignment vertical="center"/>
      <protection locked="0"/>
    </xf>
    <xf numFmtId="0" fontId="12" fillId="0" borderId="25" xfId="0" applyFont="1" applyBorder="1" applyAlignment="1" applyProtection="1">
      <alignment horizontal="left" vertical="center"/>
      <protection locked="0"/>
    </xf>
    <xf numFmtId="0" fontId="39" fillId="0" borderId="0" xfId="0" applyFont="1" applyAlignment="1" applyProtection="1">
      <alignment horizontal="left" vertical="center"/>
      <protection hidden="1"/>
    </xf>
    <xf numFmtId="164" fontId="39" fillId="0" borderId="0" xfId="2" applyNumberFormat="1" applyFont="1" applyBorder="1" applyAlignment="1" applyProtection="1">
      <alignment horizontal="center" vertical="center"/>
      <protection hidden="1"/>
    </xf>
    <xf numFmtId="0" fontId="12" fillId="0" borderId="31" xfId="0" applyFont="1" applyBorder="1" applyAlignment="1" applyProtection="1">
      <alignment horizontal="left" vertical="center"/>
      <protection hidden="1"/>
    </xf>
    <xf numFmtId="0" fontId="39" fillId="0" borderId="23" xfId="0" applyFont="1" applyBorder="1" applyAlignment="1" applyProtection="1">
      <alignment vertical="center"/>
      <protection hidden="1"/>
    </xf>
    <xf numFmtId="0" fontId="12" fillId="0" borderId="59" xfId="0" applyFont="1" applyBorder="1" applyAlignment="1">
      <alignment vertical="center"/>
    </xf>
    <xf numFmtId="0" fontId="12" fillId="0" borderId="55" xfId="0" applyFont="1" applyBorder="1" applyAlignment="1" applyProtection="1">
      <alignment vertical="center"/>
      <protection locked="0"/>
    </xf>
    <xf numFmtId="0" fontId="12" fillId="0" borderId="9" xfId="0" applyFont="1" applyBorder="1" applyAlignment="1" applyProtection="1">
      <alignment vertical="center"/>
      <protection locked="0"/>
    </xf>
    <xf numFmtId="0" fontId="39" fillId="0" borderId="31" xfId="0" applyFont="1" applyBorder="1" applyAlignment="1" applyProtection="1">
      <alignment vertical="center"/>
      <protection hidden="1"/>
    </xf>
    <xf numFmtId="0" fontId="42" fillId="0" borderId="25" xfId="0" applyFont="1" applyBorder="1" applyAlignment="1" applyProtection="1">
      <alignment vertical="center"/>
      <protection locked="0" hidden="1"/>
    </xf>
    <xf numFmtId="0" fontId="42" fillId="0" borderId="0" xfId="0" applyFont="1" applyAlignment="1" applyProtection="1">
      <alignment vertical="center"/>
      <protection locked="0" hidden="1"/>
    </xf>
    <xf numFmtId="0" fontId="42" fillId="0" borderId="0" xfId="2" applyNumberFormat="1" applyFont="1" applyBorder="1" applyAlignment="1" applyProtection="1">
      <alignment vertical="center"/>
      <protection locked="0" hidden="1"/>
    </xf>
    <xf numFmtId="0" fontId="42" fillId="0" borderId="31" xfId="0" applyFont="1" applyBorder="1" applyAlignment="1" applyProtection="1">
      <alignment vertical="center"/>
      <protection locked="0" hidden="1"/>
    </xf>
    <xf numFmtId="0" fontId="4" fillId="0" borderId="43" xfId="0" applyFont="1" applyBorder="1" applyAlignment="1">
      <alignment horizontal="center" vertical="center"/>
    </xf>
    <xf numFmtId="0" fontId="11" fillId="0" borderId="122" xfId="0" applyFont="1" applyBorder="1" applyAlignment="1" applyProtection="1">
      <alignment vertical="center"/>
      <protection hidden="1"/>
    </xf>
    <xf numFmtId="0" fontId="11" fillId="0" borderId="123" xfId="0" applyFont="1" applyBorder="1" applyAlignment="1" applyProtection="1">
      <alignment vertical="center"/>
      <protection hidden="1"/>
    </xf>
    <xf numFmtId="16" fontId="12" fillId="0" borderId="10" xfId="0" quotePrefix="1" applyNumberFormat="1" applyFont="1" applyBorder="1" applyAlignment="1">
      <alignment horizontal="left" vertical="center"/>
    </xf>
    <xf numFmtId="0" fontId="12" fillId="0" borderId="170" xfId="0" applyFont="1" applyBorder="1" applyAlignment="1">
      <alignment horizontal="left" vertical="center"/>
    </xf>
    <xf numFmtId="0" fontId="12" fillId="0" borderId="171" xfId="0" applyFont="1" applyBorder="1" applyAlignment="1">
      <alignment horizontal="left" vertical="center"/>
    </xf>
    <xf numFmtId="0" fontId="12" fillId="0" borderId="88" xfId="0" applyFont="1" applyBorder="1" applyAlignment="1">
      <alignment horizontal="left" vertical="center"/>
    </xf>
    <xf numFmtId="0" fontId="12" fillId="0" borderId="89" xfId="0" applyFont="1" applyBorder="1" applyAlignment="1">
      <alignment horizontal="left" vertical="center"/>
    </xf>
    <xf numFmtId="2" fontId="41" fillId="7" borderId="44" xfId="0" applyNumberFormat="1" applyFont="1" applyFill="1" applyBorder="1" applyAlignment="1" applyProtection="1">
      <alignment horizontal="center" vertical="center"/>
      <protection locked="0"/>
    </xf>
    <xf numFmtId="2" fontId="4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124" xfId="0" applyFont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/>
      <protection hidden="1"/>
    </xf>
    <xf numFmtId="3" fontId="7" fillId="0" borderId="138" xfId="0" applyNumberFormat="1" applyFont="1" applyBorder="1" applyAlignment="1" applyProtection="1">
      <alignment horizontal="center" vertical="center"/>
      <protection hidden="1"/>
    </xf>
    <xf numFmtId="3" fontId="7" fillId="0" borderId="172" xfId="0" applyNumberFormat="1" applyFont="1" applyBorder="1" applyAlignment="1" applyProtection="1">
      <alignment horizontal="center" vertical="center"/>
      <protection hidden="1"/>
    </xf>
    <xf numFmtId="3" fontId="4" fillId="0" borderId="173" xfId="0" applyNumberFormat="1" applyFont="1" applyBorder="1" applyAlignment="1" applyProtection="1">
      <alignment horizontal="center" vertical="center"/>
      <protection hidden="1"/>
    </xf>
    <xf numFmtId="167" fontId="4" fillId="8" borderId="155" xfId="0" applyNumberFormat="1" applyFont="1" applyFill="1" applyBorder="1" applyAlignment="1" applyProtection="1">
      <alignment horizontal="center" vertical="center"/>
      <protection hidden="1"/>
    </xf>
    <xf numFmtId="3" fontId="4" fillId="0" borderId="114" xfId="0" applyNumberFormat="1" applyFont="1" applyBorder="1" applyAlignment="1" applyProtection="1">
      <alignment horizontal="center" vertical="center"/>
      <protection hidden="1"/>
    </xf>
    <xf numFmtId="3" fontId="7" fillId="7" borderId="44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right" shrinkToFit="1"/>
      <protection hidden="1"/>
    </xf>
    <xf numFmtId="167" fontId="67" fillId="0" borderId="0" xfId="0" applyNumberFormat="1" applyFont="1" applyAlignment="1" applyProtection="1">
      <alignment horizontal="left" vertical="center"/>
      <protection hidden="1"/>
    </xf>
    <xf numFmtId="0" fontId="84" fillId="13" borderId="0" xfId="0" applyFont="1" applyFill="1" applyAlignment="1">
      <alignment horizontal="center" vertical="center"/>
    </xf>
    <xf numFmtId="167" fontId="89" fillId="0" borderId="0" xfId="0" applyNumberFormat="1" applyFont="1" applyAlignment="1" applyProtection="1">
      <alignment horizontal="left" vertical="center"/>
      <protection hidden="1"/>
    </xf>
    <xf numFmtId="0" fontId="0" fillId="0" borderId="7" xfId="0" applyBorder="1" applyAlignment="1">
      <alignment vertical="center"/>
    </xf>
    <xf numFmtId="0" fontId="9" fillId="0" borderId="7" xfId="0" applyFont="1" applyBorder="1" applyAlignment="1">
      <alignment horizontal="left"/>
    </xf>
    <xf numFmtId="0" fontId="11" fillId="7" borderId="19" xfId="0" applyFont="1" applyFill="1" applyBorder="1" applyAlignment="1" applyProtection="1">
      <alignment horizontal="center" vertical="center"/>
      <protection locked="0"/>
    </xf>
    <xf numFmtId="0" fontId="81" fillId="13" borderId="19" xfId="0" applyFont="1" applyFill="1" applyBorder="1" applyAlignment="1">
      <alignment horizontal="center" vertical="center"/>
    </xf>
    <xf numFmtId="0" fontId="12" fillId="0" borderId="49" xfId="0" applyFont="1" applyBorder="1" applyAlignment="1">
      <alignment horizontal="center" vertical="center"/>
    </xf>
    <xf numFmtId="0" fontId="12" fillId="0" borderId="23" xfId="0" applyFont="1" applyBorder="1" applyAlignment="1">
      <alignment horizontal="center" vertical="center"/>
    </xf>
    <xf numFmtId="167" fontId="12" fillId="5" borderId="17" xfId="0" applyNumberFormat="1" applyFont="1" applyFill="1" applyBorder="1" applyAlignment="1">
      <alignment horizontal="center" vertical="center"/>
    </xf>
    <xf numFmtId="0" fontId="6" fillId="0" borderId="10" xfId="0" applyFont="1" applyBorder="1" applyAlignment="1">
      <alignment vertical="center"/>
    </xf>
    <xf numFmtId="1" fontId="6" fillId="7" borderId="32" xfId="0" applyNumberFormat="1" applyFont="1" applyFill="1" applyBorder="1" applyAlignment="1" applyProtection="1">
      <alignment horizontal="center" vertical="center"/>
      <protection locked="0"/>
    </xf>
    <xf numFmtId="1" fontId="6" fillId="7" borderId="32" xfId="0" applyNumberFormat="1" applyFont="1" applyFill="1" applyBorder="1" applyAlignment="1" applyProtection="1">
      <alignment horizontal="center" vertical="center"/>
      <protection locked="0" hidden="1"/>
    </xf>
    <xf numFmtId="167" fontId="0" fillId="0" borderId="0" xfId="0" applyNumberFormat="1" applyAlignment="1">
      <alignment horizontal="right"/>
    </xf>
    <xf numFmtId="0" fontId="81" fillId="13" borderId="17" xfId="0" applyFont="1" applyFill="1" applyBorder="1" applyAlignment="1">
      <alignment horizontal="center" vertical="center"/>
    </xf>
    <xf numFmtId="167" fontId="12" fillId="0" borderId="60" xfId="0" applyNumberFormat="1" applyFont="1" applyBorder="1" applyAlignment="1" applyProtection="1">
      <alignment horizontal="right"/>
      <protection hidden="1"/>
    </xf>
    <xf numFmtId="0" fontId="12" fillId="0" borderId="23" xfId="0" applyFont="1" applyBorder="1" applyAlignment="1">
      <alignment horizontal="center"/>
    </xf>
    <xf numFmtId="0" fontId="12" fillId="0" borderId="60" xfId="0" applyFont="1" applyBorder="1" applyAlignment="1" applyProtection="1">
      <alignment vertical="center"/>
      <protection hidden="1"/>
    </xf>
    <xf numFmtId="167" fontId="12" fillId="0" borderId="60" xfId="0" applyNumberFormat="1" applyFont="1" applyBorder="1" applyAlignment="1" applyProtection="1">
      <alignment horizontal="right" vertical="center"/>
      <protection hidden="1"/>
    </xf>
    <xf numFmtId="0" fontId="6" fillId="0" borderId="17" xfId="0" applyFont="1" applyBorder="1" applyAlignment="1" applyProtection="1">
      <alignment horizontal="center" vertical="center"/>
      <protection hidden="1"/>
    </xf>
    <xf numFmtId="49" fontId="6" fillId="0" borderId="23" xfId="0" applyNumberFormat="1" applyFont="1" applyBorder="1" applyAlignment="1" applyProtection="1">
      <alignment horizontal="center" vertical="center"/>
      <protection hidden="1"/>
    </xf>
    <xf numFmtId="0" fontId="12" fillId="0" borderId="20" xfId="0" applyFont="1" applyBorder="1" applyAlignment="1">
      <alignment horizontal="center" vertical="center"/>
    </xf>
    <xf numFmtId="0" fontId="11" fillId="0" borderId="10" xfId="0" applyFont="1" applyBorder="1" applyAlignment="1">
      <alignment vertical="center"/>
    </xf>
    <xf numFmtId="0" fontId="12" fillId="0" borderId="67" xfId="0" applyFont="1" applyBorder="1" applyAlignment="1">
      <alignment vertical="center"/>
    </xf>
    <xf numFmtId="0" fontId="12" fillId="13" borderId="63" xfId="0" applyFont="1" applyFill="1" applyBorder="1" applyAlignment="1">
      <alignment horizontal="center" vertical="center"/>
    </xf>
    <xf numFmtId="0" fontId="82" fillId="13" borderId="43" xfId="0" applyFont="1" applyFill="1" applyBorder="1" applyAlignment="1">
      <alignment horizontal="center"/>
    </xf>
    <xf numFmtId="0" fontId="12" fillId="0" borderId="175" xfId="0" applyFont="1" applyBorder="1" applyAlignment="1" applyProtection="1">
      <alignment horizontal="center" vertical="center"/>
      <protection hidden="1"/>
    </xf>
    <xf numFmtId="1" fontId="11" fillId="5" borderId="32" xfId="0" applyNumberFormat="1" applyFont="1" applyFill="1" applyBorder="1" applyAlignment="1" applyProtection="1">
      <alignment horizontal="center" vertical="center"/>
      <protection hidden="1"/>
    </xf>
    <xf numFmtId="0" fontId="12" fillId="0" borderId="176" xfId="0" applyFont="1" applyBorder="1" applyAlignment="1" applyProtection="1">
      <alignment horizontal="center" vertical="center"/>
      <protection hidden="1"/>
    </xf>
    <xf numFmtId="166" fontId="12" fillId="5" borderId="17" xfId="0" applyNumberFormat="1" applyFont="1" applyFill="1" applyBorder="1" applyAlignment="1" applyProtection="1">
      <alignment horizontal="center" vertical="center"/>
      <protection hidden="1"/>
    </xf>
    <xf numFmtId="166" fontId="12" fillId="0" borderId="17" xfId="0" applyNumberFormat="1" applyFont="1" applyBorder="1" applyAlignment="1" applyProtection="1">
      <alignment horizontal="center" vertical="center"/>
      <protection hidden="1"/>
    </xf>
    <xf numFmtId="166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2" fillId="0" borderId="23" xfId="0" applyFont="1" applyBorder="1" applyAlignment="1" applyProtection="1">
      <alignment horizontal="center" vertical="center"/>
      <protection hidden="1"/>
    </xf>
    <xf numFmtId="0" fontId="11" fillId="0" borderId="16" xfId="0" applyFont="1" applyBorder="1" applyAlignment="1" applyProtection="1">
      <alignment horizontal="left" vertical="center"/>
      <protection hidden="1"/>
    </xf>
    <xf numFmtId="0" fontId="11" fillId="0" borderId="69" xfId="0" applyFont="1" applyBorder="1" applyAlignment="1" applyProtection="1">
      <alignment horizontal="left" vertical="center"/>
      <protection hidden="1"/>
    </xf>
    <xf numFmtId="0" fontId="4" fillId="0" borderId="62" xfId="0" applyFont="1" applyBorder="1" applyAlignment="1">
      <alignment horizontal="center" vertical="center"/>
    </xf>
    <xf numFmtId="0" fontId="7" fillId="7" borderId="32" xfId="0" applyFont="1" applyFill="1" applyBorder="1" applyAlignment="1" applyProtection="1">
      <alignment horizontal="left" vertical="center"/>
      <protection locked="0"/>
    </xf>
    <xf numFmtId="3" fontId="7" fillId="0" borderId="29" xfId="0" applyNumberFormat="1" applyFont="1" applyBorder="1" applyAlignment="1" applyProtection="1">
      <alignment horizontal="center" vertical="center"/>
      <protection hidden="1"/>
    </xf>
    <xf numFmtId="0" fontId="7" fillId="7" borderId="17" xfId="0" applyFont="1" applyFill="1" applyBorder="1" applyAlignment="1" applyProtection="1">
      <alignment horizontal="left" vertical="center"/>
      <protection locked="0"/>
    </xf>
    <xf numFmtId="3" fontId="4" fillId="0" borderId="17" xfId="0" applyNumberFormat="1" applyFont="1" applyBorder="1" applyAlignment="1" applyProtection="1">
      <alignment horizontal="center" vertical="center"/>
      <protection hidden="1"/>
    </xf>
    <xf numFmtId="0" fontId="7" fillId="7" borderId="83" xfId="0" applyFont="1" applyFill="1" applyBorder="1" applyAlignment="1" applyProtection="1">
      <alignment horizontal="left" vertical="center"/>
      <protection locked="0"/>
    </xf>
    <xf numFmtId="3" fontId="7" fillId="0" borderId="83" xfId="0" applyNumberFormat="1" applyFont="1" applyBorder="1" applyAlignment="1" applyProtection="1">
      <alignment horizontal="center" vertical="center"/>
      <protection hidden="1"/>
    </xf>
    <xf numFmtId="0" fontId="84" fillId="13" borderId="49" xfId="0" applyFont="1" applyFill="1" applyBorder="1" applyAlignment="1">
      <alignment horizontal="left" vertical="center"/>
    </xf>
    <xf numFmtId="0" fontId="84" fillId="13" borderId="174" xfId="0" applyFont="1" applyFill="1" applyBorder="1" applyAlignment="1">
      <alignment horizontal="center" vertical="center"/>
    </xf>
    <xf numFmtId="0" fontId="7" fillId="7" borderId="60" xfId="0" applyFont="1" applyFill="1" applyBorder="1" applyAlignment="1" applyProtection="1">
      <alignment horizontal="left" vertical="center"/>
      <protection locked="0"/>
    </xf>
    <xf numFmtId="3" fontId="7" fillId="7" borderId="0" xfId="0" applyNumberFormat="1" applyFont="1" applyFill="1" applyAlignment="1" applyProtection="1">
      <alignment horizontal="center" vertical="center"/>
      <protection locked="0"/>
    </xf>
    <xf numFmtId="3" fontId="7" fillId="0" borderId="60" xfId="0" applyNumberFormat="1" applyFont="1" applyBorder="1" applyAlignment="1" applyProtection="1">
      <alignment horizontal="center" vertical="center"/>
      <protection hidden="1"/>
    </xf>
    <xf numFmtId="3" fontId="86" fillId="13" borderId="174" xfId="0" applyNumberFormat="1" applyFont="1" applyFill="1" applyBorder="1" applyAlignment="1" applyProtection="1">
      <alignment horizontal="center" vertical="center"/>
      <protection hidden="1"/>
    </xf>
    <xf numFmtId="0" fontId="7" fillId="7" borderId="17" xfId="0" applyFont="1" applyFill="1" applyBorder="1" applyAlignment="1" applyProtection="1">
      <alignment vertical="center"/>
      <protection locked="0"/>
    </xf>
    <xf numFmtId="0" fontId="7" fillId="7" borderId="19" xfId="0" applyFont="1" applyFill="1" applyBorder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horizontal="center" vertical="center"/>
      <protection hidden="1"/>
    </xf>
    <xf numFmtId="0" fontId="7" fillId="7" borderId="36" xfId="0" applyFont="1" applyFill="1" applyBorder="1" applyAlignment="1" applyProtection="1">
      <alignment horizontal="left" vertical="center"/>
      <protection locked="0"/>
    </xf>
    <xf numFmtId="3" fontId="86" fillId="13" borderId="32" xfId="0" applyNumberFormat="1" applyFont="1" applyFill="1" applyBorder="1" applyAlignment="1" applyProtection="1">
      <alignment horizontal="center" vertical="center"/>
      <protection hidden="1"/>
    </xf>
    <xf numFmtId="3" fontId="7" fillId="0" borderId="0" xfId="0" applyNumberFormat="1" applyFont="1" applyAlignment="1">
      <alignment horizontal="center" vertical="center"/>
    </xf>
    <xf numFmtId="0" fontId="7" fillId="7" borderId="83" xfId="0" applyFont="1" applyFill="1" applyBorder="1" applyAlignment="1" applyProtection="1">
      <alignment vertical="center"/>
      <protection locked="0"/>
    </xf>
    <xf numFmtId="0" fontId="4" fillId="0" borderId="63" xfId="0" applyFont="1" applyBorder="1" applyAlignment="1">
      <alignment vertical="center"/>
    </xf>
    <xf numFmtId="0" fontId="84" fillId="13" borderId="6" xfId="0" applyFont="1" applyFill="1" applyBorder="1" applyAlignment="1">
      <alignment vertical="center"/>
    </xf>
    <xf numFmtId="0" fontId="84" fillId="13" borderId="36" xfId="0" applyFont="1" applyFill="1" applyBorder="1" applyAlignment="1">
      <alignment horizontal="center" vertical="center"/>
    </xf>
    <xf numFmtId="0" fontId="4" fillId="8" borderId="62" xfId="0" applyFont="1" applyFill="1" applyBorder="1" applyAlignment="1" applyProtection="1">
      <alignment horizontal="left" vertical="center" indent="1"/>
      <protection hidden="1"/>
    </xf>
    <xf numFmtId="0" fontId="4" fillId="0" borderId="6" xfId="0" applyFont="1" applyBorder="1" applyAlignment="1">
      <alignment horizontal="left" vertical="center" indent="1"/>
    </xf>
    <xf numFmtId="0" fontId="4" fillId="0" borderId="6" xfId="0" applyFont="1" applyBorder="1" applyAlignment="1">
      <alignment horizontal="left" vertical="center" wrapText="1" indent="1"/>
    </xf>
    <xf numFmtId="0" fontId="4" fillId="0" borderId="25" xfId="0" applyFont="1" applyBorder="1" applyAlignment="1">
      <alignment horizontal="left" vertical="center" indent="1"/>
    </xf>
    <xf numFmtId="0" fontId="4" fillId="0" borderId="121" xfId="0" applyFont="1" applyBorder="1" applyAlignment="1">
      <alignment horizontal="left" vertical="center" indent="1"/>
    </xf>
    <xf numFmtId="0" fontId="7" fillId="0" borderId="16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4" fillId="7" borderId="17" xfId="0" applyFont="1" applyFill="1" applyBorder="1" applyAlignment="1" applyProtection="1">
      <alignment vertical="center"/>
      <protection locked="0"/>
    </xf>
    <xf numFmtId="164" fontId="7" fillId="7" borderId="32" xfId="0" applyNumberFormat="1" applyFont="1" applyFill="1" applyBorder="1" applyAlignment="1" applyProtection="1">
      <alignment horizontal="center" vertical="center"/>
      <protection locked="0"/>
    </xf>
    <xf numFmtId="0" fontId="23" fillId="0" borderId="25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1" fontId="61" fillId="13" borderId="0" xfId="0" applyNumberFormat="1" applyFont="1" applyFill="1" applyAlignment="1" applyProtection="1">
      <alignment horizontal="center" vertical="center"/>
      <protection hidden="1"/>
    </xf>
    <xf numFmtId="0" fontId="84" fillId="13" borderId="19" xfId="0" applyFont="1" applyFill="1" applyBorder="1" applyAlignment="1">
      <alignment horizontal="center" vertical="center"/>
    </xf>
    <xf numFmtId="1" fontId="61" fillId="13" borderId="32" xfId="0" applyNumberFormat="1" applyFont="1" applyFill="1" applyBorder="1" applyAlignment="1" applyProtection="1">
      <alignment horizontal="center" vertical="center"/>
      <protection hidden="1"/>
    </xf>
    <xf numFmtId="164" fontId="7" fillId="7" borderId="18" xfId="0" applyNumberFormat="1" applyFont="1" applyFill="1" applyBorder="1" applyAlignment="1" applyProtection="1">
      <alignment horizontal="center" vertical="center"/>
      <protection locked="0"/>
    </xf>
    <xf numFmtId="164" fontId="7" fillId="7" borderId="19" xfId="0" applyNumberFormat="1" applyFont="1" applyFill="1" applyBorder="1" applyAlignment="1" applyProtection="1">
      <alignment horizontal="center" vertical="center"/>
      <protection locked="0"/>
    </xf>
    <xf numFmtId="0" fontId="7" fillId="7" borderId="20" xfId="0" applyFont="1" applyFill="1" applyBorder="1" applyAlignment="1" applyProtection="1">
      <alignment horizontal="center" vertical="center"/>
      <protection locked="0"/>
    </xf>
    <xf numFmtId="3" fontId="42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84" xfId="0" applyNumberFormat="1" applyFont="1" applyFill="1" applyBorder="1" applyAlignment="1" applyProtection="1">
      <alignment horizontal="center" vertical="center"/>
      <protection locked="0" hidden="1"/>
    </xf>
    <xf numFmtId="3" fontId="41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12" fillId="0" borderId="33" xfId="0" applyNumberFormat="1" applyFont="1" applyBorder="1" applyAlignment="1" applyProtection="1">
      <alignment horizontal="center" vertical="center"/>
      <protection hidden="1"/>
    </xf>
    <xf numFmtId="9" fontId="12" fillId="3" borderId="32" xfId="0" applyNumberFormat="1" applyFont="1" applyFill="1" applyBorder="1" applyAlignment="1">
      <alignment horizontal="center" vertical="center"/>
    </xf>
    <xf numFmtId="164" fontId="12" fillId="7" borderId="32" xfId="0" applyNumberFormat="1" applyFont="1" applyFill="1" applyBorder="1" applyAlignment="1" applyProtection="1">
      <alignment horizontal="center" vertical="center"/>
      <protection locked="0"/>
    </xf>
    <xf numFmtId="1" fontId="11" fillId="0" borderId="0" xfId="0" applyNumberFormat="1" applyFont="1" applyAlignment="1" applyProtection="1">
      <alignment horizontal="left" vertical="center"/>
      <protection locked="0"/>
    </xf>
    <xf numFmtId="1" fontId="11" fillId="0" borderId="20" xfId="0" applyNumberFormat="1" applyFont="1" applyBorder="1" applyAlignment="1" applyProtection="1">
      <alignment horizontal="left" vertical="center"/>
      <protection locked="0"/>
    </xf>
    <xf numFmtId="0" fontId="12" fillId="0" borderId="23" xfId="0" applyFont="1" applyBorder="1"/>
    <xf numFmtId="1" fontId="12" fillId="0" borderId="23" xfId="0" applyNumberFormat="1" applyFont="1" applyBorder="1" applyAlignment="1" applyProtection="1">
      <alignment horizontal="left" vertical="center"/>
      <protection locked="0"/>
    </xf>
    <xf numFmtId="1" fontId="12" fillId="0" borderId="16" xfId="0" applyNumberFormat="1" applyFont="1" applyBorder="1" applyAlignment="1" applyProtection="1">
      <alignment horizontal="left" vertical="center"/>
      <protection locked="0"/>
    </xf>
    <xf numFmtId="0" fontId="17" fillId="0" borderId="7" xfId="0" applyFont="1" applyBorder="1"/>
    <xf numFmtId="0" fontId="12" fillId="0" borderId="7" xfId="0" applyFont="1" applyBorder="1" applyAlignment="1">
      <alignment vertical="center"/>
    </xf>
    <xf numFmtId="0" fontId="12" fillId="0" borderId="8" xfId="0" applyFont="1" applyBorder="1" applyAlignment="1">
      <alignment vertical="center"/>
    </xf>
    <xf numFmtId="0" fontId="12" fillId="0" borderId="25" xfId="0" applyFont="1" applyBorder="1" applyAlignment="1">
      <alignment horizontal="left" vertical="center"/>
    </xf>
    <xf numFmtId="0" fontId="12" fillId="0" borderId="0" xfId="1" applyFont="1" applyAlignment="1" applyProtection="1">
      <alignment vertical="center"/>
      <protection locked="0"/>
    </xf>
    <xf numFmtId="0" fontId="12" fillId="0" borderId="18" xfId="0" applyFont="1" applyBorder="1" applyAlignment="1">
      <alignment vertical="center"/>
    </xf>
    <xf numFmtId="0" fontId="0" fillId="0" borderId="16" xfId="0" applyBorder="1" applyAlignment="1" applyProtection="1">
      <alignment horizontal="left" vertical="center"/>
      <protection locked="0"/>
    </xf>
    <xf numFmtId="0" fontId="7" fillId="0" borderId="23" xfId="0" applyFont="1" applyBorder="1" applyAlignment="1">
      <alignment horizontal="left" vertical="center"/>
    </xf>
    <xf numFmtId="0" fontId="7" fillId="0" borderId="23" xfId="0" applyFont="1" applyBorder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12" fillId="0" borderId="23" xfId="0" applyFont="1" applyBorder="1" applyAlignment="1" applyProtection="1">
      <alignment horizontal="left" vertical="center"/>
      <protection locked="0"/>
    </xf>
    <xf numFmtId="0" fontId="12" fillId="0" borderId="20" xfId="0" applyFont="1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3" fillId="0" borderId="23" xfId="0" applyFont="1" applyBorder="1" applyAlignment="1" applyProtection="1">
      <alignment horizontal="left" vertical="center"/>
      <protection locked="0"/>
    </xf>
    <xf numFmtId="0" fontId="28" fillId="0" borderId="17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1" fillId="6" borderId="4" xfId="0" applyFont="1" applyFill="1" applyBorder="1" applyAlignment="1" applyProtection="1">
      <alignment horizontal="center" vertical="center"/>
      <protection hidden="1"/>
    </xf>
    <xf numFmtId="3" fontId="11" fillId="6" borderId="3" xfId="0" applyNumberFormat="1" applyFont="1" applyFill="1" applyBorder="1" applyAlignment="1">
      <alignment horizontal="center" vertical="center"/>
    </xf>
    <xf numFmtId="3" fontId="11" fillId="6" borderId="47" xfId="0" applyNumberFormat="1" applyFont="1" applyFill="1" applyBorder="1" applyAlignment="1">
      <alignment horizontal="center" vertical="center"/>
    </xf>
    <xf numFmtId="3" fontId="11" fillId="0" borderId="47" xfId="0" applyNumberFormat="1" applyFont="1" applyBorder="1" applyAlignment="1">
      <alignment horizontal="center" vertical="center"/>
    </xf>
    <xf numFmtId="9" fontId="12" fillId="7" borderId="177" xfId="2" applyFont="1" applyFill="1" applyBorder="1" applyAlignment="1" applyProtection="1">
      <alignment horizontal="center" vertical="center"/>
      <protection locked="0"/>
    </xf>
    <xf numFmtId="9" fontId="12" fillId="7" borderId="46" xfId="2" applyFont="1" applyFill="1" applyBorder="1" applyAlignment="1" applyProtection="1">
      <alignment horizontal="center" vertical="center"/>
      <protection locked="0"/>
    </xf>
    <xf numFmtId="3" fontId="12" fillId="0" borderId="10" xfId="0" applyNumberFormat="1" applyFont="1" applyBorder="1" applyAlignment="1" applyProtection="1">
      <alignment horizontal="center" vertical="center"/>
      <protection hidden="1"/>
    </xf>
    <xf numFmtId="3" fontId="41" fillId="5" borderId="19" xfId="0" applyNumberFormat="1" applyFont="1" applyFill="1" applyBorder="1" applyAlignment="1" applyProtection="1">
      <alignment horizontal="center" vertical="center"/>
      <protection hidden="1"/>
    </xf>
    <xf numFmtId="3" fontId="12" fillId="0" borderId="7" xfId="0" applyNumberFormat="1" applyFont="1" applyBorder="1" applyAlignment="1" applyProtection="1">
      <alignment horizontal="center" vertical="center"/>
      <protection hidden="1"/>
    </xf>
    <xf numFmtId="167" fontId="12" fillId="0" borderId="17" xfId="0" applyNumberFormat="1" applyFont="1" applyBorder="1" applyAlignment="1" applyProtection="1">
      <alignment horizontal="right" vertical="center"/>
      <protection hidden="1"/>
    </xf>
    <xf numFmtId="166" fontId="12" fillId="0" borderId="17" xfId="2" applyNumberFormat="1" applyFont="1" applyBorder="1" applyProtection="1">
      <protection hidden="1"/>
    </xf>
    <xf numFmtId="166" fontId="12" fillId="0" borderId="17" xfId="2" applyNumberFormat="1" applyFont="1" applyBorder="1" applyAlignment="1" applyProtection="1">
      <alignment horizontal="right" vertical="center"/>
      <protection hidden="1"/>
    </xf>
    <xf numFmtId="167" fontId="12" fillId="0" borderId="19" xfId="0" applyNumberFormat="1" applyFont="1" applyBorder="1" applyAlignment="1" applyProtection="1">
      <alignment horizontal="right" vertical="center"/>
      <protection hidden="1"/>
    </xf>
    <xf numFmtId="3" fontId="4" fillId="0" borderId="47" xfId="0" applyNumberFormat="1" applyFont="1" applyBorder="1" applyAlignment="1">
      <alignment horizontal="center" vertical="center"/>
    </xf>
    <xf numFmtId="3" fontId="4" fillId="0" borderId="5" xfId="0" applyNumberFormat="1" applyFont="1" applyBorder="1" applyAlignment="1">
      <alignment horizontal="center" vertical="center"/>
    </xf>
    <xf numFmtId="0" fontId="6" fillId="12" borderId="0" xfId="0" applyFont="1" applyFill="1" applyAlignment="1">
      <alignment horizontal="center" vertical="center"/>
    </xf>
    <xf numFmtId="0" fontId="51" fillId="12" borderId="0" xfId="0" applyFont="1" applyFill="1" applyAlignment="1">
      <alignment horizontal="center"/>
    </xf>
    <xf numFmtId="0" fontId="11" fillId="12" borderId="0" xfId="0" applyFont="1" applyFill="1" applyAlignment="1">
      <alignment horizontal="center" vertical="center"/>
    </xf>
    <xf numFmtId="0" fontId="55" fillId="12" borderId="0" xfId="0" applyFont="1" applyFill="1" applyAlignment="1">
      <alignment horizontal="center" vertical="center"/>
    </xf>
    <xf numFmtId="0" fontId="7" fillId="0" borderId="141" xfId="0" applyFont="1" applyBorder="1" applyAlignment="1" applyProtection="1">
      <alignment horizontal="center" vertical="center"/>
      <protection hidden="1"/>
    </xf>
    <xf numFmtId="1" fontId="7" fillId="0" borderId="155" xfId="0" applyNumberFormat="1" applyFont="1" applyBorder="1" applyAlignment="1" applyProtection="1">
      <alignment horizontal="center" vertical="center"/>
      <protection hidden="1"/>
    </xf>
    <xf numFmtId="167" fontId="7" fillId="0" borderId="155" xfId="0" applyNumberFormat="1" applyFont="1" applyBorder="1" applyAlignment="1" applyProtection="1">
      <alignment horizontal="center" vertical="center"/>
      <protection hidden="1"/>
    </xf>
    <xf numFmtId="0" fontId="4" fillId="0" borderId="180" xfId="0" applyFont="1" applyBorder="1" applyAlignment="1" applyProtection="1">
      <alignment horizontal="left" vertical="center" wrapText="1"/>
      <protection hidden="1"/>
    </xf>
    <xf numFmtId="166" fontId="4" fillId="0" borderId="180" xfId="0" applyNumberFormat="1" applyFont="1" applyBorder="1" applyAlignment="1" applyProtection="1">
      <alignment horizontal="center" vertical="center" wrapText="1"/>
      <protection hidden="1"/>
    </xf>
    <xf numFmtId="0" fontId="73" fillId="0" borderId="0" xfId="0" applyFont="1" applyAlignment="1" applyProtection="1">
      <alignment vertical="center"/>
      <protection hidden="1"/>
    </xf>
    <xf numFmtId="0" fontId="88" fillId="0" borderId="0" xfId="0" applyFont="1" applyAlignment="1" applyProtection="1">
      <alignment vertical="center"/>
      <protection hidden="1"/>
    </xf>
    <xf numFmtId="0" fontId="73" fillId="0" borderId="0" xfId="0" applyFont="1" applyProtection="1">
      <protection hidden="1"/>
    </xf>
    <xf numFmtId="0" fontId="88" fillId="0" borderId="0" xfId="0" applyFont="1" applyProtection="1">
      <protection hidden="1"/>
    </xf>
    <xf numFmtId="0" fontId="88" fillId="0" borderId="0" xfId="0" applyFont="1" applyAlignment="1" applyProtection="1">
      <alignment horizontal="left"/>
      <protection hidden="1"/>
    </xf>
    <xf numFmtId="0" fontId="91" fillId="0" borderId="0" xfId="0" applyFont="1" applyProtection="1">
      <protection hidden="1"/>
    </xf>
    <xf numFmtId="0" fontId="91" fillId="0" borderId="0" xfId="0" applyFont="1" applyAlignment="1" applyProtection="1">
      <alignment vertical="center"/>
      <protection hidden="1"/>
    </xf>
    <xf numFmtId="0" fontId="7" fillId="0" borderId="184" xfId="0" applyFont="1" applyBorder="1" applyAlignment="1" applyProtection="1">
      <alignment horizontal="left" vertical="center"/>
      <protection hidden="1"/>
    </xf>
    <xf numFmtId="167" fontId="4" fillId="0" borderId="183" xfId="0" applyNumberFormat="1" applyFont="1" applyBorder="1" applyAlignment="1" applyProtection="1">
      <alignment horizontal="center" vertical="center"/>
      <protection hidden="1"/>
    </xf>
    <xf numFmtId="0" fontId="3" fillId="2" borderId="0" xfId="0" applyFont="1" applyFill="1" applyAlignment="1">
      <alignment horizontal="right"/>
    </xf>
    <xf numFmtId="0" fontId="3" fillId="2" borderId="0" xfId="0" applyFont="1" applyFill="1"/>
    <xf numFmtId="164" fontId="3" fillId="2" borderId="0" xfId="0" applyNumberFormat="1" applyFont="1" applyFill="1" applyProtection="1">
      <protection hidden="1"/>
    </xf>
    <xf numFmtId="4" fontId="3" fillId="2" borderId="0" xfId="0" applyNumberFormat="1" applyFont="1" applyFill="1" applyProtection="1">
      <protection hidden="1"/>
    </xf>
    <xf numFmtId="49" fontId="3" fillId="2" borderId="0" xfId="0" applyNumberFormat="1" applyFont="1" applyFill="1" applyAlignment="1">
      <alignment horizontal="right"/>
    </xf>
    <xf numFmtId="167" fontId="3" fillId="2" borderId="0" xfId="0" applyNumberFormat="1" applyFont="1" applyFill="1"/>
    <xf numFmtId="0" fontId="38" fillId="0" borderId="0" xfId="0" applyFont="1" applyAlignment="1">
      <alignment vertical="center"/>
    </xf>
    <xf numFmtId="3" fontId="12" fillId="0" borderId="61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right"/>
      <protection hidden="1"/>
    </xf>
    <xf numFmtId="164" fontId="58" fillId="7" borderId="32" xfId="2" applyNumberFormat="1" applyFont="1" applyFill="1" applyBorder="1" applyAlignment="1" applyProtection="1">
      <alignment horizontal="center" vertical="center"/>
      <protection locked="0"/>
    </xf>
    <xf numFmtId="164" fontId="58" fillId="7" borderId="33" xfId="2" applyNumberFormat="1" applyFont="1" applyFill="1" applyBorder="1" applyAlignment="1" applyProtection="1">
      <alignment horizontal="center" vertical="center"/>
      <protection locked="0"/>
    </xf>
    <xf numFmtId="166" fontId="12" fillId="0" borderId="45" xfId="0" applyNumberFormat="1" applyFont="1" applyBorder="1" applyAlignment="1">
      <alignment horizontal="right" vertical="center"/>
    </xf>
    <xf numFmtId="166" fontId="11" fillId="0" borderId="76" xfId="0" applyNumberFormat="1" applyFont="1" applyBorder="1" applyAlignment="1">
      <alignment horizontal="right" vertical="center"/>
    </xf>
    <xf numFmtId="0" fontId="86" fillId="13" borderId="49" xfId="0" applyFont="1" applyFill="1" applyBorder="1" applyAlignment="1">
      <alignment vertical="center"/>
    </xf>
    <xf numFmtId="0" fontId="86" fillId="13" borderId="32" xfId="0" applyFont="1" applyFill="1" applyBorder="1" applyAlignment="1">
      <alignment horizontal="left" vertical="center"/>
    </xf>
    <xf numFmtId="3" fontId="7" fillId="8" borderId="53" xfId="0" applyNumberFormat="1" applyFont="1" applyFill="1" applyBorder="1" applyAlignment="1">
      <alignment horizontal="center" vertical="center"/>
    </xf>
    <xf numFmtId="0" fontId="45" fillId="0" borderId="0" xfId="0" applyFont="1" applyAlignment="1" applyProtection="1">
      <alignment vertical="center"/>
      <protection hidden="1"/>
    </xf>
    <xf numFmtId="0" fontId="37" fillId="0" borderId="0" xfId="0" applyFont="1" applyProtection="1">
      <protection hidden="1"/>
    </xf>
    <xf numFmtId="3" fontId="12" fillId="0" borderId="0" xfId="0" applyNumberFormat="1" applyFont="1" applyAlignment="1" applyProtection="1">
      <alignment horizontal="center"/>
      <protection hidden="1"/>
    </xf>
    <xf numFmtId="0" fontId="12" fillId="0" borderId="152" xfId="0" applyFont="1" applyBorder="1" applyProtection="1">
      <protection hidden="1"/>
    </xf>
    <xf numFmtId="3" fontId="12" fillId="0" borderId="152" xfId="0" applyNumberFormat="1" applyFont="1" applyBorder="1" applyAlignment="1" applyProtection="1">
      <alignment horizontal="center"/>
      <protection hidden="1"/>
    </xf>
    <xf numFmtId="3" fontId="12" fillId="0" borderId="153" xfId="0" applyNumberFormat="1" applyFont="1" applyBorder="1" applyAlignment="1" applyProtection="1">
      <alignment horizontal="center"/>
      <protection hidden="1"/>
    </xf>
    <xf numFmtId="0" fontId="12" fillId="0" borderId="16" xfId="0" applyFont="1" applyBorder="1" applyAlignment="1" applyProtection="1">
      <alignment horizontal="left"/>
      <protection hidden="1"/>
    </xf>
    <xf numFmtId="0" fontId="12" fillId="0" borderId="59" xfId="0" applyFont="1" applyBorder="1" applyAlignment="1" applyProtection="1">
      <alignment horizontal="left"/>
      <protection hidden="1"/>
    </xf>
    <xf numFmtId="0" fontId="0" fillId="0" borderId="10" xfId="0" applyBorder="1" applyProtection="1">
      <protection hidden="1"/>
    </xf>
    <xf numFmtId="0" fontId="0" fillId="0" borderId="44" xfId="0" applyBorder="1" applyProtection="1">
      <protection hidden="1"/>
    </xf>
    <xf numFmtId="0" fontId="12" fillId="0" borderId="75" xfId="0" applyFont="1" applyBorder="1" applyAlignment="1">
      <alignment horizontal="right" vertical="center"/>
    </xf>
    <xf numFmtId="3" fontId="12" fillId="0" borderId="45" xfId="0" applyNumberFormat="1" applyFont="1" applyBorder="1" applyAlignment="1">
      <alignment horizontal="right" vertical="center"/>
    </xf>
    <xf numFmtId="3" fontId="12" fillId="0" borderId="45" xfId="0" quotePrefix="1" applyNumberFormat="1" applyFont="1" applyBorder="1" applyAlignment="1">
      <alignment horizontal="right" vertical="center"/>
    </xf>
    <xf numFmtId="3" fontId="12" fillId="0" borderId="34" xfId="0" applyNumberFormat="1" applyFont="1" applyBorder="1" applyAlignment="1">
      <alignment horizontal="right" vertical="center"/>
    </xf>
    <xf numFmtId="0" fontId="12" fillId="7" borderId="10" xfId="0" applyFont="1" applyFill="1" applyBorder="1" applyAlignment="1" applyProtection="1">
      <alignment horizontal="left" vertical="center"/>
      <protection locked="0"/>
    </xf>
    <xf numFmtId="0" fontId="12" fillId="0" borderId="25" xfId="0" applyFont="1" applyBorder="1" applyAlignment="1">
      <alignment horizontal="center" vertical="center"/>
    </xf>
    <xf numFmtId="0" fontId="12" fillId="7" borderId="16" xfId="0" applyFont="1" applyFill="1" applyBorder="1" applyAlignment="1" applyProtection="1">
      <alignment horizontal="left" vertical="center"/>
      <protection locked="0"/>
    </xf>
    <xf numFmtId="0" fontId="11" fillId="0" borderId="10" xfId="0" applyFont="1" applyBorder="1" applyAlignment="1" applyProtection="1">
      <alignment horizontal="left" vertical="center" indent="1"/>
      <protection hidden="1"/>
    </xf>
    <xf numFmtId="0" fontId="12" fillId="0" borderId="10" xfId="0" applyFont="1" applyBorder="1" applyAlignment="1" applyProtection="1">
      <alignment horizontal="center" vertical="center"/>
      <protection hidden="1"/>
    </xf>
    <xf numFmtId="3" fontId="11" fillId="0" borderId="10" xfId="0" applyNumberFormat="1" applyFont="1" applyBorder="1" applyAlignment="1" applyProtection="1">
      <alignment horizontal="center" vertical="center"/>
      <protection hidden="1"/>
    </xf>
    <xf numFmtId="3" fontId="11" fillId="0" borderId="10" xfId="0" applyNumberFormat="1" applyFont="1" applyBorder="1" applyAlignment="1" applyProtection="1">
      <alignment horizontal="center"/>
      <protection hidden="1"/>
    </xf>
    <xf numFmtId="3" fontId="7" fillId="0" borderId="17" xfId="0" applyNumberFormat="1" applyFont="1" applyBorder="1" applyAlignment="1" applyProtection="1">
      <alignment horizontal="center"/>
      <protection hidden="1"/>
    </xf>
    <xf numFmtId="3" fontId="7" fillId="0" borderId="20" xfId="0" applyNumberFormat="1" applyFont="1" applyBorder="1" applyAlignment="1" applyProtection="1">
      <alignment horizontal="center"/>
      <protection hidden="1"/>
    </xf>
    <xf numFmtId="164" fontId="12" fillId="7" borderId="19" xfId="0" applyNumberFormat="1" applyFont="1" applyFill="1" applyBorder="1" applyAlignment="1" applyProtection="1">
      <alignment horizontal="center" vertical="center"/>
      <protection locked="0"/>
    </xf>
    <xf numFmtId="168" fontId="12" fillId="0" borderId="61" xfId="0" applyNumberFormat="1" applyFont="1" applyBorder="1" applyAlignment="1" applyProtection="1">
      <alignment horizontal="center" vertical="center"/>
      <protection hidden="1"/>
    </xf>
    <xf numFmtId="168" fontId="12" fillId="0" borderId="51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/>
    </xf>
    <xf numFmtId="0" fontId="76" fillId="0" borderId="18" xfId="0" applyFont="1" applyBorder="1" applyAlignment="1" applyProtection="1">
      <alignment vertical="center"/>
      <protection hidden="1"/>
    </xf>
    <xf numFmtId="0" fontId="76" fillId="0" borderId="25" xfId="0" applyFont="1" applyBorder="1" applyAlignment="1" applyProtection="1">
      <alignment vertical="center"/>
      <protection hidden="1"/>
    </xf>
    <xf numFmtId="0" fontId="76" fillId="0" borderId="23" xfId="0" applyFont="1" applyBorder="1" applyAlignment="1" applyProtection="1">
      <alignment vertical="center"/>
      <protection hidden="1"/>
    </xf>
    <xf numFmtId="0" fontId="11" fillId="7" borderId="10" xfId="0" applyFont="1" applyFill="1" applyBorder="1" applyAlignment="1" applyProtection="1">
      <alignment vertical="center"/>
      <protection locked="0"/>
    </xf>
    <xf numFmtId="16" fontId="11" fillId="0" borderId="10" xfId="0" applyNumberFormat="1" applyFont="1" applyBorder="1" applyAlignment="1">
      <alignment horizontal="left" vertical="center"/>
    </xf>
    <xf numFmtId="0" fontId="42" fillId="0" borderId="72" xfId="0" applyFont="1" applyBorder="1" applyAlignment="1" applyProtection="1">
      <alignment horizontal="left" vertical="center"/>
      <protection hidden="1"/>
    </xf>
    <xf numFmtId="0" fontId="42" fillId="0" borderId="73" xfId="0" applyFont="1" applyBorder="1" applyAlignment="1" applyProtection="1">
      <alignment horizontal="left" vertical="center"/>
      <protection hidden="1"/>
    </xf>
    <xf numFmtId="0" fontId="51" fillId="0" borderId="27" xfId="0" applyFont="1" applyBorder="1" applyAlignment="1" applyProtection="1">
      <alignment horizontal="left"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0" xfId="0" applyFont="1" applyProtection="1">
      <protection hidden="1"/>
    </xf>
    <xf numFmtId="17" fontId="42" fillId="0" borderId="47" xfId="0" applyNumberFormat="1" applyFont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4" fillId="3" borderId="134" xfId="0" applyFont="1" applyFill="1" applyBorder="1" applyAlignment="1" applyProtection="1">
      <alignment horizontal="center" vertical="center"/>
      <protection hidden="1"/>
    </xf>
    <xf numFmtId="0" fontId="4" fillId="3" borderId="137" xfId="0" applyFont="1" applyFill="1" applyBorder="1" applyAlignment="1" applyProtection="1">
      <alignment horizontal="center" vertical="center"/>
      <protection hidden="1"/>
    </xf>
    <xf numFmtId="0" fontId="55" fillId="0" borderId="45" xfId="0" applyFont="1" applyBorder="1" applyAlignment="1">
      <alignment vertical="center"/>
    </xf>
    <xf numFmtId="0" fontId="55" fillId="0" borderId="46" xfId="0" applyFont="1" applyBorder="1" applyAlignment="1">
      <alignment horizontal="right" vertical="center"/>
    </xf>
    <xf numFmtId="0" fontId="42" fillId="0" borderId="45" xfId="0" applyFont="1" applyBorder="1" applyAlignment="1">
      <alignment vertical="center"/>
    </xf>
    <xf numFmtId="0" fontId="42" fillId="0" borderId="46" xfId="0" applyFont="1" applyBorder="1" applyAlignment="1">
      <alignment horizontal="right" vertical="center"/>
    </xf>
    <xf numFmtId="10" fontId="58" fillId="7" borderId="17" xfId="0" applyNumberFormat="1" applyFont="1" applyFill="1" applyBorder="1" applyAlignment="1" applyProtection="1">
      <alignment horizontal="center" vertical="center"/>
      <protection locked="0"/>
    </xf>
    <xf numFmtId="10" fontId="58" fillId="7" borderId="35" xfId="0" applyNumberFormat="1" applyFont="1" applyFill="1" applyBorder="1" applyAlignment="1" applyProtection="1">
      <alignment horizontal="center" vertical="center"/>
      <protection locked="0"/>
    </xf>
    <xf numFmtId="0" fontId="7" fillId="0" borderId="185" xfId="0" applyFont="1" applyBorder="1" applyAlignment="1" applyProtection="1">
      <alignment vertical="center"/>
      <protection hidden="1"/>
    </xf>
    <xf numFmtId="0" fontId="7" fillId="0" borderId="32" xfId="0" applyFont="1" applyBorder="1" applyAlignment="1" applyProtection="1">
      <alignment horizontal="center" vertical="center" wrapText="1"/>
      <protection hidden="1"/>
    </xf>
    <xf numFmtId="0" fontId="3" fillId="0" borderId="16" xfId="0" applyFont="1" applyBorder="1" applyAlignment="1">
      <alignment horizontal="left" vertical="center"/>
    </xf>
    <xf numFmtId="0" fontId="7" fillId="0" borderId="60" xfId="0" applyFont="1" applyBorder="1" applyAlignment="1" applyProtection="1">
      <alignment horizontal="center" vertical="center" wrapText="1"/>
      <protection hidden="1"/>
    </xf>
    <xf numFmtId="0" fontId="7" fillId="0" borderId="60" xfId="0" applyFont="1" applyBorder="1" applyAlignment="1">
      <alignment horizontal="center" vertical="center"/>
    </xf>
    <xf numFmtId="3" fontId="41" fillId="7" borderId="17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27" xfId="0" applyFont="1" applyBorder="1"/>
    <xf numFmtId="3" fontId="11" fillId="0" borderId="28" xfId="0" applyNumberFormat="1" applyFont="1" applyBorder="1"/>
    <xf numFmtId="3" fontId="12" fillId="0" borderId="28" xfId="0" applyNumberFormat="1" applyFont="1" applyBorder="1"/>
    <xf numFmtId="0" fontId="0" fillId="0" borderId="13" xfId="0" applyBorder="1"/>
    <xf numFmtId="3" fontId="0" fillId="0" borderId="26" xfId="0" applyNumberFormat="1" applyBorder="1"/>
    <xf numFmtId="165" fontId="3" fillId="0" borderId="16" xfId="0" applyNumberFormat="1" applyFont="1" applyBorder="1" applyAlignment="1">
      <alignment horizontal="center" vertical="center"/>
    </xf>
    <xf numFmtId="3" fontId="12" fillId="0" borderId="16" xfId="0" applyNumberFormat="1" applyFont="1" applyBorder="1" applyAlignment="1" applyProtection="1">
      <alignment horizontal="center" vertical="center"/>
      <protection hidden="1"/>
    </xf>
    <xf numFmtId="165" fontId="0" fillId="0" borderId="18" xfId="0" applyNumberFormat="1" applyBorder="1" applyAlignment="1">
      <alignment horizontal="center" vertical="center"/>
    </xf>
    <xf numFmtId="0" fontId="4" fillId="0" borderId="114" xfId="0" applyFont="1" applyBorder="1" applyAlignment="1">
      <alignment horizontal="left" vertical="center" indent="1"/>
    </xf>
    <xf numFmtId="0" fontId="4" fillId="0" borderId="47" xfId="0" applyFont="1" applyBorder="1" applyAlignment="1">
      <alignment horizontal="left" vertical="center" indent="1"/>
    </xf>
    <xf numFmtId="0" fontId="5" fillId="0" borderId="58" xfId="0" applyFont="1" applyBorder="1" applyAlignment="1" applyProtection="1">
      <alignment horizontal="center" vertical="center"/>
      <protection hidden="1"/>
    </xf>
    <xf numFmtId="3" fontId="7" fillId="3" borderId="35" xfId="0" applyNumberFormat="1" applyFont="1" applyFill="1" applyBorder="1" applyAlignment="1">
      <alignment horizontal="center" vertical="center"/>
    </xf>
    <xf numFmtId="0" fontId="82" fillId="13" borderId="150" xfId="0" applyFont="1" applyFill="1" applyBorder="1" applyAlignment="1">
      <alignment horizontal="center" vertical="center" wrapText="1"/>
    </xf>
    <xf numFmtId="0" fontId="82" fillId="13" borderId="40" xfId="0" applyFont="1" applyFill="1" applyBorder="1" applyAlignment="1">
      <alignment horizontal="center" vertical="center" wrapText="1"/>
    </xf>
    <xf numFmtId="0" fontId="82" fillId="13" borderId="151" xfId="0" applyFont="1" applyFill="1" applyBorder="1" applyAlignment="1">
      <alignment horizontal="center" vertical="center" wrapText="1"/>
    </xf>
    <xf numFmtId="0" fontId="42" fillId="0" borderId="20" xfId="0" applyFont="1" applyBorder="1" applyAlignment="1">
      <alignment horizontal="left" vertical="center"/>
    </xf>
    <xf numFmtId="1" fontId="8" fillId="0" borderId="0" xfId="0" applyNumberFormat="1" applyFont="1" applyAlignment="1">
      <alignment horizontal="left" vertical="center"/>
    </xf>
    <xf numFmtId="0" fontId="8" fillId="2" borderId="0" xfId="0" applyFont="1" applyFill="1" applyAlignment="1">
      <alignment horizontal="left"/>
    </xf>
    <xf numFmtId="1" fontId="8" fillId="2" borderId="0" xfId="0" applyNumberFormat="1" applyFont="1" applyFill="1" applyAlignment="1">
      <alignment horizontal="left"/>
    </xf>
    <xf numFmtId="0" fontId="8" fillId="2" borderId="0" xfId="0" applyFont="1" applyFill="1"/>
    <xf numFmtId="0" fontId="26" fillId="2" borderId="0" xfId="0" applyFont="1" applyFill="1" applyAlignment="1" applyProtection="1">
      <alignment vertical="center"/>
      <protection hidden="1"/>
    </xf>
    <xf numFmtId="0" fontId="3" fillId="5" borderId="19" xfId="0" applyFont="1" applyFill="1" applyBorder="1" applyAlignment="1" applyProtection="1">
      <alignment horizontal="center" vertical="center"/>
      <protection hidden="1"/>
    </xf>
    <xf numFmtId="0" fontId="3" fillId="5" borderId="32" xfId="0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>
      <alignment horizontal="center"/>
    </xf>
    <xf numFmtId="17" fontId="6" fillId="0" borderId="0" xfId="0" applyNumberFormat="1" applyFont="1" applyAlignment="1">
      <alignment horizontal="center" vertical="center"/>
    </xf>
    <xf numFmtId="3" fontId="0" fillId="0" borderId="0" xfId="0" applyNumberFormat="1" applyAlignment="1">
      <alignment vertical="top"/>
    </xf>
    <xf numFmtId="1" fontId="0" fillId="0" borderId="0" xfId="0" applyNumberFormat="1" applyAlignment="1">
      <alignment vertical="top"/>
    </xf>
    <xf numFmtId="0" fontId="4" fillId="0" borderId="0" xfId="0" applyFont="1" applyAlignment="1">
      <alignment vertical="top"/>
    </xf>
    <xf numFmtId="1" fontId="6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3" fontId="38" fillId="0" borderId="0" xfId="0" applyNumberFormat="1" applyFont="1" applyAlignment="1">
      <alignment vertical="top"/>
    </xf>
    <xf numFmtId="1" fontId="38" fillId="0" borderId="0" xfId="0" applyNumberFormat="1" applyFont="1" applyAlignment="1">
      <alignment vertical="top"/>
    </xf>
    <xf numFmtId="3" fontId="6" fillId="0" borderId="0" xfId="0" applyNumberFormat="1" applyFont="1" applyAlignment="1">
      <alignment horizontal="left"/>
    </xf>
    <xf numFmtId="0" fontId="12" fillId="5" borderId="23" xfId="0" applyFont="1" applyFill="1" applyBorder="1" applyAlignment="1">
      <alignment horizontal="left" vertical="center"/>
    </xf>
    <xf numFmtId="0" fontId="3" fillId="5" borderId="16" xfId="0" applyFont="1" applyFill="1" applyBorder="1" applyAlignment="1">
      <alignment horizontal="left" vertical="center"/>
    </xf>
    <xf numFmtId="3" fontId="6" fillId="6" borderId="0" xfId="0" applyNumberFormat="1" applyFont="1" applyFill="1" applyAlignment="1">
      <alignment horizontal="left"/>
    </xf>
    <xf numFmtId="0" fontId="0" fillId="6" borderId="0" xfId="0" applyFill="1"/>
    <xf numFmtId="0" fontId="6" fillId="6" borderId="0" xfId="0" applyFont="1" applyFill="1" applyAlignment="1">
      <alignment horizontal="left"/>
    </xf>
    <xf numFmtId="1" fontId="6" fillId="0" borderId="0" xfId="0" applyNumberFormat="1" applyFont="1" applyAlignment="1">
      <alignment horizontal="right"/>
    </xf>
    <xf numFmtId="3" fontId="41" fillId="8" borderId="17" xfId="0" applyNumberFormat="1" applyFont="1" applyFill="1" applyBorder="1" applyAlignment="1" applyProtection="1">
      <alignment horizontal="center" vertical="center"/>
      <protection hidden="1"/>
    </xf>
    <xf numFmtId="16" fontId="12" fillId="0" borderId="27" xfId="0" applyNumberFormat="1" applyFont="1" applyBorder="1" applyAlignment="1">
      <alignment horizontal="center" vertical="center"/>
    </xf>
    <xf numFmtId="1" fontId="12" fillId="0" borderId="0" xfId="0" applyNumberFormat="1" applyFont="1" applyAlignment="1">
      <alignment horizontal="right" vertical="center"/>
    </xf>
    <xf numFmtId="0" fontId="12" fillId="0" borderId="188" xfId="0" applyFont="1" applyBorder="1" applyAlignment="1">
      <alignment horizontal="center" vertical="center"/>
    </xf>
    <xf numFmtId="0" fontId="12" fillId="0" borderId="189" xfId="0" applyFont="1" applyBorder="1" applyAlignment="1">
      <alignment horizontal="left" vertical="center"/>
    </xf>
    <xf numFmtId="3" fontId="12" fillId="7" borderId="187" xfId="0" applyNumberFormat="1" applyFont="1" applyFill="1" applyBorder="1" applyAlignment="1" applyProtection="1">
      <alignment horizontal="center" vertical="center"/>
      <protection locked="0"/>
    </xf>
    <xf numFmtId="0" fontId="12" fillId="0" borderId="189" xfId="0" applyFont="1" applyBorder="1" applyAlignment="1">
      <alignment vertical="center"/>
    </xf>
    <xf numFmtId="3" fontId="4" fillId="7" borderId="30" xfId="0" applyNumberFormat="1" applyFont="1" applyFill="1" applyBorder="1" applyAlignment="1" applyProtection="1">
      <alignment horizontal="center" vertical="center"/>
      <protection locked="0" hidden="1"/>
    </xf>
    <xf numFmtId="3" fontId="4" fillId="7" borderId="29" xfId="0" applyNumberFormat="1" applyFont="1" applyFill="1" applyBorder="1" applyAlignment="1" applyProtection="1">
      <alignment horizontal="center" vertical="center"/>
      <protection locked="0" hidden="1"/>
    </xf>
    <xf numFmtId="20" fontId="35" fillId="0" borderId="18" xfId="0" applyNumberFormat="1" applyFont="1" applyBorder="1"/>
    <xf numFmtId="0" fontId="35" fillId="0" borderId="25" xfId="0" applyFont="1" applyBorder="1" applyAlignment="1" applyProtection="1">
      <alignment horizontal="left" vertical="center"/>
      <protection hidden="1"/>
    </xf>
    <xf numFmtId="0" fontId="11" fillId="5" borderId="18" xfId="0" applyFont="1" applyFill="1" applyBorder="1" applyAlignment="1" applyProtection="1">
      <alignment horizontal="left" vertical="center"/>
      <protection hidden="1"/>
    </xf>
    <xf numFmtId="0" fontId="11" fillId="5" borderId="7" xfId="0" applyFont="1" applyFill="1" applyBorder="1" applyAlignment="1" applyProtection="1">
      <alignment horizontal="left" vertical="center"/>
      <protection hidden="1"/>
    </xf>
    <xf numFmtId="0" fontId="11" fillId="5" borderId="8" xfId="0" applyFont="1" applyFill="1" applyBorder="1" applyAlignment="1" applyProtection="1">
      <alignment horizontal="left" vertical="center"/>
      <protection hidden="1"/>
    </xf>
    <xf numFmtId="0" fontId="11" fillId="5" borderId="23" xfId="0" applyFont="1" applyFill="1" applyBorder="1" applyAlignment="1" applyProtection="1">
      <alignment horizontal="left" vertical="center"/>
      <protection hidden="1"/>
    </xf>
    <xf numFmtId="0" fontId="11" fillId="5" borderId="16" xfId="0" applyFont="1" applyFill="1" applyBorder="1" applyAlignment="1" applyProtection="1">
      <alignment horizontal="left" vertical="center"/>
      <protection hidden="1"/>
    </xf>
    <xf numFmtId="0" fontId="11" fillId="5" borderId="59" xfId="0" applyFont="1" applyFill="1" applyBorder="1" applyAlignment="1" applyProtection="1">
      <alignment horizontal="left" vertical="center"/>
      <protection hidden="1"/>
    </xf>
    <xf numFmtId="0" fontId="8" fillId="14" borderId="0" xfId="0" applyFont="1" applyFill="1" applyAlignment="1">
      <alignment horizontal="center" vertical="center"/>
    </xf>
    <xf numFmtId="1" fontId="8" fillId="14" borderId="0" xfId="0" applyNumberFormat="1" applyFont="1" applyFill="1" applyAlignment="1">
      <alignment horizontal="center" vertical="center"/>
    </xf>
    <xf numFmtId="3" fontId="42" fillId="0" borderId="60" xfId="0" applyNumberFormat="1" applyFont="1" applyBorder="1" applyAlignment="1" applyProtection="1">
      <alignment horizontal="center" vertical="center"/>
      <protection locked="0" hidden="1"/>
    </xf>
    <xf numFmtId="3" fontId="41" fillId="5" borderId="17" xfId="0" applyNumberFormat="1" applyFont="1" applyFill="1" applyBorder="1" applyAlignment="1">
      <alignment horizontal="center" vertical="center"/>
    </xf>
    <xf numFmtId="0" fontId="8" fillId="0" borderId="0" xfId="0" applyFont="1" applyAlignment="1" applyProtection="1">
      <alignment horizontal="left" vertical="center" indent="1"/>
      <protection hidden="1"/>
    </xf>
    <xf numFmtId="0" fontId="9" fillId="0" borderId="0" xfId="0" applyFont="1" applyAlignment="1">
      <alignment vertical="top"/>
    </xf>
    <xf numFmtId="0" fontId="25" fillId="2" borderId="0" xfId="0" applyFont="1" applyFill="1" applyAlignment="1">
      <alignment vertical="top"/>
    </xf>
    <xf numFmtId="0" fontId="26" fillId="2" borderId="0" xfId="0" applyFont="1" applyFill="1" applyAlignment="1" applyProtection="1">
      <alignment vertical="top"/>
      <protection hidden="1"/>
    </xf>
    <xf numFmtId="0" fontId="9" fillId="0" borderId="0" xfId="0" applyFont="1" applyAlignment="1">
      <alignment horizontal="left" indent="1"/>
    </xf>
    <xf numFmtId="0" fontId="8" fillId="0" borderId="0" xfId="0" applyFont="1" applyAlignment="1" applyProtection="1">
      <alignment horizontal="center" vertical="center"/>
      <protection locked="0"/>
    </xf>
    <xf numFmtId="1" fontId="8" fillId="0" borderId="0" xfId="0" applyNumberFormat="1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indent="1"/>
      <protection hidden="1"/>
    </xf>
    <xf numFmtId="14" fontId="6" fillId="7" borderId="16" xfId="0" applyNumberFormat="1" applyFont="1" applyFill="1" applyBorder="1" applyAlignment="1" applyProtection="1">
      <alignment horizontal="left" vertical="center"/>
      <protection locked="0"/>
    </xf>
    <xf numFmtId="14" fontId="6" fillId="0" borderId="0" xfId="0" applyNumberFormat="1" applyFont="1" applyAlignment="1" applyProtection="1">
      <alignment horizontal="left" vertical="center"/>
      <protection locked="0"/>
    </xf>
    <xf numFmtId="0" fontId="83" fillId="0" borderId="0" xfId="0" applyFont="1" applyAlignment="1">
      <alignment horizontal="center" vertical="center"/>
    </xf>
    <xf numFmtId="1" fontId="8" fillId="2" borderId="0" xfId="0" applyNumberFormat="1" applyFont="1" applyFill="1" applyAlignment="1" applyProtection="1">
      <alignment horizontal="left"/>
      <protection hidden="1"/>
    </xf>
    <xf numFmtId="0" fontId="11" fillId="0" borderId="0" xfId="0" applyFont="1" applyAlignment="1">
      <alignment horizontal="right"/>
    </xf>
    <xf numFmtId="0" fontId="93" fillId="0" borderId="72" xfId="0" applyFont="1" applyBorder="1" applyAlignment="1" applyProtection="1">
      <alignment horizontal="left" vertical="center"/>
      <protection hidden="1"/>
    </xf>
    <xf numFmtId="0" fontId="93" fillId="0" borderId="73" xfId="0" applyFont="1" applyBorder="1" applyAlignment="1" applyProtection="1">
      <alignment horizontal="left" vertical="center"/>
      <protection hidden="1"/>
    </xf>
    <xf numFmtId="0" fontId="93" fillId="0" borderId="116" xfId="0" applyFont="1" applyBorder="1" applyAlignment="1" applyProtection="1">
      <alignment horizontal="left" vertical="center"/>
      <protection hidden="1"/>
    </xf>
    <xf numFmtId="0" fontId="91" fillId="0" borderId="72" xfId="0" applyFont="1" applyBorder="1" applyAlignment="1" applyProtection="1">
      <alignment horizontal="left" vertical="center"/>
      <protection hidden="1"/>
    </xf>
    <xf numFmtId="0" fontId="91" fillId="0" borderId="73" xfId="0" applyFont="1" applyBorder="1" applyAlignment="1" applyProtection="1">
      <alignment horizontal="left" vertical="center"/>
      <protection hidden="1"/>
    </xf>
    <xf numFmtId="0" fontId="91" fillId="0" borderId="116" xfId="0" applyFont="1" applyBorder="1" applyAlignment="1" applyProtection="1">
      <alignment horizontal="left" vertical="center"/>
      <protection hidden="1"/>
    </xf>
    <xf numFmtId="0" fontId="91" fillId="0" borderId="72" xfId="0" applyFont="1" applyBorder="1" applyAlignment="1" applyProtection="1">
      <alignment vertical="center"/>
      <protection hidden="1"/>
    </xf>
    <xf numFmtId="0" fontId="91" fillId="0" borderId="73" xfId="0" applyFont="1" applyBorder="1" applyAlignment="1" applyProtection="1">
      <alignment vertical="center"/>
      <protection hidden="1"/>
    </xf>
    <xf numFmtId="0" fontId="91" fillId="0" borderId="116" xfId="0" applyFont="1" applyBorder="1" applyAlignment="1" applyProtection="1">
      <alignment vertical="center"/>
      <protection hidden="1"/>
    </xf>
    <xf numFmtId="0" fontId="12" fillId="0" borderId="28" xfId="0" applyFont="1" applyBorder="1" applyAlignment="1" applyProtection="1">
      <alignment vertical="center"/>
      <protection locked="0"/>
    </xf>
    <xf numFmtId="0" fontId="12" fillId="0" borderId="13" xfId="0" applyFont="1" applyBorder="1" applyAlignment="1" applyProtection="1">
      <alignment vertical="center"/>
      <protection locked="0"/>
    </xf>
    <xf numFmtId="0" fontId="12" fillId="0" borderId="34" xfId="0" applyFont="1" applyBorder="1" applyAlignment="1" applyProtection="1">
      <alignment vertical="center"/>
      <protection locked="0"/>
    </xf>
    <xf numFmtId="0" fontId="12" fillId="0" borderId="26" xfId="0" applyFont="1" applyBorder="1" applyAlignment="1" applyProtection="1">
      <alignment vertical="center"/>
      <protection locked="0"/>
    </xf>
    <xf numFmtId="3" fontId="11" fillId="0" borderId="0" xfId="0" applyNumberFormat="1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12" fillId="5" borderId="0" xfId="0" applyFont="1" applyFill="1" applyAlignment="1">
      <alignment horizontal="center" vertical="center"/>
    </xf>
    <xf numFmtId="4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40" fillId="7" borderId="38" xfId="0" applyNumberFormat="1" applyFont="1" applyFill="1" applyBorder="1" applyAlignment="1" applyProtection="1">
      <alignment horizontal="center" vertical="center"/>
      <protection locked="0"/>
    </xf>
    <xf numFmtId="0" fontId="4" fillId="0" borderId="47" xfId="0" applyFont="1" applyBorder="1" applyAlignment="1">
      <alignment vertical="center"/>
    </xf>
    <xf numFmtId="0" fontId="11" fillId="0" borderId="181" xfId="0" applyFont="1" applyBorder="1" applyAlignment="1" applyProtection="1">
      <alignment horizontal="left" vertical="center"/>
      <protection hidden="1"/>
    </xf>
    <xf numFmtId="0" fontId="91" fillId="0" borderId="0" xfId="0" applyFont="1" applyAlignment="1" applyProtection="1">
      <alignment horizontal="left" vertical="center"/>
      <protection hidden="1"/>
    </xf>
    <xf numFmtId="2" fontId="11" fillId="0" borderId="181" xfId="0" applyNumberFormat="1" applyFont="1" applyBorder="1" applyAlignment="1" applyProtection="1">
      <alignment horizontal="left" vertical="center"/>
      <protection hidden="1"/>
    </xf>
    <xf numFmtId="164" fontId="12" fillId="0" borderId="0" xfId="0" applyNumberFormat="1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horizontal="left" vertical="center" wrapText="1"/>
      <protection locked="0"/>
    </xf>
    <xf numFmtId="0" fontId="42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center"/>
      <protection locked="0"/>
    </xf>
    <xf numFmtId="0" fontId="12" fillId="0" borderId="31" xfId="0" applyFont="1" applyBorder="1" applyAlignment="1" applyProtection="1">
      <alignment horizontal="left" vertical="center" wrapText="1"/>
      <protection locked="0"/>
    </xf>
    <xf numFmtId="0" fontId="77" fillId="0" borderId="0" xfId="0" applyFont="1" applyAlignment="1" applyProtection="1">
      <alignment vertical="center"/>
      <protection locked="0"/>
    </xf>
    <xf numFmtId="0" fontId="55" fillId="0" borderId="25" xfId="0" applyFont="1" applyBorder="1" applyAlignment="1" applyProtection="1">
      <alignment vertical="center"/>
      <protection locked="0"/>
    </xf>
    <xf numFmtId="0" fontId="76" fillId="0" borderId="23" xfId="0" applyFont="1" applyBorder="1" applyAlignment="1" applyProtection="1">
      <alignment vertical="center"/>
      <protection locked="0"/>
    </xf>
    <xf numFmtId="167" fontId="7" fillId="0" borderId="190" xfId="0" applyNumberFormat="1" applyFont="1" applyBorder="1" applyAlignment="1" applyProtection="1">
      <alignment horizontal="center" vertical="center"/>
      <protection hidden="1"/>
    </xf>
    <xf numFmtId="167" fontId="7" fillId="0" borderId="128" xfId="0" applyNumberFormat="1" applyFont="1" applyBorder="1" applyAlignment="1" applyProtection="1">
      <alignment horizontal="center" vertical="center"/>
      <protection hidden="1"/>
    </xf>
    <xf numFmtId="0" fontId="7" fillId="7" borderId="191" xfId="0" applyFont="1" applyFill="1" applyBorder="1" applyAlignment="1" applyProtection="1">
      <alignment vertical="center"/>
      <protection locked="0"/>
    </xf>
    <xf numFmtId="0" fontId="7" fillId="7" borderId="191" xfId="0" applyFont="1" applyFill="1" applyBorder="1" applyAlignment="1">
      <alignment vertical="center"/>
    </xf>
    <xf numFmtId="0" fontId="4" fillId="7" borderId="191" xfId="0" applyFont="1" applyFill="1" applyBorder="1" applyAlignment="1">
      <alignment vertical="center"/>
    </xf>
    <xf numFmtId="0" fontId="7" fillId="7" borderId="191" xfId="0" applyFont="1" applyFill="1" applyBorder="1" applyAlignment="1" applyProtection="1">
      <alignment horizontal="left" vertical="center"/>
      <protection locked="0"/>
    </xf>
    <xf numFmtId="0" fontId="7" fillId="7" borderId="191" xfId="0" applyFont="1" applyFill="1" applyBorder="1" applyAlignment="1" applyProtection="1">
      <alignment horizontal="left" vertical="center" wrapText="1"/>
      <protection locked="0"/>
    </xf>
    <xf numFmtId="0" fontId="0" fillId="7" borderId="191" xfId="0" applyFill="1" applyBorder="1" applyAlignment="1" applyProtection="1">
      <alignment horizontal="left" vertical="center" wrapText="1"/>
      <protection locked="0"/>
    </xf>
    <xf numFmtId="0" fontId="0" fillId="0" borderId="163" xfId="0" applyBorder="1"/>
    <xf numFmtId="0" fontId="3" fillId="7" borderId="191" xfId="0" applyFont="1" applyFill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horizontal="left" vertical="center"/>
      <protection hidden="1"/>
    </xf>
    <xf numFmtId="14" fontId="11" fillId="0" borderId="0" xfId="0" applyNumberFormat="1" applyFont="1" applyAlignment="1" applyProtection="1">
      <alignment horizontal="center" vertical="center"/>
      <protection hidden="1"/>
    </xf>
    <xf numFmtId="0" fontId="11" fillId="0" borderId="181" xfId="0" applyFont="1" applyBorder="1" applyAlignment="1" applyProtection="1">
      <alignment vertical="center"/>
      <protection hidden="1"/>
    </xf>
    <xf numFmtId="14" fontId="11" fillId="0" borderId="162" xfId="0" applyNumberFormat="1" applyFont="1" applyBorder="1" applyAlignment="1" applyProtection="1">
      <alignment horizontal="center" vertical="center"/>
      <protection hidden="1"/>
    </xf>
    <xf numFmtId="49" fontId="4" fillId="0" borderId="0" xfId="0" applyNumberFormat="1" applyFont="1" applyAlignment="1" applyProtection="1">
      <alignment vertical="center"/>
      <protection hidden="1"/>
    </xf>
    <xf numFmtId="49" fontId="11" fillId="0" borderId="181" xfId="0" applyNumberFormat="1" applyFont="1" applyBorder="1" applyAlignment="1" applyProtection="1">
      <alignment horizontal="left" vertical="center"/>
      <protection hidden="1"/>
    </xf>
    <xf numFmtId="14" fontId="6" fillId="0" borderId="0" xfId="0" applyNumberFormat="1" applyFont="1" applyAlignment="1" applyProtection="1">
      <alignment horizontal="left" vertical="center"/>
      <protection hidden="1"/>
    </xf>
    <xf numFmtId="0" fontId="81" fillId="13" borderId="106" xfId="0" applyFont="1" applyFill="1" applyBorder="1" applyAlignment="1">
      <alignment horizontal="right" vertical="center" wrapText="1" indent="1"/>
    </xf>
    <xf numFmtId="0" fontId="80" fillId="15" borderId="20" xfId="0" applyFont="1" applyFill="1" applyBorder="1" applyAlignment="1">
      <alignment horizontal="center" vertical="center"/>
    </xf>
    <xf numFmtId="0" fontId="80" fillId="15" borderId="10" xfId="0" applyFont="1" applyFill="1" applyBorder="1" applyAlignment="1">
      <alignment horizontal="center" vertical="center"/>
    </xf>
    <xf numFmtId="0" fontId="11" fillId="0" borderId="10" xfId="0" applyFont="1" applyBorder="1"/>
    <xf numFmtId="10" fontId="12" fillId="0" borderId="44" xfId="0" applyNumberFormat="1" applyFont="1" applyBorder="1" applyAlignment="1">
      <alignment horizontal="center"/>
    </xf>
    <xf numFmtId="3" fontId="7" fillId="7" borderId="54" xfId="0" applyNumberFormat="1" applyFont="1" applyFill="1" applyBorder="1" applyAlignment="1" applyProtection="1">
      <alignment horizontal="center" vertical="center"/>
      <protection locked="0"/>
    </xf>
    <xf numFmtId="167" fontId="7" fillId="3" borderId="66" xfId="0" applyNumberFormat="1" applyFont="1" applyFill="1" applyBorder="1" applyAlignment="1" applyProtection="1">
      <alignment horizontal="center" vertical="center"/>
      <protection hidden="1"/>
    </xf>
    <xf numFmtId="0" fontId="6" fillId="0" borderId="25" xfId="0" applyFont="1" applyBorder="1" applyAlignment="1" applyProtection="1">
      <alignment horizontal="center"/>
      <protection hidden="1"/>
    </xf>
    <xf numFmtId="0" fontId="11" fillId="0" borderId="20" xfId="0" applyFont="1" applyBorder="1"/>
    <xf numFmtId="0" fontId="0" fillId="0" borderId="44" xfId="0" applyBorder="1"/>
    <xf numFmtId="0" fontId="11" fillId="0" borderId="20" xfId="0" applyFont="1" applyBorder="1" applyAlignment="1">
      <alignment horizontal="right"/>
    </xf>
    <xf numFmtId="0" fontId="42" fillId="0" borderId="0" xfId="2" applyNumberFormat="1" applyFont="1" applyAlignment="1" applyProtection="1">
      <alignment vertical="center"/>
      <protection locked="0"/>
    </xf>
    <xf numFmtId="0" fontId="7" fillId="0" borderId="20" xfId="0" applyFont="1" applyBorder="1" applyAlignment="1">
      <alignment vertical="center"/>
    </xf>
    <xf numFmtId="3" fontId="7" fillId="5" borderId="17" xfId="0" applyNumberFormat="1" applyFont="1" applyFill="1" applyBorder="1" applyAlignment="1" applyProtection="1">
      <alignment horizontal="center" vertical="center"/>
      <protection locked="0"/>
    </xf>
    <xf numFmtId="3" fontId="7" fillId="5" borderId="32" xfId="0" applyNumberFormat="1" applyFont="1" applyFill="1" applyBorder="1" applyAlignment="1" applyProtection="1">
      <alignment horizontal="center" vertical="center"/>
      <protection hidden="1"/>
    </xf>
    <xf numFmtId="0" fontId="7" fillId="0" borderId="44" xfId="0" applyFont="1" applyBorder="1" applyAlignment="1">
      <alignment vertical="center"/>
    </xf>
    <xf numFmtId="3" fontId="7" fillId="5" borderId="17" xfId="0" applyNumberFormat="1" applyFont="1" applyFill="1" applyBorder="1" applyAlignment="1" applyProtection="1">
      <alignment horizontal="center" vertical="center"/>
      <protection hidden="1"/>
    </xf>
    <xf numFmtId="3" fontId="7" fillId="5" borderId="20" xfId="0" applyNumberFormat="1" applyFont="1" applyFill="1" applyBorder="1" applyAlignment="1" applyProtection="1">
      <alignment horizontal="center" vertical="center"/>
      <protection hidden="1"/>
    </xf>
    <xf numFmtId="0" fontId="6" fillId="0" borderId="23" xfId="0" applyFont="1" applyBorder="1" applyAlignment="1">
      <alignment horizontal="center" vertical="center"/>
    </xf>
    <xf numFmtId="166" fontId="41" fillId="7" borderId="192" xfId="0" applyNumberFormat="1" applyFont="1" applyFill="1" applyBorder="1" applyAlignment="1" applyProtection="1">
      <alignment horizontal="center" vertical="center"/>
      <protection locked="0"/>
    </xf>
    <xf numFmtId="166" fontId="41" fillId="7" borderId="17" xfId="0" applyNumberFormat="1" applyFont="1" applyFill="1" applyBorder="1" applyAlignment="1" applyProtection="1">
      <alignment horizontal="center" vertical="center"/>
      <protection locked="0"/>
    </xf>
    <xf numFmtId="14" fontId="11" fillId="0" borderId="0" xfId="0" applyNumberFormat="1" applyFont="1" applyAlignment="1" applyProtection="1">
      <alignment horizontal="left"/>
      <protection locked="0"/>
    </xf>
    <xf numFmtId="49" fontId="6" fillId="0" borderId="0" xfId="0" applyNumberFormat="1" applyFont="1" applyAlignment="1" applyProtection="1">
      <alignment horizontal="left" vertical="center"/>
      <protection locked="0"/>
    </xf>
    <xf numFmtId="0" fontId="9" fillId="0" borderId="193" xfId="0" applyFont="1" applyBorder="1"/>
    <xf numFmtId="14" fontId="11" fillId="7" borderId="194" xfId="0" applyNumberFormat="1" applyFont="1" applyFill="1" applyBorder="1" applyAlignment="1" applyProtection="1">
      <alignment horizontal="left"/>
      <protection locked="0"/>
    </xf>
    <xf numFmtId="0" fontId="9" fillId="0" borderId="193" xfId="0" applyFont="1" applyBorder="1" applyAlignment="1">
      <alignment vertical="center"/>
    </xf>
    <xf numFmtId="0" fontId="9" fillId="0" borderId="195" xfId="0" applyFont="1" applyBorder="1" applyAlignment="1">
      <alignment vertical="center"/>
    </xf>
    <xf numFmtId="49" fontId="6" fillId="7" borderId="197" xfId="0" applyNumberFormat="1" applyFont="1" applyFill="1" applyBorder="1" applyAlignment="1" applyProtection="1">
      <alignment horizontal="left" vertical="center"/>
      <protection locked="0"/>
    </xf>
    <xf numFmtId="49" fontId="6" fillId="7" borderId="198" xfId="0" applyNumberFormat="1" applyFont="1" applyFill="1" applyBorder="1" applyAlignment="1" applyProtection="1">
      <alignment horizontal="left" vertical="center"/>
      <protection locked="0"/>
    </xf>
    <xf numFmtId="166" fontId="41" fillId="0" borderId="157" xfId="0" applyNumberFormat="1" applyFont="1" applyBorder="1" applyAlignment="1">
      <alignment horizontal="center" vertical="center"/>
    </xf>
    <xf numFmtId="166" fontId="41" fillId="0" borderId="157" xfId="2" applyNumberFormat="1" applyFont="1" applyFill="1" applyBorder="1" applyAlignment="1" applyProtection="1">
      <alignment horizontal="center" vertical="center"/>
    </xf>
    <xf numFmtId="0" fontId="11" fillId="0" borderId="18" xfId="0" applyFont="1" applyBorder="1" applyAlignment="1">
      <alignment horizontal="left" vertical="center"/>
    </xf>
    <xf numFmtId="4" fontId="36" fillId="0" borderId="17" xfId="0" applyNumberFormat="1" applyFont="1" applyBorder="1" applyAlignment="1" applyProtection="1">
      <alignment horizontal="center" vertical="center"/>
      <protection hidden="1"/>
    </xf>
    <xf numFmtId="4" fontId="36" fillId="0" borderId="35" xfId="0" applyNumberFormat="1" applyFont="1" applyBorder="1" applyAlignment="1" applyProtection="1">
      <alignment horizontal="center" vertical="center"/>
      <protection hidden="1"/>
    </xf>
    <xf numFmtId="4" fontId="12" fillId="5" borderId="17" xfId="0" applyNumberFormat="1" applyFont="1" applyFill="1" applyBorder="1" applyAlignment="1" applyProtection="1">
      <alignment horizontal="center" vertical="center"/>
      <protection hidden="1"/>
    </xf>
    <xf numFmtId="4" fontId="12" fillId="8" borderId="17" xfId="0" applyNumberFormat="1" applyFont="1" applyFill="1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center" vertical="center"/>
      <protection hidden="1"/>
    </xf>
    <xf numFmtId="164" fontId="58" fillId="5" borderId="17" xfId="0" applyNumberFormat="1" applyFont="1" applyFill="1" applyBorder="1" applyAlignment="1" applyProtection="1">
      <alignment horizontal="center" vertical="center"/>
      <protection hidden="1"/>
    </xf>
    <xf numFmtId="0" fontId="11" fillId="0" borderId="75" xfId="0" applyFont="1" applyBorder="1" applyAlignment="1">
      <alignment horizontal="left" vertical="center"/>
    </xf>
    <xf numFmtId="0" fontId="0" fillId="8" borderId="0" xfId="0" applyFill="1" applyAlignment="1">
      <alignment horizontal="center"/>
    </xf>
    <xf numFmtId="0" fontId="61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72" fillId="0" borderId="73" xfId="0" applyFont="1" applyBorder="1" applyAlignment="1" applyProtection="1">
      <alignment horizontal="left" vertical="center"/>
      <protection hidden="1"/>
    </xf>
    <xf numFmtId="0" fontId="36" fillId="0" borderId="72" xfId="0" applyFont="1" applyBorder="1"/>
    <xf numFmtId="0" fontId="12" fillId="0" borderId="16" xfId="0" applyFont="1" applyBorder="1" applyAlignment="1">
      <alignment horizontal="left" vertical="center" indent="1"/>
    </xf>
    <xf numFmtId="0" fontId="12" fillId="0" borderId="0" xfId="0" applyFont="1" applyAlignment="1">
      <alignment horizontal="left" vertical="center" indent="1"/>
    </xf>
    <xf numFmtId="0" fontId="12" fillId="0" borderId="16" xfId="0" applyFont="1" applyBorder="1" applyAlignment="1">
      <alignment horizontal="left" vertical="center" indent="2"/>
    </xf>
    <xf numFmtId="0" fontId="12" fillId="0" borderId="45" xfId="0" applyFont="1" applyBorder="1" applyAlignment="1">
      <alignment horizontal="left" vertical="center" indent="1"/>
    </xf>
    <xf numFmtId="166" fontId="12" fillId="0" borderId="46" xfId="0" applyNumberFormat="1" applyFont="1" applyBorder="1" applyAlignment="1">
      <alignment horizontal="left" vertical="center" indent="1"/>
    </xf>
    <xf numFmtId="0" fontId="12" fillId="0" borderId="45" xfId="0" applyFont="1" applyBorder="1" applyAlignment="1">
      <alignment horizontal="left" vertical="center" indent="2"/>
    </xf>
    <xf numFmtId="0" fontId="6" fillId="0" borderId="7" xfId="0" applyFont="1" applyBorder="1"/>
    <xf numFmtId="167" fontId="6" fillId="0" borderId="7" xfId="0" applyNumberFormat="1" applyFont="1" applyBorder="1"/>
    <xf numFmtId="166" fontId="6" fillId="0" borderId="0" xfId="0" applyNumberFormat="1" applyFont="1" applyAlignment="1">
      <alignment horizontal="center"/>
    </xf>
    <xf numFmtId="167" fontId="7" fillId="0" borderId="138" xfId="0" applyNumberFormat="1" applyFont="1" applyBorder="1" applyAlignment="1" applyProtection="1">
      <alignment horizontal="center" vertical="center"/>
      <protection hidden="1"/>
    </xf>
    <xf numFmtId="167" fontId="7" fillId="0" borderId="172" xfId="0" applyNumberFormat="1" applyFont="1" applyBorder="1" applyAlignment="1" applyProtection="1">
      <alignment horizontal="center" vertical="center"/>
      <protection hidden="1"/>
    </xf>
    <xf numFmtId="167" fontId="7" fillId="0" borderId="145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center" vertical="center"/>
    </xf>
    <xf numFmtId="0" fontId="4" fillId="0" borderId="10" xfId="0" applyFont="1" applyBorder="1" applyAlignment="1">
      <alignment vertical="center"/>
    </xf>
    <xf numFmtId="6" fontId="84" fillId="13" borderId="0" xfId="0" applyNumberFormat="1" applyFont="1" applyFill="1" applyAlignment="1" applyProtection="1">
      <alignment horizontal="center" vertical="center"/>
      <protection hidden="1"/>
    </xf>
    <xf numFmtId="1" fontId="84" fillId="13" borderId="0" xfId="0" applyNumberFormat="1" applyFont="1" applyFill="1" applyAlignment="1" applyProtection="1">
      <alignment horizontal="center" vertical="center"/>
      <protection hidden="1"/>
    </xf>
    <xf numFmtId="0" fontId="7" fillId="0" borderId="201" xfId="0" applyFont="1" applyBorder="1" applyAlignment="1" applyProtection="1">
      <alignment horizontal="center" vertical="center"/>
      <protection hidden="1"/>
    </xf>
    <xf numFmtId="167" fontId="7" fillId="0" borderId="202" xfId="0" applyNumberFormat="1" applyFont="1" applyBorder="1" applyAlignment="1" applyProtection="1">
      <alignment horizontal="center" vertical="center"/>
      <protection hidden="1"/>
    </xf>
    <xf numFmtId="0" fontId="7" fillId="7" borderId="0" xfId="0" applyFont="1" applyFill="1" applyAlignment="1" applyProtection="1">
      <alignment vertical="center"/>
      <protection locked="0"/>
    </xf>
    <xf numFmtId="49" fontId="84" fillId="13" borderId="0" xfId="0" applyNumberFormat="1" applyFont="1" applyFill="1" applyAlignment="1" applyProtection="1">
      <alignment horizontal="center" vertical="center"/>
      <protection hidden="1"/>
    </xf>
    <xf numFmtId="0" fontId="86" fillId="13" borderId="0" xfId="0" applyFont="1" applyFill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center" vertical="center"/>
      <protection hidden="1"/>
    </xf>
    <xf numFmtId="0" fontId="7" fillId="0" borderId="132" xfId="0" applyFont="1" applyBorder="1" applyAlignment="1" applyProtection="1">
      <alignment horizontal="center" vertical="center"/>
      <protection hidden="1"/>
    </xf>
    <xf numFmtId="0" fontId="7" fillId="0" borderId="203" xfId="0" applyFont="1" applyBorder="1" applyAlignment="1" applyProtection="1">
      <alignment horizontal="center" vertical="center"/>
      <protection hidden="1"/>
    </xf>
    <xf numFmtId="0" fontId="7" fillId="0" borderId="204" xfId="0" applyFont="1" applyBorder="1" applyAlignment="1" applyProtection="1">
      <alignment horizontal="center" vertical="center"/>
      <protection hidden="1"/>
    </xf>
    <xf numFmtId="0" fontId="7" fillId="0" borderId="205" xfId="0" applyFont="1" applyBorder="1" applyAlignment="1" applyProtection="1">
      <alignment horizontal="center" vertical="center"/>
      <protection hidden="1"/>
    </xf>
    <xf numFmtId="0" fontId="7" fillId="7" borderId="0" xfId="0" applyFont="1" applyFill="1" applyAlignment="1">
      <alignment vertical="center"/>
    </xf>
    <xf numFmtId="0" fontId="4" fillId="7" borderId="0" xfId="0" applyFont="1" applyFill="1" applyAlignment="1">
      <alignment horizontal="center" vertical="center"/>
    </xf>
    <xf numFmtId="0" fontId="0" fillId="7" borderId="0" xfId="0" applyFill="1" applyAlignment="1" applyProtection="1">
      <alignment horizontal="left" vertical="center"/>
      <protection locked="0"/>
    </xf>
    <xf numFmtId="164" fontId="7" fillId="7" borderId="0" xfId="0" applyNumberFormat="1" applyFont="1" applyFill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left" vertical="center" wrapText="1"/>
      <protection locked="0"/>
    </xf>
    <xf numFmtId="0" fontId="0" fillId="7" borderId="0" xfId="0" applyFill="1" applyAlignment="1" applyProtection="1">
      <alignment horizontal="left" vertical="center" wrapText="1"/>
      <protection locked="0"/>
    </xf>
    <xf numFmtId="0" fontId="0" fillId="7" borderId="0" xfId="0" applyFill="1" applyAlignment="1" applyProtection="1">
      <alignment horizontal="center" vertical="center" wrapText="1"/>
      <protection locked="0"/>
    </xf>
    <xf numFmtId="0" fontId="7" fillId="3" borderId="0" xfId="0" applyFont="1" applyFill="1" applyAlignment="1" applyProtection="1">
      <alignment horizontal="center" vertical="center"/>
      <protection hidden="1"/>
    </xf>
    <xf numFmtId="0" fontId="4" fillId="3" borderId="0" xfId="0" applyFont="1" applyFill="1" applyAlignment="1" applyProtection="1">
      <alignment horizontal="center" vertical="center"/>
      <protection hidden="1"/>
    </xf>
    <xf numFmtId="0" fontId="4" fillId="3" borderId="206" xfId="0" applyFont="1" applyFill="1" applyBorder="1" applyAlignment="1" applyProtection="1">
      <alignment horizontal="center" vertical="center"/>
      <protection hidden="1"/>
    </xf>
    <xf numFmtId="1" fontId="4" fillId="0" borderId="207" xfId="0" applyNumberFormat="1" applyFont="1" applyBorder="1" applyAlignment="1" applyProtection="1">
      <alignment horizontal="center" vertical="center"/>
      <protection hidden="1"/>
    </xf>
    <xf numFmtId="166" fontId="7" fillId="0" borderId="207" xfId="0" applyNumberFormat="1" applyFont="1" applyBorder="1" applyAlignment="1" applyProtection="1">
      <alignment horizontal="center" vertical="center"/>
      <protection hidden="1"/>
    </xf>
    <xf numFmtId="3" fontId="4" fillId="0" borderId="207" xfId="0" applyNumberFormat="1" applyFont="1" applyBorder="1" applyAlignment="1" applyProtection="1">
      <alignment horizontal="center" vertical="center"/>
      <protection hidden="1"/>
    </xf>
    <xf numFmtId="166" fontId="4" fillId="0" borderId="207" xfId="0" applyNumberFormat="1" applyFont="1" applyBorder="1" applyAlignment="1" applyProtection="1">
      <alignment horizontal="center" vertical="center"/>
      <protection hidden="1"/>
    </xf>
    <xf numFmtId="0" fontId="7" fillId="0" borderId="209" xfId="0" applyFont="1" applyBorder="1" applyAlignment="1" applyProtection="1">
      <alignment vertical="center"/>
      <protection hidden="1"/>
    </xf>
    <xf numFmtId="0" fontId="7" fillId="7" borderId="213" xfId="0" applyFont="1" applyFill="1" applyBorder="1" applyAlignment="1" applyProtection="1">
      <alignment vertical="center"/>
      <protection locked="0"/>
    </xf>
    <xf numFmtId="0" fontId="7" fillId="7" borderId="213" xfId="0" applyFont="1" applyFill="1" applyBorder="1" applyAlignment="1">
      <alignment vertical="center"/>
    </xf>
    <xf numFmtId="0" fontId="0" fillId="7" borderId="213" xfId="0" applyFill="1" applyBorder="1" applyAlignment="1" applyProtection="1">
      <alignment horizontal="left" vertical="center" wrapText="1"/>
      <protection locked="0"/>
    </xf>
    <xf numFmtId="0" fontId="7" fillId="0" borderId="214" xfId="0" applyFont="1" applyBorder="1" applyAlignment="1" applyProtection="1">
      <alignment horizontal="center" vertical="center"/>
      <protection hidden="1"/>
    </xf>
    <xf numFmtId="0" fontId="4" fillId="0" borderId="215" xfId="0" applyFont="1" applyBorder="1" applyAlignment="1" applyProtection="1">
      <alignment vertical="center"/>
      <protection hidden="1"/>
    </xf>
    <xf numFmtId="167" fontId="4" fillId="0" borderId="216" xfId="0" applyNumberFormat="1" applyFont="1" applyBorder="1" applyAlignment="1" applyProtection="1">
      <alignment horizontal="center" vertical="center"/>
      <protection hidden="1"/>
    </xf>
    <xf numFmtId="0" fontId="0" fillId="7" borderId="217" xfId="0" applyFill="1" applyBorder="1" applyAlignment="1" applyProtection="1">
      <alignment horizontal="left" vertical="center" wrapText="1"/>
      <protection locked="0"/>
    </xf>
    <xf numFmtId="0" fontId="0" fillId="7" borderId="218" xfId="0" applyFill="1" applyBorder="1" applyAlignment="1" applyProtection="1">
      <alignment horizontal="left" vertical="center" wrapText="1"/>
      <protection locked="0"/>
    </xf>
    <xf numFmtId="0" fontId="0" fillId="7" borderId="218" xfId="0" applyFill="1" applyBorder="1" applyAlignment="1" applyProtection="1">
      <alignment horizontal="center" vertical="center" wrapText="1"/>
      <protection locked="0"/>
    </xf>
    <xf numFmtId="0" fontId="0" fillId="7" borderId="212" xfId="0" applyFill="1" applyBorder="1" applyAlignment="1" applyProtection="1">
      <alignment horizontal="left" vertical="center" wrapText="1"/>
      <protection locked="0"/>
    </xf>
    <xf numFmtId="0" fontId="7" fillId="0" borderId="218" xfId="0" applyFont="1" applyBorder="1" applyAlignment="1" applyProtection="1">
      <alignment horizontal="center" vertical="center"/>
      <protection hidden="1"/>
    </xf>
    <xf numFmtId="0" fontId="4" fillId="0" borderId="218" xfId="0" applyFont="1" applyBorder="1" applyAlignment="1" applyProtection="1">
      <alignment vertical="center"/>
      <protection hidden="1"/>
    </xf>
    <xf numFmtId="167" fontId="4" fillId="0" borderId="219" xfId="0" applyNumberFormat="1" applyFont="1" applyBorder="1" applyAlignment="1" applyProtection="1">
      <alignment horizontal="center" vertical="center"/>
      <protection hidden="1"/>
    </xf>
    <xf numFmtId="0" fontId="7" fillId="7" borderId="218" xfId="0" applyFont="1" applyFill="1" applyBorder="1" applyAlignment="1" applyProtection="1">
      <alignment vertical="center"/>
      <protection locked="0"/>
    </xf>
    <xf numFmtId="0" fontId="7" fillId="7" borderId="212" xfId="0" applyFont="1" applyFill="1" applyBorder="1" applyAlignment="1" applyProtection="1">
      <alignment vertical="center"/>
      <protection locked="0"/>
    </xf>
    <xf numFmtId="166" fontId="7" fillId="0" borderId="145" xfId="0" applyNumberFormat="1" applyFont="1" applyBorder="1" applyAlignment="1" applyProtection="1">
      <alignment horizontal="center" vertical="center"/>
      <protection hidden="1"/>
    </xf>
    <xf numFmtId="166" fontId="7" fillId="0" borderId="220" xfId="0" applyNumberFormat="1" applyFont="1" applyBorder="1" applyAlignment="1" applyProtection="1">
      <alignment horizontal="center" vertical="center"/>
      <protection hidden="1"/>
    </xf>
    <xf numFmtId="167" fontId="7" fillId="0" borderId="220" xfId="0" applyNumberFormat="1" applyFont="1" applyBorder="1" applyAlignment="1" applyProtection="1">
      <alignment horizontal="center" vertical="center"/>
      <protection hidden="1"/>
    </xf>
    <xf numFmtId="0" fontId="4" fillId="0" borderId="222" xfId="0" applyFont="1" applyBorder="1" applyAlignment="1">
      <alignment horizontal="center"/>
    </xf>
    <xf numFmtId="167" fontId="7" fillId="0" borderId="223" xfId="0" applyNumberFormat="1" applyFont="1" applyBorder="1" applyAlignment="1" applyProtection="1">
      <alignment horizontal="center" vertical="center"/>
      <protection hidden="1"/>
    </xf>
    <xf numFmtId="167" fontId="7" fillId="0" borderId="224" xfId="0" applyNumberFormat="1" applyFont="1" applyBorder="1" applyAlignment="1" applyProtection="1">
      <alignment horizontal="center" vertical="center"/>
      <protection hidden="1"/>
    </xf>
    <xf numFmtId="167" fontId="7" fillId="0" borderId="225" xfId="0" applyNumberFormat="1" applyFont="1" applyBorder="1" applyAlignment="1" applyProtection="1">
      <alignment horizontal="center" vertical="center"/>
      <protection hidden="1"/>
    </xf>
    <xf numFmtId="167" fontId="7" fillId="0" borderId="226" xfId="0" applyNumberFormat="1" applyFont="1" applyBorder="1" applyAlignment="1" applyProtection="1">
      <alignment horizontal="center" vertical="center"/>
      <protection hidden="1"/>
    </xf>
    <xf numFmtId="0" fontId="4" fillId="0" borderId="222" xfId="0" applyFont="1" applyBorder="1" applyAlignment="1">
      <alignment horizontal="left" vertical="center" wrapText="1"/>
    </xf>
    <xf numFmtId="0" fontId="7" fillId="0" borderId="227" xfId="0" applyFont="1" applyBorder="1" applyAlignment="1" applyProtection="1">
      <alignment horizontal="left" vertical="center"/>
      <protection hidden="1"/>
    </xf>
    <xf numFmtId="0" fontId="7" fillId="0" borderId="228" xfId="0" applyFont="1" applyBorder="1" applyAlignment="1" applyProtection="1">
      <alignment horizontal="left" vertical="center"/>
      <protection hidden="1"/>
    </xf>
    <xf numFmtId="0" fontId="7" fillId="0" borderId="229" xfId="0" applyFont="1" applyBorder="1" applyAlignment="1" applyProtection="1">
      <alignment horizontal="left" vertical="center"/>
      <protection hidden="1"/>
    </xf>
    <xf numFmtId="0" fontId="7" fillId="0" borderId="139" xfId="0" applyFont="1" applyBorder="1" applyAlignment="1" applyProtection="1">
      <alignment horizontal="left" vertical="center"/>
      <protection hidden="1"/>
    </xf>
    <xf numFmtId="167" fontId="7" fillId="0" borderId="137" xfId="0" applyNumberFormat="1" applyFont="1" applyBorder="1" applyAlignment="1" applyProtection="1">
      <alignment horizontal="center" vertical="center"/>
      <protection hidden="1"/>
    </xf>
    <xf numFmtId="167" fontId="7" fillId="0" borderId="140" xfId="0" applyNumberFormat="1" applyFont="1" applyBorder="1" applyAlignment="1" applyProtection="1">
      <alignment horizontal="center" vertical="center"/>
      <protection hidden="1"/>
    </xf>
    <xf numFmtId="166" fontId="7" fillId="0" borderId="224" xfId="2" applyNumberFormat="1" applyFont="1" applyFill="1" applyBorder="1" applyAlignment="1" applyProtection="1">
      <alignment horizontal="center" vertical="center"/>
      <protection hidden="1"/>
    </xf>
    <xf numFmtId="167" fontId="7" fillId="0" borderId="134" xfId="0" applyNumberFormat="1" applyFont="1" applyBorder="1" applyAlignment="1" applyProtection="1">
      <alignment horizontal="center" vertical="center"/>
      <protection hidden="1"/>
    </xf>
    <xf numFmtId="167" fontId="7" fillId="0" borderId="230" xfId="0" applyNumberFormat="1" applyFont="1" applyBorder="1" applyAlignment="1" applyProtection="1">
      <alignment horizontal="center" vertical="center"/>
      <protection hidden="1"/>
    </xf>
    <xf numFmtId="166" fontId="7" fillId="0" borderId="224" xfId="0" applyNumberFormat="1" applyFont="1" applyBorder="1" applyAlignment="1" applyProtection="1">
      <alignment horizontal="center" vertical="center"/>
      <protection hidden="1"/>
    </xf>
    <xf numFmtId="166" fontId="7" fillId="0" borderId="226" xfId="2" applyNumberFormat="1" applyFont="1" applyFill="1" applyBorder="1" applyAlignment="1" applyProtection="1">
      <alignment horizontal="center" vertical="center"/>
      <protection hidden="1"/>
    </xf>
    <xf numFmtId="166" fontId="7" fillId="0" borderId="226" xfId="0" applyNumberFormat="1" applyFont="1" applyBorder="1" applyAlignment="1" applyProtection="1">
      <alignment horizontal="center" vertical="center"/>
      <protection hidden="1"/>
    </xf>
    <xf numFmtId="0" fontId="4" fillId="8" borderId="131" xfId="0" applyFont="1" applyFill="1" applyBorder="1" applyAlignment="1" applyProtection="1">
      <alignment vertical="center"/>
      <protection hidden="1"/>
    </xf>
    <xf numFmtId="167" fontId="4" fillId="8" borderId="137" xfId="0" applyNumberFormat="1" applyFont="1" applyFill="1" applyBorder="1" applyAlignment="1" applyProtection="1">
      <alignment horizontal="center" vertical="center"/>
      <protection hidden="1"/>
    </xf>
    <xf numFmtId="167" fontId="4" fillId="8" borderId="231" xfId="0" applyNumberFormat="1" applyFont="1" applyFill="1" applyBorder="1" applyAlignment="1" applyProtection="1">
      <alignment horizontal="center" vertical="center"/>
      <protection hidden="1"/>
    </xf>
    <xf numFmtId="0" fontId="4" fillId="6" borderId="232" xfId="0" applyFont="1" applyFill="1" applyBorder="1" applyAlignment="1" applyProtection="1">
      <alignment horizontal="center" vertical="center"/>
      <protection hidden="1"/>
    </xf>
    <xf numFmtId="0" fontId="4" fillId="6" borderId="233" xfId="0" applyFont="1" applyFill="1" applyBorder="1" applyAlignment="1" applyProtection="1">
      <alignment horizontal="center" vertical="center"/>
      <protection hidden="1"/>
    </xf>
    <xf numFmtId="167" fontId="4" fillId="8" borderId="134" xfId="0" applyNumberFormat="1" applyFont="1" applyFill="1" applyBorder="1" applyAlignment="1" applyProtection="1">
      <alignment horizontal="center" vertical="center"/>
      <protection hidden="1"/>
    </xf>
    <xf numFmtId="167" fontId="4" fillId="8" borderId="232" xfId="0" applyNumberFormat="1" applyFont="1" applyFill="1" applyBorder="1" applyAlignment="1" applyProtection="1">
      <alignment horizontal="center" vertical="center"/>
      <protection hidden="1"/>
    </xf>
    <xf numFmtId="167" fontId="4" fillId="8" borderId="233" xfId="0" applyNumberFormat="1" applyFont="1" applyFill="1" applyBorder="1" applyAlignment="1" applyProtection="1">
      <alignment horizontal="center" vertical="center"/>
      <protection hidden="1"/>
    </xf>
    <xf numFmtId="167" fontId="4" fillId="8" borderId="234" xfId="0" applyNumberFormat="1" applyFont="1" applyFill="1" applyBorder="1" applyAlignment="1" applyProtection="1">
      <alignment horizontal="center" vertical="center"/>
      <protection hidden="1"/>
    </xf>
    <xf numFmtId="3" fontId="4" fillId="0" borderId="223" xfId="0" applyNumberFormat="1" applyFont="1" applyBorder="1" applyAlignment="1" applyProtection="1">
      <alignment horizontal="center" vertical="center"/>
      <protection hidden="1"/>
    </xf>
    <xf numFmtId="166" fontId="4" fillId="0" borderId="224" xfId="2" applyNumberFormat="1" applyFont="1" applyFill="1" applyBorder="1" applyAlignment="1" applyProtection="1">
      <alignment horizontal="center" vertical="center"/>
      <protection hidden="1"/>
    </xf>
    <xf numFmtId="167" fontId="4" fillId="0" borderId="145" xfId="0" applyNumberFormat="1" applyFont="1" applyBorder="1" applyAlignment="1" applyProtection="1">
      <alignment horizontal="center" vertical="center"/>
      <protection hidden="1"/>
    </xf>
    <xf numFmtId="167" fontId="4" fillId="0" borderId="224" xfId="0" applyNumberFormat="1" applyFont="1" applyBorder="1" applyAlignment="1" applyProtection="1">
      <alignment horizontal="center" vertical="center"/>
      <protection hidden="1"/>
    </xf>
    <xf numFmtId="3" fontId="4" fillId="0" borderId="231" xfId="0" applyNumberFormat="1" applyFont="1" applyBorder="1" applyAlignment="1" applyProtection="1">
      <alignment horizontal="center" vertical="center"/>
      <protection hidden="1"/>
    </xf>
    <xf numFmtId="167" fontId="4" fillId="0" borderId="233" xfId="0" applyNumberFormat="1" applyFont="1" applyBorder="1" applyAlignment="1" applyProtection="1">
      <alignment horizontal="center" vertical="center"/>
      <protection hidden="1"/>
    </xf>
    <xf numFmtId="167" fontId="4" fillId="0" borderId="134" xfId="0" applyNumberFormat="1" applyFont="1" applyBorder="1" applyAlignment="1" applyProtection="1">
      <alignment horizontal="center" vertical="center"/>
      <protection hidden="1"/>
    </xf>
    <xf numFmtId="0" fontId="7" fillId="0" borderId="228" xfId="0" applyFont="1" applyBorder="1" applyAlignment="1" applyProtection="1">
      <alignment vertical="center"/>
      <protection hidden="1"/>
    </xf>
    <xf numFmtId="0" fontId="7" fillId="0" borderId="229" xfId="0" applyFont="1" applyBorder="1" applyAlignment="1" applyProtection="1">
      <alignment vertical="center"/>
      <protection hidden="1"/>
    </xf>
    <xf numFmtId="3" fontId="84" fillId="13" borderId="235" xfId="0" applyNumberFormat="1" applyFont="1" applyFill="1" applyBorder="1" applyAlignment="1" applyProtection="1">
      <alignment horizontal="center" vertical="center"/>
      <protection hidden="1"/>
    </xf>
    <xf numFmtId="164" fontId="84" fillId="13" borderId="227" xfId="0" applyNumberFormat="1" applyFont="1" applyFill="1" applyBorder="1" applyAlignment="1" applyProtection="1">
      <alignment horizontal="center" vertical="center"/>
      <protection hidden="1"/>
    </xf>
    <xf numFmtId="3" fontId="7" fillId="0" borderId="223" xfId="0" applyNumberFormat="1" applyFont="1" applyBorder="1" applyAlignment="1" applyProtection="1">
      <alignment horizontal="center" vertical="center"/>
      <protection hidden="1"/>
    </xf>
    <xf numFmtId="3" fontId="7" fillId="0" borderId="225" xfId="0" applyNumberFormat="1" applyFont="1" applyBorder="1" applyAlignment="1" applyProtection="1">
      <alignment horizontal="center" vertical="center"/>
      <protection hidden="1"/>
    </xf>
    <xf numFmtId="164" fontId="84" fillId="13" borderId="235" xfId="0" applyNumberFormat="1" applyFont="1" applyFill="1" applyBorder="1" applyAlignment="1" applyProtection="1">
      <alignment horizontal="center" vertical="center"/>
      <protection hidden="1"/>
    </xf>
    <xf numFmtId="0" fontId="4" fillId="0" borderId="236" xfId="0" applyFont="1" applyBorder="1" applyAlignment="1" applyProtection="1">
      <alignment vertical="center"/>
      <protection hidden="1"/>
    </xf>
    <xf numFmtId="164" fontId="4" fillId="6" borderId="236" xfId="0" applyNumberFormat="1" applyFont="1" applyFill="1" applyBorder="1" applyAlignment="1" applyProtection="1">
      <alignment horizontal="center" vertical="center"/>
      <protection hidden="1"/>
    </xf>
    <xf numFmtId="166" fontId="4" fillId="0" borderId="237" xfId="0" applyNumberFormat="1" applyFont="1" applyBorder="1" applyAlignment="1" applyProtection="1">
      <alignment horizontal="center" vertical="center" wrapText="1"/>
      <protection hidden="1"/>
    </xf>
    <xf numFmtId="0" fontId="4" fillId="0" borderId="238" xfId="0" applyFont="1" applyBorder="1" applyAlignment="1" applyProtection="1">
      <alignment vertical="center"/>
      <protection hidden="1"/>
    </xf>
    <xf numFmtId="167" fontId="4" fillId="0" borderId="239" xfId="0" applyNumberFormat="1" applyFont="1" applyBorder="1" applyAlignment="1" applyProtection="1">
      <alignment horizontal="center" vertical="center"/>
      <protection hidden="1"/>
    </xf>
    <xf numFmtId="167" fontId="4" fillId="0" borderId="210" xfId="0" applyNumberFormat="1" applyFont="1" applyBorder="1" applyAlignment="1" applyProtection="1">
      <alignment horizontal="center" vertical="center"/>
      <protection hidden="1"/>
    </xf>
    <xf numFmtId="3" fontId="4" fillId="0" borderId="240" xfId="0" applyNumberFormat="1" applyFont="1" applyBorder="1" applyAlignment="1" applyProtection="1">
      <alignment horizontal="center" vertical="center"/>
      <protection hidden="1"/>
    </xf>
    <xf numFmtId="167" fontId="4" fillId="0" borderId="241" xfId="0" applyNumberFormat="1" applyFont="1" applyBorder="1" applyAlignment="1" applyProtection="1">
      <alignment horizontal="center" vertical="center"/>
      <protection hidden="1"/>
    </xf>
    <xf numFmtId="3" fontId="4" fillId="6" borderId="221" xfId="0" applyNumberFormat="1" applyFont="1" applyFill="1" applyBorder="1" applyAlignment="1" applyProtection="1">
      <alignment horizontal="center" vertical="center"/>
      <protection hidden="1"/>
    </xf>
    <xf numFmtId="167" fontId="4" fillId="0" borderId="242" xfId="0" applyNumberFormat="1" applyFont="1" applyBorder="1" applyAlignment="1" applyProtection="1">
      <alignment horizontal="center" vertical="center"/>
      <protection hidden="1"/>
    </xf>
    <xf numFmtId="3" fontId="4" fillId="6" borderId="243" xfId="0" applyNumberFormat="1" applyFont="1" applyFill="1" applyBorder="1" applyAlignment="1" applyProtection="1">
      <alignment horizontal="center" vertical="center"/>
      <protection hidden="1"/>
    </xf>
    <xf numFmtId="167" fontId="4" fillId="0" borderId="244" xfId="0" applyNumberFormat="1" applyFont="1" applyBorder="1" applyAlignment="1" applyProtection="1">
      <alignment horizontal="center" vertical="center"/>
      <protection hidden="1"/>
    </xf>
    <xf numFmtId="0" fontId="84" fillId="13" borderId="145" xfId="0" applyFont="1" applyFill="1" applyBorder="1" applyAlignment="1">
      <alignment horizontal="left" vertical="center" indent="1"/>
    </xf>
    <xf numFmtId="3" fontId="4" fillId="0" borderId="245" xfId="0" applyNumberFormat="1" applyFont="1" applyBorder="1" applyAlignment="1" applyProtection="1">
      <alignment horizontal="center" vertical="center"/>
      <protection hidden="1"/>
    </xf>
    <xf numFmtId="0" fontId="4" fillId="6" borderId="245" xfId="0" applyFont="1" applyFill="1" applyBorder="1" applyAlignment="1" applyProtection="1">
      <alignment vertical="center"/>
      <protection hidden="1"/>
    </xf>
    <xf numFmtId="167" fontId="4" fillId="0" borderId="245" xfId="0" applyNumberFormat="1" applyFont="1" applyBorder="1" applyAlignment="1" applyProtection="1">
      <alignment horizontal="center" vertical="center"/>
      <protection hidden="1"/>
    </xf>
    <xf numFmtId="0" fontId="4" fillId="0" borderId="164" xfId="0" applyFont="1" applyBorder="1" applyAlignment="1" applyProtection="1">
      <alignment horizontal="center" vertical="center" wrapText="1"/>
      <protection hidden="1"/>
    </xf>
    <xf numFmtId="0" fontId="4" fillId="0" borderId="163" xfId="0" applyFont="1" applyBorder="1" applyAlignment="1" applyProtection="1">
      <alignment horizontal="center" vertical="center"/>
      <protection hidden="1"/>
    </xf>
    <xf numFmtId="0" fontId="4" fillId="0" borderId="164" xfId="0" applyFont="1" applyBorder="1" applyAlignment="1" applyProtection="1">
      <alignment horizontal="center" vertical="center"/>
      <protection hidden="1"/>
    </xf>
    <xf numFmtId="167" fontId="7" fillId="0" borderId="247" xfId="0" applyNumberFormat="1" applyFont="1" applyBorder="1" applyAlignment="1" applyProtection="1">
      <alignment horizontal="center" vertical="center"/>
      <protection hidden="1"/>
    </xf>
    <xf numFmtId="166" fontId="7" fillId="0" borderId="242" xfId="2" applyNumberFormat="1" applyFont="1" applyFill="1" applyBorder="1" applyAlignment="1" applyProtection="1">
      <alignment horizontal="center" vertical="center"/>
      <protection hidden="1"/>
    </xf>
    <xf numFmtId="167" fontId="7" fillId="0" borderId="242" xfId="0" applyNumberFormat="1" applyFont="1" applyBorder="1" applyAlignment="1" applyProtection="1">
      <alignment horizontal="center" vertical="center"/>
      <protection hidden="1"/>
    </xf>
    <xf numFmtId="166" fontId="7" fillId="0" borderId="242" xfId="0" applyNumberFormat="1" applyFont="1" applyBorder="1" applyAlignment="1" applyProtection="1">
      <alignment horizontal="center" vertical="center"/>
      <protection hidden="1"/>
    </xf>
    <xf numFmtId="0" fontId="4" fillId="3" borderId="246" xfId="0" applyFont="1" applyFill="1" applyBorder="1" applyAlignment="1" applyProtection="1">
      <alignment horizontal="left" vertical="center" wrapText="1"/>
      <protection hidden="1"/>
    </xf>
    <xf numFmtId="0" fontId="66" fillId="3" borderId="246" xfId="0" applyFont="1" applyFill="1" applyBorder="1" applyAlignment="1" applyProtection="1">
      <alignment horizontal="center" vertical="center" wrapText="1"/>
      <protection hidden="1"/>
    </xf>
    <xf numFmtId="0" fontId="4" fillId="3" borderId="246" xfId="0" applyFont="1" applyFill="1" applyBorder="1" applyAlignment="1" applyProtection="1">
      <alignment horizontal="center" vertical="center"/>
      <protection hidden="1"/>
    </xf>
    <xf numFmtId="167" fontId="7" fillId="0" borderId="248" xfId="0" applyNumberFormat="1" applyFont="1" applyBorder="1" applyAlignment="1" applyProtection="1">
      <alignment horizontal="center" vertical="center"/>
      <protection hidden="1"/>
    </xf>
    <xf numFmtId="166" fontId="7" fillId="0" borderId="249" xfId="2" applyNumberFormat="1" applyFont="1" applyFill="1" applyBorder="1" applyAlignment="1" applyProtection="1">
      <alignment horizontal="center" vertical="center"/>
      <protection hidden="1"/>
    </xf>
    <xf numFmtId="167" fontId="7" fillId="0" borderId="249" xfId="0" applyNumberFormat="1" applyFont="1" applyBorder="1" applyAlignment="1" applyProtection="1">
      <alignment horizontal="center" vertical="center"/>
      <protection hidden="1"/>
    </xf>
    <xf numFmtId="166" fontId="7" fillId="0" borderId="249" xfId="0" applyNumberFormat="1" applyFont="1" applyBorder="1" applyAlignment="1" applyProtection="1">
      <alignment horizontal="center" vertical="center"/>
      <protection hidden="1"/>
    </xf>
    <xf numFmtId="167" fontId="7" fillId="3" borderId="246" xfId="0" applyNumberFormat="1" applyFont="1" applyFill="1" applyBorder="1" applyAlignment="1" applyProtection="1">
      <alignment horizontal="center" vertical="center"/>
      <protection hidden="1"/>
    </xf>
    <xf numFmtId="1" fontId="7" fillId="3" borderId="246" xfId="0" applyNumberFormat="1" applyFont="1" applyFill="1" applyBorder="1" applyAlignment="1" applyProtection="1">
      <alignment horizontal="center" vertical="center"/>
      <protection hidden="1"/>
    </xf>
    <xf numFmtId="166" fontId="7" fillId="3" borderId="246" xfId="0" applyNumberFormat="1" applyFont="1" applyFill="1" applyBorder="1" applyAlignment="1" applyProtection="1">
      <alignment horizontal="center" vertical="center"/>
      <protection hidden="1"/>
    </xf>
    <xf numFmtId="3" fontId="7" fillId="3" borderId="246" xfId="0" applyNumberFormat="1" applyFont="1" applyFill="1" applyBorder="1" applyAlignment="1" applyProtection="1">
      <alignment horizontal="center" vertical="center"/>
      <protection hidden="1"/>
    </xf>
    <xf numFmtId="0" fontId="7" fillId="0" borderId="227" xfId="0" applyFont="1" applyBorder="1" applyAlignment="1">
      <alignment horizontal="right" vertical="center"/>
    </xf>
    <xf numFmtId="0" fontId="7" fillId="0" borderId="228" xfId="0" applyFont="1" applyBorder="1" applyAlignment="1">
      <alignment horizontal="right" vertical="center"/>
    </xf>
    <xf numFmtId="0" fontId="7" fillId="0" borderId="251" xfId="0" applyFont="1" applyBorder="1" applyAlignment="1">
      <alignment horizontal="right" vertical="center"/>
    </xf>
    <xf numFmtId="3" fontId="7" fillId="0" borderId="251" xfId="0" applyNumberFormat="1" applyFont="1" applyBorder="1" applyAlignment="1">
      <alignment horizontal="right" vertical="center"/>
    </xf>
    <xf numFmtId="0" fontId="51" fillId="0" borderId="25" xfId="0" applyFont="1" applyBorder="1" applyAlignment="1" applyProtection="1">
      <alignment horizontal="left" vertical="center"/>
      <protection hidden="1"/>
    </xf>
    <xf numFmtId="0" fontId="51" fillId="0" borderId="25" xfId="0" applyFont="1" applyBorder="1" applyAlignment="1">
      <alignment vertical="center"/>
    </xf>
    <xf numFmtId="0" fontId="1" fillId="0" borderId="25" xfId="0" applyFont="1" applyBorder="1" applyAlignment="1" applyProtection="1">
      <alignment vertical="center"/>
      <protection locked="0"/>
    </xf>
    <xf numFmtId="167" fontId="4" fillId="0" borderId="253" xfId="0" applyNumberFormat="1" applyFont="1" applyBorder="1" applyAlignment="1" applyProtection="1">
      <alignment horizontal="center" vertical="center"/>
      <protection hidden="1"/>
    </xf>
    <xf numFmtId="0" fontId="7" fillId="7" borderId="254" xfId="0" applyFont="1" applyFill="1" applyBorder="1" applyAlignment="1" applyProtection="1">
      <alignment horizontal="center"/>
      <protection locked="0"/>
    </xf>
    <xf numFmtId="0" fontId="12" fillId="0" borderId="19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167" fontId="12" fillId="0" borderId="19" xfId="0" applyNumberFormat="1" applyFont="1" applyBorder="1" applyAlignment="1" applyProtection="1">
      <alignment horizontal="center" vertical="center"/>
      <protection hidden="1"/>
    </xf>
    <xf numFmtId="0" fontId="12" fillId="0" borderId="60" xfId="0" applyFont="1" applyBorder="1" applyAlignment="1">
      <alignment horizontal="center" vertical="center"/>
    </xf>
    <xf numFmtId="167" fontId="12" fillId="0" borderId="60" xfId="0" applyNumberFormat="1" applyFont="1" applyBorder="1" applyAlignment="1" applyProtection="1">
      <alignment horizontal="center" vertical="center"/>
      <protection hidden="1"/>
    </xf>
    <xf numFmtId="3" fontId="12" fillId="0" borderId="23" xfId="0" applyNumberFormat="1" applyFont="1" applyBorder="1" applyAlignment="1">
      <alignment horizontal="center" vertical="center"/>
    </xf>
    <xf numFmtId="0" fontId="59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59" fillId="0" borderId="59" xfId="0" applyFont="1" applyBorder="1" applyAlignment="1">
      <alignment horizontal="center" vertical="center"/>
    </xf>
    <xf numFmtId="3" fontId="59" fillId="7" borderId="17" xfId="0" applyNumberFormat="1" applyFont="1" applyFill="1" applyBorder="1" applyAlignment="1" applyProtection="1">
      <alignment horizontal="center" vertical="center"/>
      <protection locked="0"/>
    </xf>
    <xf numFmtId="3" fontId="59" fillId="6" borderId="17" xfId="0" applyNumberFormat="1" applyFont="1" applyFill="1" applyBorder="1" applyAlignment="1" applyProtection="1">
      <alignment horizontal="center" vertical="center"/>
      <protection hidden="1"/>
    </xf>
    <xf numFmtId="165" fontId="6" fillId="8" borderId="44" xfId="0" applyNumberFormat="1" applyFont="1" applyFill="1" applyBorder="1" applyAlignment="1">
      <alignment horizontal="center" vertical="center"/>
    </xf>
    <xf numFmtId="3" fontId="53" fillId="6" borderId="17" xfId="0" applyNumberFormat="1" applyFont="1" applyFill="1" applyBorder="1" applyAlignment="1" applyProtection="1">
      <alignment horizontal="center" vertical="center"/>
      <protection hidden="1"/>
    </xf>
    <xf numFmtId="0" fontId="59" fillId="0" borderId="32" xfId="0" applyFont="1" applyBorder="1" applyAlignment="1">
      <alignment horizontal="center" vertical="center"/>
    </xf>
    <xf numFmtId="3" fontId="59" fillId="0" borderId="17" xfId="0" applyNumberFormat="1" applyFont="1" applyBorder="1" applyAlignment="1" applyProtection="1">
      <alignment horizontal="center" vertical="center"/>
      <protection hidden="1"/>
    </xf>
    <xf numFmtId="165" fontId="6" fillId="8" borderId="20" xfId="0" applyNumberFormat="1" applyFont="1" applyFill="1" applyBorder="1" applyAlignment="1">
      <alignment horizontal="center" vertical="center"/>
    </xf>
    <xf numFmtId="3" fontId="53" fillId="8" borderId="10" xfId="0" applyNumberFormat="1" applyFont="1" applyFill="1" applyBorder="1" applyAlignment="1" applyProtection="1">
      <alignment horizontal="center" vertical="center"/>
      <protection hidden="1"/>
    </xf>
    <xf numFmtId="0" fontId="96" fillId="0" borderId="17" xfId="0" applyFont="1" applyBorder="1" applyAlignment="1">
      <alignment horizontal="center" vertical="center"/>
    </xf>
    <xf numFmtId="165" fontId="6" fillId="0" borderId="44" xfId="0" applyNumberFormat="1" applyFont="1" applyBorder="1" applyAlignment="1">
      <alignment horizontal="center" vertical="center"/>
    </xf>
    <xf numFmtId="0" fontId="59" fillId="0" borderId="17" xfId="0" applyFont="1" applyBorder="1" applyAlignment="1">
      <alignment horizontal="center" vertical="center"/>
    </xf>
    <xf numFmtId="165" fontId="11" fillId="0" borderId="44" xfId="0" applyNumberFormat="1" applyFont="1" applyBorder="1" applyAlignment="1">
      <alignment horizontal="center" vertical="center"/>
    </xf>
    <xf numFmtId="0" fontId="59" fillId="0" borderId="17" xfId="0" applyFont="1" applyBorder="1" applyAlignment="1">
      <alignment horizontal="left"/>
    </xf>
    <xf numFmtId="3" fontId="59" fillId="7" borderId="17" xfId="0" applyNumberFormat="1" applyFont="1" applyFill="1" applyBorder="1" applyAlignment="1" applyProtection="1">
      <alignment horizontal="center" vertical="center"/>
      <protection locked="0" hidden="1"/>
    </xf>
    <xf numFmtId="0" fontId="22" fillId="8" borderId="0" xfId="0" applyFont="1" applyFill="1" applyAlignment="1">
      <alignment horizontal="center" vertical="center"/>
    </xf>
    <xf numFmtId="0" fontId="23" fillId="8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top" wrapText="1"/>
    </xf>
    <xf numFmtId="0" fontId="0" fillId="0" borderId="0" xfId="0"/>
    <xf numFmtId="0" fontId="7" fillId="0" borderId="0" xfId="0" applyFont="1" applyAlignment="1">
      <alignment horizontal="right" vertical="center"/>
    </xf>
    <xf numFmtId="14" fontId="4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0" fontId="22" fillId="12" borderId="0" xfId="0" applyFon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86" fillId="0" borderId="0" xfId="0" applyFont="1" applyAlignment="1">
      <alignment horizontal="center"/>
    </xf>
    <xf numFmtId="0" fontId="84" fillId="0" borderId="0" xfId="0" applyFont="1" applyAlignment="1">
      <alignment horizontal="left"/>
    </xf>
    <xf numFmtId="0" fontId="11" fillId="0" borderId="0" xfId="0" applyFont="1" applyAlignment="1">
      <alignment horizontal="right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right" vertical="top" wrapText="1"/>
    </xf>
    <xf numFmtId="0" fontId="6" fillId="7" borderId="16" xfId="0" applyFont="1" applyFill="1" applyBorder="1" applyAlignment="1" applyProtection="1">
      <alignment horizontal="left" vertical="center"/>
      <protection locked="0"/>
    </xf>
    <xf numFmtId="0" fontId="6" fillId="7" borderId="196" xfId="0" applyFont="1" applyFill="1" applyBorder="1" applyAlignment="1" applyProtection="1">
      <alignment horizontal="left" vertical="center"/>
      <protection locked="0"/>
    </xf>
    <xf numFmtId="0" fontId="3" fillId="7" borderId="0" xfId="0" applyFont="1" applyFill="1" applyAlignment="1" applyProtection="1">
      <alignment horizontal="left" vertical="top" wrapText="1"/>
      <protection locked="0"/>
    </xf>
    <xf numFmtId="0" fontId="3" fillId="7" borderId="0" xfId="0" applyFont="1" applyFill="1" applyAlignment="1" applyProtection="1">
      <alignment horizontal="left" vertical="top"/>
      <protection locked="0"/>
    </xf>
    <xf numFmtId="0" fontId="3" fillId="7" borderId="200" xfId="0" applyFont="1" applyFill="1" applyBorder="1" applyAlignment="1" applyProtection="1">
      <alignment horizontal="left" vertical="top"/>
      <protection locked="0"/>
    </xf>
    <xf numFmtId="0" fontId="3" fillId="7" borderId="198" xfId="0" applyFont="1" applyFill="1" applyBorder="1" applyAlignment="1" applyProtection="1">
      <alignment horizontal="left" vertical="top"/>
      <protection locked="0"/>
    </xf>
    <xf numFmtId="0" fontId="3" fillId="7" borderId="199" xfId="0" applyFont="1" applyFill="1" applyBorder="1" applyAlignment="1" applyProtection="1">
      <alignment horizontal="left" vertical="top"/>
      <protection locked="0"/>
    </xf>
    <xf numFmtId="0" fontId="56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14" fontId="6" fillId="0" borderId="193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80" fillId="13" borderId="18" xfId="0" applyFont="1" applyFill="1" applyBorder="1" applyAlignment="1">
      <alignment horizontal="center" vertical="center"/>
    </xf>
    <xf numFmtId="0" fontId="80" fillId="13" borderId="8" xfId="0" applyFont="1" applyFill="1" applyBorder="1" applyAlignment="1">
      <alignment horizontal="center" vertical="center"/>
    </xf>
    <xf numFmtId="0" fontId="80" fillId="13" borderId="23" xfId="0" applyFont="1" applyFill="1" applyBorder="1" applyAlignment="1">
      <alignment horizontal="center" vertical="center"/>
    </xf>
    <xf numFmtId="0" fontId="80" fillId="13" borderId="59" xfId="0" applyFont="1" applyFill="1" applyBorder="1" applyAlignment="1">
      <alignment horizontal="center" vertical="center"/>
    </xf>
    <xf numFmtId="0" fontId="90" fillId="7" borderId="194" xfId="3" applyFill="1" applyBorder="1" applyAlignment="1" applyProtection="1">
      <alignment horizontal="left" vertical="center"/>
      <protection locked="0"/>
    </xf>
    <xf numFmtId="0" fontId="11" fillId="7" borderId="16" xfId="0" applyFont="1" applyFill="1" applyBorder="1" applyAlignment="1" applyProtection="1">
      <alignment horizontal="left" vertical="center"/>
      <protection locked="0"/>
    </xf>
    <xf numFmtId="6" fontId="81" fillId="13" borderId="19" xfId="0" applyNumberFormat="1" applyFont="1" applyFill="1" applyBorder="1" applyAlignment="1">
      <alignment horizontal="center" vertical="center"/>
    </xf>
    <xf numFmtId="6" fontId="81" fillId="13" borderId="32" xfId="0" applyNumberFormat="1" applyFont="1" applyFill="1" applyBorder="1" applyAlignment="1">
      <alignment horizontal="center" vertical="center"/>
    </xf>
    <xf numFmtId="49" fontId="6" fillId="7" borderId="194" xfId="0" applyNumberFormat="1" applyFont="1" applyFill="1" applyBorder="1" applyAlignment="1" applyProtection="1">
      <alignment horizontal="left" vertical="center"/>
      <protection locked="0"/>
    </xf>
    <xf numFmtId="49" fontId="6" fillId="7" borderId="16" xfId="0" applyNumberFormat="1" applyFont="1" applyFill="1" applyBorder="1" applyAlignment="1" applyProtection="1">
      <alignment horizontal="left" vertical="center"/>
      <protection locked="0"/>
    </xf>
    <xf numFmtId="0" fontId="9" fillId="0" borderId="193" xfId="0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195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49" fontId="6" fillId="7" borderId="197" xfId="0" applyNumberFormat="1" applyFont="1" applyFill="1" applyBorder="1" applyAlignment="1" applyProtection="1">
      <alignment horizontal="left" vertical="center"/>
      <protection locked="0"/>
    </xf>
    <xf numFmtId="49" fontId="6" fillId="7" borderId="198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Alignment="1">
      <alignment horizontal="left"/>
    </xf>
    <xf numFmtId="0" fontId="11" fillId="0" borderId="18" xfId="0" applyFont="1" applyBorder="1" applyAlignment="1">
      <alignment horizontal="left" vertical="center"/>
    </xf>
    <xf numFmtId="0" fontId="11" fillId="0" borderId="7" xfId="0" applyFont="1" applyBorder="1" applyAlignment="1">
      <alignment horizontal="left" vertical="center"/>
    </xf>
    <xf numFmtId="0" fontId="6" fillId="0" borderId="25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164" fontId="0" fillId="0" borderId="0" xfId="0" applyNumberFormat="1" applyAlignment="1" applyProtection="1">
      <alignment horizontal="right"/>
      <protection hidden="1"/>
    </xf>
    <xf numFmtId="3" fontId="0" fillId="0" borderId="0" xfId="0" applyNumberFormat="1" applyAlignment="1" applyProtection="1">
      <alignment horizontal="right"/>
      <protection hidden="1"/>
    </xf>
    <xf numFmtId="49" fontId="5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11" fillId="7" borderId="79" xfId="0" applyFont="1" applyFill="1" applyBorder="1" applyAlignment="1" applyProtection="1">
      <alignment horizontal="center"/>
      <protection locked="0"/>
    </xf>
    <xf numFmtId="0" fontId="11" fillId="7" borderId="174" xfId="0" applyFont="1" applyFill="1" applyBorder="1" applyAlignment="1" applyProtection="1">
      <alignment horizontal="center"/>
      <protection locked="0"/>
    </xf>
    <xf numFmtId="0" fontId="81" fillId="13" borderId="11" xfId="0" applyFont="1" applyFill="1" applyBorder="1" applyAlignment="1" applyProtection="1">
      <alignment horizontal="center"/>
      <protection hidden="1"/>
    </xf>
    <xf numFmtId="0" fontId="81" fillId="13" borderId="58" xfId="0" applyFont="1" applyFill="1" applyBorder="1" applyAlignment="1" applyProtection="1">
      <alignment horizontal="center"/>
      <protection hidden="1"/>
    </xf>
    <xf numFmtId="49" fontId="0" fillId="0" borderId="0" xfId="0" applyNumberFormat="1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0" fontId="81" fillId="13" borderId="8" xfId="0" applyFont="1" applyFill="1" applyBorder="1" applyAlignment="1" applyProtection="1">
      <alignment horizontal="center"/>
      <protection hidden="1"/>
    </xf>
    <xf numFmtId="0" fontId="81" fillId="13" borderId="27" xfId="0" applyFont="1" applyFill="1" applyBorder="1" applyAlignment="1" applyProtection="1">
      <alignment horizontal="center"/>
      <protection hidden="1"/>
    </xf>
    <xf numFmtId="0" fontId="81" fillId="13" borderId="31" xfId="0" applyFont="1" applyFill="1" applyBorder="1" applyAlignment="1" applyProtection="1">
      <alignment horizontal="center"/>
      <protection hidden="1"/>
    </xf>
    <xf numFmtId="1" fontId="11" fillId="7" borderId="27" xfId="0" applyNumberFormat="1" applyFont="1" applyFill="1" applyBorder="1" applyAlignment="1" applyProtection="1">
      <alignment horizontal="center"/>
      <protection locked="0"/>
    </xf>
    <xf numFmtId="0" fontId="11" fillId="7" borderId="28" xfId="0" applyFont="1" applyFill="1" applyBorder="1" applyAlignment="1" applyProtection="1">
      <alignment horizontal="center"/>
      <protection locked="0"/>
    </xf>
    <xf numFmtId="0" fontId="11" fillId="7" borderId="65" xfId="0" applyFont="1" applyFill="1" applyBorder="1" applyAlignment="1" applyProtection="1">
      <alignment horizontal="center"/>
      <protection locked="0"/>
    </xf>
    <xf numFmtId="167" fontId="12" fillId="7" borderId="105" xfId="0" applyNumberFormat="1" applyFont="1" applyFill="1" applyBorder="1" applyAlignment="1" applyProtection="1">
      <alignment horizontal="center" vertical="center"/>
      <protection locked="0"/>
    </xf>
    <xf numFmtId="0" fontId="81" fillId="13" borderId="28" xfId="0" applyFont="1" applyFill="1" applyBorder="1" applyAlignment="1" applyProtection="1">
      <alignment horizontal="center"/>
      <protection hidden="1"/>
    </xf>
    <xf numFmtId="167" fontId="12" fillId="7" borderId="68" xfId="0" applyNumberFormat="1" applyFont="1" applyFill="1" applyBorder="1" applyAlignment="1" applyProtection="1">
      <alignment horizontal="center" vertical="center"/>
      <protection locked="0"/>
    </xf>
    <xf numFmtId="167" fontId="12" fillId="7" borderId="67" xfId="0" applyNumberFormat="1" applyFont="1" applyFill="1" applyBorder="1" applyAlignment="1" applyProtection="1">
      <alignment horizontal="center" vertical="center"/>
      <protection locked="0"/>
    </xf>
    <xf numFmtId="167" fontId="12" fillId="7" borderId="44" xfId="0" applyNumberFormat="1" applyFont="1" applyFill="1" applyBorder="1" applyAlignment="1" applyProtection="1">
      <alignment horizontal="center" vertical="center"/>
      <protection locked="0"/>
    </xf>
    <xf numFmtId="3" fontId="12" fillId="0" borderId="0" xfId="0" applyNumberFormat="1" applyFont="1" applyAlignment="1" applyProtection="1">
      <alignment horizontal="right" vertical="center"/>
      <protection hidden="1"/>
    </xf>
    <xf numFmtId="0" fontId="12" fillId="0" borderId="0" xfId="0" applyFont="1" applyAlignment="1" applyProtection="1">
      <alignment horizontal="left"/>
      <protection hidden="1"/>
    </xf>
    <xf numFmtId="1" fontId="12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/>
      <protection hidden="1"/>
    </xf>
    <xf numFmtId="3" fontId="12" fillId="0" borderId="0" xfId="0" applyNumberFormat="1" applyFont="1" applyAlignment="1" applyProtection="1">
      <alignment horizontal="right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1" fontId="11" fillId="0" borderId="0" xfId="0" applyNumberFormat="1" applyFont="1" applyAlignment="1" applyProtection="1">
      <alignment horizontal="center"/>
      <protection hidden="1"/>
    </xf>
    <xf numFmtId="0" fontId="7" fillId="0" borderId="45" xfId="0" applyFont="1" applyBorder="1" applyAlignment="1" applyProtection="1">
      <alignment horizontal="left" vertical="center"/>
      <protection hidden="1"/>
    </xf>
    <xf numFmtId="0" fontId="7" fillId="0" borderId="74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left" vertical="center"/>
      <protection hidden="1"/>
    </xf>
    <xf numFmtId="14" fontId="5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2" fillId="0" borderId="25" xfId="0" applyFont="1" applyBorder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left" vertical="center"/>
      <protection hidden="1"/>
    </xf>
    <xf numFmtId="0" fontId="11" fillId="13" borderId="18" xfId="0" applyFont="1" applyFill="1" applyBorder="1" applyAlignment="1" applyProtection="1">
      <alignment horizontal="center" vertical="center"/>
      <protection hidden="1"/>
    </xf>
    <xf numFmtId="0" fontId="12" fillId="13" borderId="7" xfId="0" applyFont="1" applyFill="1" applyBorder="1" applyAlignment="1">
      <alignment horizontal="center" vertical="center"/>
    </xf>
    <xf numFmtId="0" fontId="12" fillId="13" borderId="58" xfId="0" applyFont="1" applyFill="1" applyBorder="1" applyAlignment="1">
      <alignment horizontal="center" vertical="center"/>
    </xf>
    <xf numFmtId="0" fontId="12" fillId="13" borderId="25" xfId="0" applyFont="1" applyFill="1" applyBorder="1" applyAlignment="1">
      <alignment horizontal="center" vertical="center"/>
    </xf>
    <xf numFmtId="0" fontId="12" fillId="13" borderId="0" xfId="0" applyFont="1" applyFill="1" applyAlignment="1">
      <alignment horizontal="center" vertical="center"/>
    </xf>
    <xf numFmtId="0" fontId="12" fillId="13" borderId="28" xfId="0" applyFont="1" applyFill="1" applyBorder="1" applyAlignment="1">
      <alignment horizontal="center" vertical="center"/>
    </xf>
    <xf numFmtId="0" fontId="11" fillId="0" borderId="45" xfId="0" applyFont="1" applyBorder="1" applyAlignment="1" applyProtection="1">
      <alignment horizontal="left" vertical="center" wrapText="1"/>
      <protection hidden="1"/>
    </xf>
    <xf numFmtId="0" fontId="11" fillId="0" borderId="74" xfId="0" applyFont="1" applyBorder="1" applyAlignment="1" applyProtection="1">
      <alignment horizontal="left" vertical="center" wrapText="1"/>
      <protection hidden="1"/>
    </xf>
    <xf numFmtId="0" fontId="7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left" vertical="center"/>
    </xf>
    <xf numFmtId="0" fontId="12" fillId="0" borderId="45" xfId="0" applyFont="1" applyBorder="1" applyAlignment="1">
      <alignment horizontal="left" vertical="center"/>
    </xf>
    <xf numFmtId="0" fontId="83" fillId="13" borderId="0" xfId="0" applyFont="1" applyFill="1" applyAlignment="1">
      <alignment horizontal="left"/>
    </xf>
    <xf numFmtId="0" fontId="91" fillId="0" borderId="45" xfId="0" applyFont="1" applyBorder="1" applyAlignment="1">
      <alignment horizontal="left" vertical="center" indent="2"/>
    </xf>
    <xf numFmtId="0" fontId="91" fillId="0" borderId="46" xfId="0" applyFont="1" applyBorder="1" applyAlignment="1">
      <alignment horizontal="left" vertical="center" indent="2"/>
    </xf>
    <xf numFmtId="2" fontId="91" fillId="0" borderId="45" xfId="0" applyNumberFormat="1" applyFont="1" applyBorder="1" applyAlignment="1" applyProtection="1">
      <alignment horizontal="left" vertical="center" indent="2"/>
      <protection hidden="1"/>
    </xf>
    <xf numFmtId="2" fontId="91" fillId="0" borderId="46" xfId="0" applyNumberFormat="1" applyFont="1" applyBorder="1" applyAlignment="1" applyProtection="1">
      <alignment horizontal="left" vertical="center" indent="2"/>
      <protection hidden="1"/>
    </xf>
    <xf numFmtId="0" fontId="83" fillId="13" borderId="12" xfId="0" applyFont="1" applyFill="1" applyBorder="1" applyAlignment="1">
      <alignment horizontal="center" vertical="center"/>
    </xf>
    <xf numFmtId="0" fontId="83" fillId="13" borderId="2" xfId="0" applyFont="1" applyFill="1" applyBorder="1" applyAlignment="1">
      <alignment horizontal="center" vertical="center"/>
    </xf>
    <xf numFmtId="0" fontId="83" fillId="13" borderId="27" xfId="0" applyFont="1" applyFill="1" applyBorder="1" applyAlignment="1">
      <alignment horizontal="center" vertical="center"/>
    </xf>
    <xf numFmtId="0" fontId="83" fillId="13" borderId="0" xfId="0" applyFont="1" applyFill="1" applyAlignment="1">
      <alignment horizontal="center" vertical="center"/>
    </xf>
    <xf numFmtId="0" fontId="83" fillId="13" borderId="13" xfId="0" applyFont="1" applyFill="1" applyBorder="1" applyAlignment="1">
      <alignment horizontal="center" vertical="center"/>
    </xf>
    <xf numFmtId="0" fontId="83" fillId="13" borderId="34" xfId="0" applyFont="1" applyFill="1" applyBorder="1" applyAlignment="1">
      <alignment horizontal="center" vertical="center"/>
    </xf>
    <xf numFmtId="0" fontId="91" fillId="0" borderId="45" xfId="0" applyFont="1" applyBorder="1" applyAlignment="1">
      <alignment horizontal="left" vertical="center" indent="1"/>
    </xf>
    <xf numFmtId="0" fontId="91" fillId="0" borderId="46" xfId="0" applyFont="1" applyBorder="1" applyAlignment="1">
      <alignment horizontal="left" vertical="center" indent="1"/>
    </xf>
    <xf numFmtId="0" fontId="11" fillId="0" borderId="45" xfId="0" applyFont="1" applyBorder="1" applyAlignment="1">
      <alignment horizontal="left" vertical="center"/>
    </xf>
    <xf numFmtId="0" fontId="11" fillId="0" borderId="46" xfId="0" applyFont="1" applyBorder="1" applyAlignment="1">
      <alignment horizontal="left" vertical="center"/>
    </xf>
    <xf numFmtId="0" fontId="12" fillId="0" borderId="75" xfId="0" applyFont="1" applyBorder="1" applyAlignment="1">
      <alignment horizontal="left" vertical="center" indent="1"/>
    </xf>
    <xf numFmtId="0" fontId="12" fillId="0" borderId="45" xfId="0" applyFont="1" applyBorder="1" applyAlignment="1">
      <alignment horizontal="left" vertical="center" indent="1"/>
    </xf>
    <xf numFmtId="0" fontId="91" fillId="0" borderId="95" xfId="0" applyFont="1" applyBorder="1" applyAlignment="1">
      <alignment horizontal="left" vertical="center" indent="1"/>
    </xf>
    <xf numFmtId="0" fontId="91" fillId="0" borderId="96" xfId="0" applyFont="1" applyBorder="1" applyAlignment="1">
      <alignment horizontal="left" vertical="center" indent="1"/>
    </xf>
    <xf numFmtId="0" fontId="6" fillId="0" borderId="34" xfId="0" applyFont="1" applyBorder="1" applyAlignment="1" applyProtection="1">
      <alignment horizontal="left" vertical="center"/>
      <protection hidden="1"/>
    </xf>
    <xf numFmtId="0" fontId="6" fillId="0" borderId="31" xfId="0" applyFont="1" applyBorder="1" applyAlignment="1">
      <alignment horizontal="left" vertical="center"/>
    </xf>
    <xf numFmtId="0" fontId="6" fillId="0" borderId="13" xfId="0" applyFont="1" applyBorder="1" applyAlignment="1">
      <alignment horizontal="left"/>
    </xf>
    <xf numFmtId="0" fontId="6" fillId="0" borderId="34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83" fillId="13" borderId="102" xfId="0" applyFont="1" applyFill="1" applyBorder="1" applyAlignment="1">
      <alignment horizontal="center"/>
    </xf>
    <xf numFmtId="0" fontId="83" fillId="13" borderId="0" xfId="0" applyFont="1" applyFill="1" applyAlignment="1">
      <alignment horizontal="center"/>
    </xf>
    <xf numFmtId="0" fontId="11" fillId="0" borderId="75" xfId="0" applyFont="1" applyBorder="1" applyAlignment="1">
      <alignment horizontal="left" vertical="center"/>
    </xf>
    <xf numFmtId="0" fontId="11" fillId="0" borderId="76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31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61" fillId="13" borderId="56" xfId="0" applyFont="1" applyFill="1" applyBorder="1" applyAlignment="1">
      <alignment horizontal="center" vertical="center"/>
    </xf>
    <xf numFmtId="0" fontId="61" fillId="13" borderId="14" xfId="0" applyFont="1" applyFill="1" applyBorder="1" applyAlignment="1">
      <alignment horizontal="center" vertical="center"/>
    </xf>
    <xf numFmtId="0" fontId="61" fillId="13" borderId="85" xfId="0" applyFont="1" applyFill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6" fillId="0" borderId="16" xfId="0" applyFont="1" applyBorder="1" applyAlignment="1">
      <alignment horizontal="left" vertical="center"/>
    </xf>
    <xf numFmtId="0" fontId="61" fillId="13" borderId="25" xfId="0" applyFont="1" applyFill="1" applyBorder="1" applyAlignment="1">
      <alignment horizontal="center" vertical="center"/>
    </xf>
    <xf numFmtId="0" fontId="61" fillId="13" borderId="0" xfId="0" applyFont="1" applyFill="1" applyAlignment="1">
      <alignment horizontal="center" vertical="center"/>
    </xf>
    <xf numFmtId="0" fontId="61" fillId="13" borderId="31" xfId="0" applyFont="1" applyFill="1" applyBorder="1" applyAlignment="1">
      <alignment horizontal="center" vertical="center"/>
    </xf>
    <xf numFmtId="0" fontId="12" fillId="0" borderId="45" xfId="0" applyFont="1" applyBorder="1" applyAlignment="1">
      <alignment horizontal="left" vertical="center" indent="2"/>
    </xf>
    <xf numFmtId="0" fontId="0" fillId="0" borderId="45" xfId="0" applyBorder="1" applyAlignment="1">
      <alignment horizontal="left" vertical="center" indent="2"/>
    </xf>
    <xf numFmtId="0" fontId="12" fillId="0" borderId="93" xfId="0" applyFont="1" applyBorder="1" applyAlignment="1">
      <alignment horizontal="left" vertical="center" indent="2"/>
    </xf>
    <xf numFmtId="0" fontId="0" fillId="0" borderId="93" xfId="0" applyBorder="1" applyAlignment="1">
      <alignment horizontal="left" vertical="center" indent="2"/>
    </xf>
    <xf numFmtId="0" fontId="91" fillId="0" borderId="45" xfId="0" applyFont="1" applyBorder="1" applyAlignment="1" applyProtection="1">
      <alignment horizontal="left" vertical="center" indent="1"/>
      <protection hidden="1"/>
    </xf>
    <xf numFmtId="0" fontId="91" fillId="0" borderId="46" xfId="0" applyFont="1" applyBorder="1" applyAlignment="1" applyProtection="1">
      <alignment horizontal="left" vertical="center" indent="1"/>
      <protection hidden="1"/>
    </xf>
    <xf numFmtId="0" fontId="91" fillId="0" borderId="45" xfId="0" applyFont="1" applyBorder="1" applyAlignment="1" applyProtection="1">
      <alignment horizontal="left" vertical="center" indent="2"/>
      <protection hidden="1"/>
    </xf>
    <xf numFmtId="0" fontId="91" fillId="0" borderId="46" xfId="0" applyFont="1" applyBorder="1" applyAlignment="1" applyProtection="1">
      <alignment horizontal="left" vertical="center" indent="2"/>
      <protection hidden="1"/>
    </xf>
    <xf numFmtId="0" fontId="12" fillId="0" borderId="46" xfId="0" applyFont="1" applyBorder="1" applyAlignment="1">
      <alignment horizontal="left" vertical="center"/>
    </xf>
    <xf numFmtId="0" fontId="12" fillId="0" borderId="45" xfId="0" applyFont="1" applyBorder="1" applyAlignment="1">
      <alignment horizontal="left" vertical="center" wrapText="1" indent="1"/>
    </xf>
    <xf numFmtId="0" fontId="12" fillId="0" borderId="46" xfId="0" applyFont="1" applyBorder="1" applyAlignment="1">
      <alignment horizontal="left" vertical="center" wrapText="1" indent="1"/>
    </xf>
    <xf numFmtId="3" fontId="7" fillId="0" borderId="98" xfId="0" applyNumberFormat="1" applyFont="1" applyBorder="1" applyAlignment="1" applyProtection="1">
      <alignment horizontal="center" vertical="center"/>
      <protection hidden="1"/>
    </xf>
    <xf numFmtId="3" fontId="7" fillId="0" borderId="90" xfId="0" applyNumberFormat="1" applyFont="1" applyBorder="1" applyAlignment="1" applyProtection="1">
      <alignment horizontal="center" vertical="center"/>
      <protection hidden="1"/>
    </xf>
    <xf numFmtId="3" fontId="4" fillId="0" borderId="113" xfId="0" applyNumberFormat="1" applyFont="1" applyBorder="1" applyAlignment="1" applyProtection="1">
      <alignment horizontal="center" vertical="center"/>
      <protection hidden="1"/>
    </xf>
    <xf numFmtId="3" fontId="4" fillId="0" borderId="114" xfId="0" applyNumberFormat="1" applyFont="1" applyBorder="1" applyAlignment="1" applyProtection="1">
      <alignment horizontal="center" vertical="center"/>
      <protection hidden="1"/>
    </xf>
    <xf numFmtId="0" fontId="84" fillId="13" borderId="12" xfId="0" applyFont="1" applyFill="1" applyBorder="1" applyAlignment="1" applyProtection="1">
      <alignment horizontal="center" vertical="center"/>
      <protection hidden="1"/>
    </xf>
    <xf numFmtId="0" fontId="84" fillId="13" borderId="2" xfId="0" applyFont="1" applyFill="1" applyBorder="1" applyAlignment="1" applyProtection="1">
      <alignment horizontal="center" vertical="center"/>
      <protection hidden="1"/>
    </xf>
    <xf numFmtId="0" fontId="84" fillId="13" borderId="9" xfId="0" applyFont="1" applyFill="1" applyBorder="1" applyAlignment="1" applyProtection="1">
      <alignment horizontal="center" vertical="center"/>
      <protection hidden="1"/>
    </xf>
    <xf numFmtId="49" fontId="84" fillId="13" borderId="27" xfId="0" applyNumberFormat="1" applyFont="1" applyFill="1" applyBorder="1" applyAlignment="1">
      <alignment horizontal="center" vertical="center"/>
    </xf>
    <xf numFmtId="0" fontId="84" fillId="13" borderId="0" xfId="0" applyFont="1" applyFill="1" applyAlignment="1">
      <alignment horizontal="center" vertical="center"/>
    </xf>
    <xf numFmtId="0" fontId="84" fillId="13" borderId="31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3" fontId="7" fillId="0" borderId="12" xfId="0" applyNumberFormat="1" applyFont="1" applyBorder="1" applyAlignment="1" applyProtection="1">
      <alignment horizontal="center" vertical="center"/>
      <protection hidden="1"/>
    </xf>
    <xf numFmtId="3" fontId="7" fillId="0" borderId="9" xfId="0" applyNumberFormat="1" applyFont="1" applyBorder="1" applyAlignment="1" applyProtection="1">
      <alignment horizontal="center" vertical="center"/>
      <protection hidden="1"/>
    </xf>
    <xf numFmtId="3" fontId="7" fillId="0" borderId="68" xfId="0" applyNumberFormat="1" applyFont="1" applyBorder="1" applyAlignment="1" applyProtection="1">
      <alignment horizontal="center" vertical="center"/>
      <protection hidden="1"/>
    </xf>
    <xf numFmtId="3" fontId="7" fillId="0" borderId="44" xfId="0" applyNumberFormat="1" applyFont="1" applyBorder="1" applyAlignment="1" applyProtection="1">
      <alignment horizontal="center" vertical="center"/>
      <protection hidden="1"/>
    </xf>
    <xf numFmtId="0" fontId="84" fillId="13" borderId="27" xfId="0" applyFont="1" applyFill="1" applyBorder="1" applyAlignment="1">
      <alignment horizontal="center" vertical="center"/>
    </xf>
    <xf numFmtId="0" fontId="84" fillId="13" borderId="28" xfId="0" applyFont="1" applyFill="1" applyBorder="1" applyAlignment="1">
      <alignment horizontal="center" vertical="center"/>
    </xf>
    <xf numFmtId="3" fontId="7" fillId="7" borderId="68" xfId="0" applyNumberFormat="1" applyFont="1" applyFill="1" applyBorder="1" applyAlignment="1" applyProtection="1">
      <alignment horizontal="center" vertical="center"/>
      <protection locked="0"/>
    </xf>
    <xf numFmtId="3" fontId="7" fillId="7" borderId="44" xfId="0" applyNumberFormat="1" applyFont="1" applyFill="1" applyBorder="1" applyAlignment="1" applyProtection="1">
      <alignment horizontal="center" vertical="center"/>
      <protection locked="0"/>
    </xf>
    <xf numFmtId="3" fontId="4" fillId="0" borderId="15" xfId="0" applyNumberFormat="1" applyFont="1" applyBorder="1" applyAlignment="1" applyProtection="1">
      <alignment horizontal="center" vertical="center"/>
      <protection hidden="1"/>
    </xf>
    <xf numFmtId="3" fontId="4" fillId="0" borderId="97" xfId="0" applyNumberFormat="1" applyFont="1" applyBorder="1" applyAlignment="1" applyProtection="1">
      <alignment horizontal="center" vertical="center"/>
      <protection hidden="1"/>
    </xf>
    <xf numFmtId="0" fontId="84" fillId="13" borderId="2" xfId="0" applyFont="1" applyFill="1" applyBorder="1" applyAlignment="1">
      <alignment horizontal="center" vertical="center"/>
    </xf>
    <xf numFmtId="0" fontId="84" fillId="13" borderId="9" xfId="0" applyFont="1" applyFill="1" applyBorder="1" applyAlignment="1">
      <alignment horizontal="center" vertical="center"/>
    </xf>
    <xf numFmtId="3" fontId="4" fillId="0" borderId="68" xfId="0" applyNumberFormat="1" applyFont="1" applyBorder="1" applyAlignment="1" applyProtection="1">
      <alignment horizontal="center" vertical="center"/>
      <protection hidden="1"/>
    </xf>
    <xf numFmtId="3" fontId="4" fillId="0" borderId="44" xfId="0" applyNumberFormat="1" applyFont="1" applyBorder="1" applyAlignment="1" applyProtection="1">
      <alignment horizontal="center" vertical="center"/>
      <protection hidden="1"/>
    </xf>
    <xf numFmtId="0" fontId="84" fillId="13" borderId="12" xfId="0" applyFont="1" applyFill="1" applyBorder="1" applyAlignment="1">
      <alignment horizontal="center" vertical="center"/>
    </xf>
    <xf numFmtId="0" fontId="84" fillId="13" borderId="1" xfId="0" applyFont="1" applyFill="1" applyBorder="1" applyAlignment="1">
      <alignment horizontal="center" vertical="center"/>
    </xf>
    <xf numFmtId="0" fontId="84" fillId="13" borderId="29" xfId="0" applyFont="1" applyFill="1" applyBorder="1" applyAlignment="1">
      <alignment horizontal="center" vertical="center" wrapText="1"/>
    </xf>
    <xf numFmtId="0" fontId="84" fillId="13" borderId="60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/>
    </xf>
    <xf numFmtId="0" fontId="4" fillId="0" borderId="60" xfId="0" applyFont="1" applyBorder="1" applyAlignment="1">
      <alignment horizontal="center" vertical="center"/>
    </xf>
    <xf numFmtId="0" fontId="4" fillId="0" borderId="62" xfId="0" applyFont="1" applyBorder="1" applyAlignment="1">
      <alignment horizontal="center" vertical="center"/>
    </xf>
    <xf numFmtId="0" fontId="81" fillId="13" borderId="19" xfId="0" applyFont="1" applyFill="1" applyBorder="1" applyAlignment="1">
      <alignment horizontal="center" vertical="center" wrapText="1"/>
    </xf>
    <xf numFmtId="0" fontId="81" fillId="13" borderId="60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60" xfId="0" applyFont="1" applyBorder="1" applyAlignment="1">
      <alignment horizontal="center" vertical="center" wrapText="1"/>
    </xf>
    <xf numFmtId="0" fontId="4" fillId="0" borderId="62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0" borderId="57" xfId="0" applyFont="1" applyBorder="1" applyAlignment="1">
      <alignment horizontal="center" vertical="center" wrapText="1"/>
    </xf>
    <xf numFmtId="0" fontId="4" fillId="0" borderId="66" xfId="0" applyFont="1" applyBorder="1" applyAlignment="1">
      <alignment horizontal="center" vertical="center" wrapText="1"/>
    </xf>
    <xf numFmtId="3" fontId="4" fillId="0" borderId="4" xfId="0" applyNumberFormat="1" applyFont="1" applyBorder="1" applyAlignment="1" applyProtection="1">
      <alignment horizontal="center" vertical="center"/>
      <protection hidden="1"/>
    </xf>
    <xf numFmtId="3" fontId="7" fillId="7" borderId="98" xfId="0" applyNumberFormat="1" applyFont="1" applyFill="1" applyBorder="1" applyAlignment="1" applyProtection="1">
      <alignment horizontal="center" vertical="center"/>
      <protection locked="0"/>
    </xf>
    <xf numFmtId="3" fontId="7" fillId="7" borderId="90" xfId="0" applyNumberFormat="1" applyFont="1" applyFill="1" applyBorder="1" applyAlignment="1" applyProtection="1">
      <alignment horizontal="center" vertical="center"/>
      <protection locked="0"/>
    </xf>
    <xf numFmtId="3" fontId="7" fillId="7" borderId="12" xfId="0" applyNumberFormat="1" applyFont="1" applyFill="1" applyBorder="1" applyAlignment="1" applyProtection="1">
      <alignment horizontal="center" vertical="center"/>
      <protection locked="0"/>
    </xf>
    <xf numFmtId="3" fontId="7" fillId="7" borderId="9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14" fontId="6" fillId="0" borderId="0" xfId="0" applyNumberFormat="1" applyFont="1" applyAlignment="1">
      <alignment horizontal="left" vertical="center"/>
    </xf>
    <xf numFmtId="0" fontId="84" fillId="13" borderId="1" xfId="0" applyFont="1" applyFill="1" applyBorder="1" applyAlignment="1" applyProtection="1">
      <alignment horizontal="center" vertical="center"/>
      <protection hidden="1"/>
    </xf>
    <xf numFmtId="0" fontId="6" fillId="0" borderId="42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85" xfId="0" applyFont="1" applyBorder="1" applyAlignment="1">
      <alignment horizontal="center" vertical="center"/>
    </xf>
    <xf numFmtId="0" fontId="80" fillId="13" borderId="12" xfId="0" applyFont="1" applyFill="1" applyBorder="1" applyAlignment="1">
      <alignment horizontal="center" vertical="center"/>
    </xf>
    <xf numFmtId="0" fontId="80" fillId="13" borderId="1" xfId="0" applyFont="1" applyFill="1" applyBorder="1" applyAlignment="1">
      <alignment horizontal="center" vertical="center"/>
    </xf>
    <xf numFmtId="0" fontId="80" fillId="13" borderId="27" xfId="0" applyFont="1" applyFill="1" applyBorder="1" applyAlignment="1">
      <alignment horizontal="center" vertical="center"/>
    </xf>
    <xf numFmtId="0" fontId="80" fillId="13" borderId="28" xfId="0" applyFont="1" applyFill="1" applyBorder="1" applyAlignment="1">
      <alignment horizontal="center" vertical="center"/>
    </xf>
    <xf numFmtId="0" fontId="80" fillId="13" borderId="41" xfId="0" applyFont="1" applyFill="1" applyBorder="1" applyAlignment="1">
      <alignment horizontal="center" vertical="center"/>
    </xf>
    <xf numFmtId="0" fontId="80" fillId="13" borderId="69" xfId="0" applyFont="1" applyFill="1" applyBorder="1" applyAlignment="1">
      <alignment horizontal="center" vertical="center"/>
    </xf>
    <xf numFmtId="0" fontId="56" fillId="0" borderId="0" xfId="0" applyFont="1" applyAlignment="1" applyProtection="1">
      <alignment horizontal="center" vertical="center"/>
      <protection locked="0"/>
    </xf>
    <xf numFmtId="14" fontId="0" fillId="0" borderId="0" xfId="0" applyNumberFormat="1" applyAlignment="1">
      <alignment horizontal="center" vertical="center"/>
    </xf>
    <xf numFmtId="0" fontId="7" fillId="0" borderId="0" xfId="0" applyFont="1" applyAlignment="1" applyProtection="1">
      <alignment horizontal="left"/>
      <protection hidden="1"/>
    </xf>
    <xf numFmtId="0" fontId="81" fillId="13" borderId="13" xfId="0" applyFont="1" applyFill="1" applyBorder="1" applyAlignment="1" applyProtection="1">
      <alignment horizontal="center" vertical="center"/>
      <protection hidden="1"/>
    </xf>
    <xf numFmtId="0" fontId="81" fillId="13" borderId="26" xfId="0" applyFont="1" applyFill="1" applyBorder="1" applyAlignment="1" applyProtection="1">
      <alignment horizontal="center" vertical="center"/>
      <protection hidden="1"/>
    </xf>
    <xf numFmtId="0" fontId="11" fillId="0" borderId="23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61" fillId="13" borderId="12" xfId="0" applyFont="1" applyFill="1" applyBorder="1" applyAlignment="1" applyProtection="1">
      <alignment horizontal="center" vertical="center"/>
      <protection hidden="1"/>
    </xf>
    <xf numFmtId="0" fontId="61" fillId="13" borderId="1" xfId="0" applyFont="1" applyFill="1" applyBorder="1" applyAlignment="1" applyProtection="1">
      <alignment horizontal="center" vertical="center"/>
      <protection hidden="1"/>
    </xf>
    <xf numFmtId="1" fontId="61" fillId="13" borderId="27" xfId="0" applyNumberFormat="1" applyFont="1" applyFill="1" applyBorder="1" applyAlignment="1" applyProtection="1">
      <alignment horizontal="center" vertical="center"/>
      <protection hidden="1"/>
    </xf>
    <xf numFmtId="1" fontId="61" fillId="13" borderId="28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right" vertical="top"/>
      <protection hidden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14" fontId="6" fillId="0" borderId="16" xfId="0" applyNumberFormat="1" applyFont="1" applyBorder="1" applyAlignment="1">
      <alignment horizontal="left" vertical="center"/>
    </xf>
    <xf numFmtId="0" fontId="81" fillId="13" borderId="0" xfId="0" applyFont="1" applyFill="1" applyAlignment="1">
      <alignment horizontal="right" vertical="center" wrapText="1" indent="1"/>
    </xf>
    <xf numFmtId="0" fontId="7" fillId="0" borderId="0" xfId="0" applyFont="1" applyAlignment="1" applyProtection="1">
      <alignment horizontal="right" vertical="center"/>
      <protection hidden="1"/>
    </xf>
    <xf numFmtId="0" fontId="6" fillId="0" borderId="16" xfId="0" applyFont="1" applyBorder="1" applyAlignment="1" applyProtection="1">
      <alignment horizontal="left" vertical="center"/>
      <protection hidden="1"/>
    </xf>
    <xf numFmtId="0" fontId="4" fillId="5" borderId="20" xfId="0" applyFont="1" applyFill="1" applyBorder="1" applyAlignment="1" applyProtection="1">
      <alignment horizontal="center" vertical="center"/>
      <protection locked="0"/>
    </xf>
    <xf numFmtId="0" fontId="4" fillId="5" borderId="44" xfId="0" applyFont="1" applyFill="1" applyBorder="1" applyAlignment="1" applyProtection="1">
      <alignment horizontal="center" vertical="center"/>
      <protection locked="0"/>
    </xf>
    <xf numFmtId="0" fontId="11" fillId="0" borderId="20" xfId="0" applyFont="1" applyBorder="1" applyAlignment="1">
      <alignment horizontal="left" vertical="center" indent="1"/>
    </xf>
    <xf numFmtId="0" fontId="11" fillId="0" borderId="44" xfId="0" applyFont="1" applyBorder="1" applyAlignment="1">
      <alignment horizontal="left" vertical="center" indent="1"/>
    </xf>
    <xf numFmtId="0" fontId="11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61" fillId="13" borderId="0" xfId="0" applyFont="1" applyFill="1" applyAlignment="1">
      <alignment horizontal="center" vertical="center" wrapText="1"/>
    </xf>
    <xf numFmtId="0" fontId="79" fillId="13" borderId="0" xfId="0" applyFont="1" applyFill="1" applyAlignment="1">
      <alignment horizontal="center" vertical="center" wrapText="1"/>
    </xf>
    <xf numFmtId="0" fontId="12" fillId="0" borderId="45" xfId="0" quotePrefix="1" applyFont="1" applyBorder="1" applyAlignment="1">
      <alignment horizontal="left" vertical="center"/>
    </xf>
    <xf numFmtId="0" fontId="91" fillId="0" borderId="45" xfId="0" applyFont="1" applyBorder="1" applyAlignment="1" applyProtection="1">
      <alignment horizontal="right" vertical="center"/>
      <protection hidden="1"/>
    </xf>
    <xf numFmtId="0" fontId="12" fillId="0" borderId="75" xfId="0" applyFont="1" applyBorder="1" applyAlignment="1">
      <alignment horizontal="left" vertical="center"/>
    </xf>
    <xf numFmtId="0" fontId="80" fillId="13" borderId="12" xfId="0" applyFont="1" applyFill="1" applyBorder="1" applyAlignment="1">
      <alignment horizontal="left" vertical="center" indent="1"/>
    </xf>
    <xf numFmtId="0" fontId="80" fillId="13" borderId="2" xfId="0" applyFont="1" applyFill="1" applyBorder="1" applyAlignment="1">
      <alignment horizontal="left" vertical="center" indent="1"/>
    </xf>
    <xf numFmtId="0" fontId="80" fillId="13" borderId="9" xfId="0" applyFont="1" applyFill="1" applyBorder="1" applyAlignment="1">
      <alignment horizontal="left" vertical="center" indent="1"/>
    </xf>
    <xf numFmtId="0" fontId="80" fillId="13" borderId="27" xfId="0" applyFont="1" applyFill="1" applyBorder="1" applyAlignment="1">
      <alignment horizontal="left" vertical="center" indent="1"/>
    </xf>
    <xf numFmtId="0" fontId="80" fillId="13" borderId="0" xfId="0" applyFont="1" applyFill="1" applyAlignment="1">
      <alignment horizontal="left" vertical="center" indent="1"/>
    </xf>
    <xf numFmtId="0" fontId="80" fillId="13" borderId="31" xfId="0" applyFont="1" applyFill="1" applyBorder="1" applyAlignment="1">
      <alignment horizontal="left" vertical="center" indent="1"/>
    </xf>
    <xf numFmtId="0" fontId="80" fillId="13" borderId="13" xfId="0" applyFont="1" applyFill="1" applyBorder="1" applyAlignment="1">
      <alignment horizontal="left" vertical="center" indent="1"/>
    </xf>
    <xf numFmtId="0" fontId="80" fillId="13" borderId="34" xfId="0" applyFont="1" applyFill="1" applyBorder="1" applyAlignment="1">
      <alignment horizontal="left" vertical="center" indent="1"/>
    </xf>
    <xf numFmtId="0" fontId="80" fillId="13" borderId="43" xfId="0" applyFont="1" applyFill="1" applyBorder="1" applyAlignment="1">
      <alignment horizontal="left" vertical="center" indent="1"/>
    </xf>
    <xf numFmtId="0" fontId="12" fillId="0" borderId="72" xfId="0" applyFont="1" applyBorder="1" applyAlignment="1" applyProtection="1">
      <alignment horizontal="left" vertical="center"/>
      <protection hidden="1"/>
    </xf>
    <xf numFmtId="0" fontId="12" fillId="0" borderId="73" xfId="0" applyFont="1" applyBorder="1" applyAlignment="1" applyProtection="1">
      <alignment horizontal="left" vertical="center"/>
      <protection hidden="1"/>
    </xf>
    <xf numFmtId="0" fontId="12" fillId="0" borderId="116" xfId="0" applyFont="1" applyBorder="1" applyAlignment="1" applyProtection="1">
      <alignment horizontal="left" vertical="center"/>
      <protection hidden="1"/>
    </xf>
    <xf numFmtId="0" fontId="42" fillId="0" borderId="72" xfId="0" applyFont="1" applyBorder="1" applyAlignment="1" applyProtection="1">
      <alignment horizontal="left" vertical="center"/>
      <protection hidden="1"/>
    </xf>
    <xf numFmtId="0" fontId="42" fillId="0" borderId="73" xfId="0" applyFont="1" applyBorder="1" applyAlignment="1" applyProtection="1">
      <alignment horizontal="left" vertical="center"/>
      <protection hidden="1"/>
    </xf>
    <xf numFmtId="0" fontId="42" fillId="0" borderId="116" xfId="0" applyFont="1" applyBorder="1" applyAlignment="1" applyProtection="1">
      <alignment horizontal="left" vertical="center"/>
      <protection hidden="1"/>
    </xf>
    <xf numFmtId="0" fontId="93" fillId="0" borderId="72" xfId="0" applyFont="1" applyBorder="1" applyAlignment="1" applyProtection="1">
      <alignment horizontal="left" vertical="center"/>
      <protection hidden="1"/>
    </xf>
    <xf numFmtId="0" fontId="93" fillId="0" borderId="73" xfId="0" applyFont="1" applyBorder="1" applyAlignment="1" applyProtection="1">
      <alignment horizontal="left" vertical="center"/>
      <protection hidden="1"/>
    </xf>
    <xf numFmtId="0" fontId="93" fillId="0" borderId="116" xfId="0" applyFont="1" applyBorder="1" applyAlignment="1" applyProtection="1">
      <alignment horizontal="left" vertical="center"/>
      <protection hidden="1"/>
    </xf>
    <xf numFmtId="0" fontId="12" fillId="0" borderId="70" xfId="0" applyFont="1" applyBorder="1" applyAlignment="1" applyProtection="1">
      <alignment horizontal="left" vertical="center"/>
      <protection hidden="1"/>
    </xf>
    <xf numFmtId="0" fontId="12" fillId="0" borderId="71" xfId="0" applyFont="1" applyBorder="1" applyAlignment="1" applyProtection="1">
      <alignment horizontal="left" vertical="center"/>
      <protection hidden="1"/>
    </xf>
    <xf numFmtId="0" fontId="12" fillId="0" borderId="169" xfId="0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 vertical="center"/>
      <protection hidden="1"/>
    </xf>
    <xf numFmtId="0" fontId="6" fillId="0" borderId="12" xfId="0" applyFont="1" applyBorder="1" applyAlignment="1">
      <alignment horizontal="left" vertical="center" indent="1"/>
    </xf>
    <xf numFmtId="0" fontId="6" fillId="0" borderId="2" xfId="0" applyFont="1" applyBorder="1" applyAlignment="1">
      <alignment horizontal="left" vertical="center" indent="1"/>
    </xf>
    <xf numFmtId="0" fontId="6" fillId="0" borderId="9" xfId="0" applyFont="1" applyBorder="1" applyAlignment="1">
      <alignment horizontal="left" vertical="center" indent="1"/>
    </xf>
    <xf numFmtId="0" fontId="6" fillId="0" borderId="27" xfId="0" applyFont="1" applyBorder="1" applyAlignment="1">
      <alignment horizontal="left" vertical="center" indent="1"/>
    </xf>
    <xf numFmtId="0" fontId="6" fillId="0" borderId="0" xfId="0" applyFont="1" applyAlignment="1">
      <alignment horizontal="left" vertical="center" indent="1"/>
    </xf>
    <xf numFmtId="0" fontId="6" fillId="0" borderId="31" xfId="0" applyFont="1" applyBorder="1" applyAlignment="1">
      <alignment horizontal="left" vertical="center" indent="1"/>
    </xf>
    <xf numFmtId="164" fontId="7" fillId="0" borderId="0" xfId="2" applyNumberFormat="1" applyFont="1" applyAlignment="1" applyProtection="1">
      <alignment horizontal="right" vertical="center"/>
      <protection hidden="1"/>
    </xf>
    <xf numFmtId="0" fontId="12" fillId="0" borderId="34" xfId="0" applyFont="1" applyBorder="1" applyAlignment="1">
      <alignment horizontal="left" vertical="center"/>
    </xf>
    <xf numFmtId="0" fontId="80" fillId="13" borderId="12" xfId="0" applyFont="1" applyFill="1" applyBorder="1" applyAlignment="1" applyProtection="1">
      <alignment horizontal="left" vertical="center" indent="1"/>
      <protection hidden="1"/>
    </xf>
    <xf numFmtId="0" fontId="80" fillId="13" borderId="2" xfId="0" applyFont="1" applyFill="1" applyBorder="1" applyAlignment="1" applyProtection="1">
      <alignment horizontal="left" vertical="center" indent="1"/>
      <protection hidden="1"/>
    </xf>
    <xf numFmtId="0" fontId="80" fillId="13" borderId="9" xfId="0" applyFont="1" applyFill="1" applyBorder="1" applyAlignment="1" applyProtection="1">
      <alignment horizontal="left" vertical="center" indent="1"/>
      <protection hidden="1"/>
    </xf>
    <xf numFmtId="0" fontId="80" fillId="13" borderId="13" xfId="0" applyFont="1" applyFill="1" applyBorder="1" applyAlignment="1" applyProtection="1">
      <alignment horizontal="left" vertical="center" indent="1"/>
      <protection hidden="1"/>
    </xf>
    <xf numFmtId="0" fontId="80" fillId="13" borderId="34" xfId="0" applyFont="1" applyFill="1" applyBorder="1" applyAlignment="1" applyProtection="1">
      <alignment horizontal="left" vertical="center" indent="1"/>
      <protection hidden="1"/>
    </xf>
    <xf numFmtId="0" fontId="80" fillId="13" borderId="43" xfId="0" applyFont="1" applyFill="1" applyBorder="1" applyAlignment="1" applyProtection="1">
      <alignment horizontal="left" vertical="center" indent="1"/>
      <protection hidden="1"/>
    </xf>
    <xf numFmtId="0" fontId="80" fillId="13" borderId="12" xfId="0" applyFont="1" applyFill="1" applyBorder="1" applyAlignment="1">
      <alignment horizontal="left" vertical="center" wrapText="1" indent="1"/>
    </xf>
    <xf numFmtId="0" fontId="80" fillId="13" borderId="2" xfId="0" applyFont="1" applyFill="1" applyBorder="1" applyAlignment="1">
      <alignment horizontal="left" vertical="center" wrapText="1" indent="1"/>
    </xf>
    <xf numFmtId="0" fontId="80" fillId="13" borderId="9" xfId="0" applyFont="1" applyFill="1" applyBorder="1" applyAlignment="1">
      <alignment horizontal="left" vertical="center" wrapText="1" indent="1"/>
    </xf>
    <xf numFmtId="0" fontId="80" fillId="13" borderId="27" xfId="0" applyFont="1" applyFill="1" applyBorder="1" applyAlignment="1">
      <alignment horizontal="left" vertical="center" wrapText="1" indent="1"/>
    </xf>
    <xf numFmtId="0" fontId="80" fillId="13" borderId="0" xfId="0" applyFont="1" applyFill="1" applyAlignment="1">
      <alignment horizontal="left" vertical="center" wrapText="1" indent="1"/>
    </xf>
    <xf numFmtId="0" fontId="80" fillId="13" borderId="31" xfId="0" applyFont="1" applyFill="1" applyBorder="1" applyAlignment="1">
      <alignment horizontal="left" vertical="center" wrapText="1" indent="1"/>
    </xf>
    <xf numFmtId="0" fontId="80" fillId="13" borderId="13" xfId="0" applyFont="1" applyFill="1" applyBorder="1" applyAlignment="1">
      <alignment horizontal="left" vertical="center" wrapText="1" indent="1"/>
    </xf>
    <xf numFmtId="0" fontId="80" fillId="13" borderId="34" xfId="0" applyFont="1" applyFill="1" applyBorder="1" applyAlignment="1">
      <alignment horizontal="left" vertical="center" wrapText="1" indent="1"/>
    </xf>
    <xf numFmtId="0" fontId="80" fillId="13" borderId="43" xfId="0" applyFont="1" applyFill="1" applyBorder="1" applyAlignment="1">
      <alignment horizontal="left" vertical="center" wrapText="1" indent="1"/>
    </xf>
    <xf numFmtId="0" fontId="11" fillId="0" borderId="0" xfId="0" applyFont="1" applyAlignment="1" applyProtection="1">
      <alignment horizontal="right" vertical="top" wrapText="1"/>
      <protection hidden="1"/>
    </xf>
    <xf numFmtId="0" fontId="12" fillId="0" borderId="0" xfId="0" applyFont="1" applyAlignment="1">
      <alignment horizontal="left" vertical="center" wrapText="1"/>
    </xf>
    <xf numFmtId="0" fontId="12" fillId="0" borderId="31" xfId="0" applyFont="1" applyBorder="1" applyAlignment="1">
      <alignment horizontal="left" vertical="center" wrapText="1"/>
    </xf>
    <xf numFmtId="0" fontId="12" fillId="0" borderId="45" xfId="0" applyFont="1" applyBorder="1" applyAlignment="1">
      <alignment horizontal="left" vertical="center" wrapText="1"/>
    </xf>
    <xf numFmtId="0" fontId="12" fillId="0" borderId="72" xfId="0" applyFont="1" applyBorder="1" applyAlignment="1">
      <alignment horizontal="left" vertical="center"/>
    </xf>
    <xf numFmtId="0" fontId="12" fillId="0" borderId="73" xfId="0" applyFont="1" applyBorder="1" applyAlignment="1">
      <alignment horizontal="left" vertical="center"/>
    </xf>
    <xf numFmtId="0" fontId="12" fillId="0" borderId="116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2" fontId="6" fillId="0" borderId="16" xfId="0" applyNumberFormat="1" applyFont="1" applyBorder="1" applyAlignment="1" applyProtection="1">
      <alignment horizontal="left" vertical="center"/>
      <protection hidden="1"/>
    </xf>
    <xf numFmtId="0" fontId="42" fillId="0" borderId="70" xfId="0" applyFont="1" applyBorder="1" applyAlignment="1" applyProtection="1">
      <alignment horizontal="left" vertical="center"/>
      <protection hidden="1"/>
    </xf>
    <xf numFmtId="0" fontId="42" fillId="0" borderId="71" xfId="0" applyFont="1" applyBorder="1" applyAlignment="1" applyProtection="1">
      <alignment horizontal="left" vertical="center"/>
      <protection hidden="1"/>
    </xf>
    <xf numFmtId="0" fontId="42" fillId="0" borderId="169" xfId="0" applyFont="1" applyBorder="1" applyAlignment="1" applyProtection="1">
      <alignment horizontal="left" vertical="center"/>
      <protection hidden="1"/>
    </xf>
    <xf numFmtId="0" fontId="82" fillId="13" borderId="150" xfId="0" applyFont="1" applyFill="1" applyBorder="1" applyAlignment="1">
      <alignment horizontal="center" vertical="center" wrapText="1"/>
    </xf>
    <xf numFmtId="0" fontId="82" fillId="13" borderId="40" xfId="0" applyFont="1" applyFill="1" applyBorder="1" applyAlignment="1">
      <alignment horizontal="center" vertical="center" wrapText="1"/>
    </xf>
    <xf numFmtId="0" fontId="82" fillId="13" borderId="151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center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7" fillId="0" borderId="32" xfId="0" applyFont="1" applyBorder="1" applyAlignment="1" applyProtection="1">
      <alignment horizontal="center" vertical="center" wrapText="1"/>
      <protection hidden="1"/>
    </xf>
    <xf numFmtId="0" fontId="11" fillId="0" borderId="17" xfId="0" applyFont="1" applyBorder="1" applyAlignment="1" applyProtection="1">
      <alignment horizontal="center" vertical="center"/>
      <protection hidden="1"/>
    </xf>
    <xf numFmtId="17" fontId="7" fillId="0" borderId="20" xfId="0" applyNumberFormat="1" applyFont="1" applyBorder="1" applyAlignment="1" applyProtection="1">
      <alignment horizontal="center" vertical="center"/>
      <protection hidden="1"/>
    </xf>
    <xf numFmtId="17" fontId="7" fillId="0" borderId="67" xfId="0" applyNumberFormat="1" applyFont="1" applyBorder="1" applyAlignment="1" applyProtection="1">
      <alignment horizontal="center" vertical="center"/>
      <protection hidden="1"/>
    </xf>
    <xf numFmtId="10" fontId="4" fillId="5" borderId="38" xfId="2" applyNumberFormat="1" applyFont="1" applyFill="1" applyBorder="1" applyAlignment="1" applyProtection="1">
      <alignment horizontal="right" vertical="center"/>
      <protection hidden="1"/>
    </xf>
    <xf numFmtId="10" fontId="4" fillId="5" borderId="17" xfId="2" applyNumberFormat="1" applyFont="1" applyFill="1" applyBorder="1" applyAlignment="1" applyProtection="1">
      <alignment horizontal="right" vertical="center"/>
      <protection hidden="1"/>
    </xf>
    <xf numFmtId="10" fontId="4" fillId="5" borderId="44" xfId="2" applyNumberFormat="1" applyFont="1" applyFill="1" applyBorder="1" applyAlignment="1" applyProtection="1">
      <alignment horizontal="right" vertical="center"/>
      <protection hidden="1"/>
    </xf>
    <xf numFmtId="0" fontId="6" fillId="0" borderId="0" xfId="0" applyFont="1" applyAlignment="1">
      <alignment horizontal="right"/>
    </xf>
    <xf numFmtId="0" fontId="42" fillId="0" borderId="23" xfId="0" applyFont="1" applyBorder="1" applyAlignment="1" applyProtection="1">
      <alignment horizontal="left" vertical="center"/>
      <protection hidden="1"/>
    </xf>
    <xf numFmtId="0" fontId="55" fillId="0" borderId="16" xfId="0" applyFont="1" applyBorder="1" applyAlignment="1" applyProtection="1">
      <alignment horizontal="left" vertical="center"/>
      <protection hidden="1"/>
    </xf>
    <xf numFmtId="0" fontId="55" fillId="0" borderId="59" xfId="0" applyFont="1" applyBorder="1" applyAlignment="1" applyProtection="1">
      <alignment horizontal="left" vertical="center"/>
      <protection hidden="1"/>
    </xf>
    <xf numFmtId="0" fontId="42" fillId="0" borderId="20" xfId="0" applyFont="1" applyBorder="1" applyAlignment="1">
      <alignment horizontal="left" vertical="center"/>
    </xf>
    <xf numFmtId="0" fontId="52" fillId="0" borderId="44" xfId="0" applyFont="1" applyBorder="1" applyAlignment="1">
      <alignment horizontal="left" vertical="center"/>
    </xf>
    <xf numFmtId="0" fontId="6" fillId="0" borderId="0" xfId="0" applyFont="1" applyAlignment="1" applyProtection="1">
      <alignment horizontal="left" vertical="center"/>
      <protection hidden="1"/>
    </xf>
    <xf numFmtId="0" fontId="6" fillId="2" borderId="0" xfId="0" applyFont="1" applyFill="1" applyAlignment="1" applyProtection="1">
      <alignment horizontal="left"/>
      <protection hidden="1"/>
    </xf>
    <xf numFmtId="0" fontId="12" fillId="0" borderId="19" xfId="0" applyFont="1" applyBorder="1" applyAlignment="1" applyProtection="1">
      <alignment horizontal="center" vertical="center"/>
      <protection hidden="1"/>
    </xf>
    <xf numFmtId="0" fontId="12" fillId="0" borderId="32" xfId="0" applyFont="1" applyBorder="1" applyAlignment="1" applyProtection="1">
      <alignment horizontal="center" vertical="center"/>
      <protection hidden="1"/>
    </xf>
    <xf numFmtId="0" fontId="42" fillId="0" borderId="20" xfId="0" applyFont="1" applyBorder="1" applyAlignment="1" applyProtection="1">
      <alignment horizontal="left" vertical="center"/>
      <protection hidden="1"/>
    </xf>
    <xf numFmtId="0" fontId="42" fillId="0" borderId="10" xfId="0" applyFont="1" applyBorder="1" applyAlignment="1" applyProtection="1">
      <alignment horizontal="left" vertical="center"/>
      <protection hidden="1"/>
    </xf>
    <xf numFmtId="0" fontId="42" fillId="0" borderId="44" xfId="0" applyFont="1" applyBorder="1" applyAlignment="1" applyProtection="1">
      <alignment horizontal="left" vertical="center"/>
      <protection hidden="1"/>
    </xf>
    <xf numFmtId="0" fontId="61" fillId="13" borderId="20" xfId="0" applyFont="1" applyFill="1" applyBorder="1" applyAlignment="1">
      <alignment horizontal="left" vertical="center"/>
    </xf>
    <xf numFmtId="0" fontId="61" fillId="13" borderId="10" xfId="0" applyFont="1" applyFill="1" applyBorder="1" applyAlignment="1">
      <alignment horizontal="left" vertical="center"/>
    </xf>
    <xf numFmtId="0" fontId="61" fillId="13" borderId="44" xfId="0" applyFont="1" applyFill="1" applyBorder="1" applyAlignment="1">
      <alignment horizontal="left" vertical="center"/>
    </xf>
    <xf numFmtId="0" fontId="8" fillId="2" borderId="0" xfId="0" applyFont="1" applyFill="1" applyAlignment="1">
      <alignment horizontal="right" vertical="center"/>
    </xf>
    <xf numFmtId="0" fontId="9" fillId="2" borderId="0" xfId="0" applyFont="1" applyFill="1" applyAlignment="1" applyProtection="1">
      <alignment horizontal="left" vertical="center"/>
      <protection hidden="1"/>
    </xf>
    <xf numFmtId="0" fontId="42" fillId="0" borderId="88" xfId="0" applyFont="1" applyBorder="1" applyAlignment="1">
      <alignment horizontal="left" vertical="center"/>
    </xf>
    <xf numFmtId="0" fontId="52" fillId="0" borderId="89" xfId="0" applyFont="1" applyBorder="1" applyAlignment="1">
      <alignment horizontal="left" vertical="center"/>
    </xf>
    <xf numFmtId="0" fontId="52" fillId="0" borderId="90" xfId="0" applyFont="1" applyBorder="1" applyAlignment="1">
      <alignment horizontal="left" vertical="center"/>
    </xf>
    <xf numFmtId="0" fontId="42" fillId="7" borderId="20" xfId="0" applyFont="1" applyFill="1" applyBorder="1" applyAlignment="1" applyProtection="1">
      <alignment horizontal="left" vertical="center"/>
      <protection locked="0"/>
    </xf>
    <xf numFmtId="0" fontId="42" fillId="7" borderId="10" xfId="0" applyFont="1" applyFill="1" applyBorder="1" applyAlignment="1" applyProtection="1">
      <alignment horizontal="left" vertical="center"/>
      <protection locked="0"/>
    </xf>
    <xf numFmtId="0" fontId="42" fillId="7" borderId="44" xfId="0" applyFont="1" applyFill="1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right"/>
      <protection hidden="1"/>
    </xf>
    <xf numFmtId="0" fontId="12" fillId="0" borderId="20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44" xfId="0" applyFont="1" applyBorder="1" applyAlignment="1">
      <alignment horizontal="left" vertical="center"/>
    </xf>
    <xf numFmtId="0" fontId="81" fillId="13" borderId="159" xfId="0" applyFont="1" applyFill="1" applyBorder="1" applyAlignment="1">
      <alignment horizontal="left" vertical="center"/>
    </xf>
    <xf numFmtId="0" fontId="81" fillId="13" borderId="160" xfId="0" applyFont="1" applyFill="1" applyBorder="1" applyAlignment="1">
      <alignment horizontal="left" vertical="center"/>
    </xf>
    <xf numFmtId="0" fontId="81" fillId="13" borderId="161" xfId="0" applyFont="1" applyFill="1" applyBorder="1" applyAlignment="1">
      <alignment horizontal="left" vertical="center"/>
    </xf>
    <xf numFmtId="0" fontId="11" fillId="5" borderId="23" xfId="0" applyFont="1" applyFill="1" applyBorder="1" applyAlignment="1" applyProtection="1">
      <alignment horizontal="left" vertical="center"/>
      <protection hidden="1"/>
    </xf>
    <xf numFmtId="0" fontId="11" fillId="5" borderId="16" xfId="0" applyFont="1" applyFill="1" applyBorder="1" applyAlignment="1" applyProtection="1">
      <alignment horizontal="left" vertical="center"/>
      <protection hidden="1"/>
    </xf>
    <xf numFmtId="0" fontId="11" fillId="5" borderId="59" xfId="0" applyFont="1" applyFill="1" applyBorder="1" applyAlignment="1" applyProtection="1">
      <alignment horizontal="left" vertical="center"/>
      <protection hidden="1"/>
    </xf>
    <xf numFmtId="0" fontId="12" fillId="0" borderId="10" xfId="0" applyFont="1" applyBorder="1" applyAlignment="1">
      <alignment horizontal="left" vertical="center"/>
    </xf>
    <xf numFmtId="0" fontId="12" fillId="0" borderId="44" xfId="0" applyFont="1" applyBorder="1" applyAlignment="1">
      <alignment horizontal="left" vertical="center"/>
    </xf>
    <xf numFmtId="0" fontId="12" fillId="0" borderId="186" xfId="0" applyFont="1" applyBorder="1" applyAlignment="1" applyProtection="1">
      <alignment horizontal="center" vertical="center"/>
      <protection hidden="1"/>
    </xf>
    <xf numFmtId="0" fontId="11" fillId="5" borderId="18" xfId="0" applyFont="1" applyFill="1" applyBorder="1" applyAlignment="1" applyProtection="1">
      <alignment horizontal="left" vertical="center"/>
      <protection hidden="1"/>
    </xf>
    <xf numFmtId="0" fontId="11" fillId="5" borderId="7" xfId="0" applyFont="1" applyFill="1" applyBorder="1" applyAlignment="1" applyProtection="1">
      <alignment horizontal="left" vertical="center"/>
      <protection hidden="1"/>
    </xf>
    <xf numFmtId="0" fontId="11" fillId="5" borderId="8" xfId="0" applyFont="1" applyFill="1" applyBorder="1" applyAlignment="1" applyProtection="1">
      <alignment horizontal="left" vertical="center"/>
      <protection hidden="1"/>
    </xf>
    <xf numFmtId="0" fontId="12" fillId="7" borderId="20" xfId="0" applyFont="1" applyFill="1" applyBorder="1" applyAlignment="1" applyProtection="1">
      <alignment horizontal="left" vertical="center"/>
      <protection locked="0"/>
    </xf>
    <xf numFmtId="0" fontId="12" fillId="7" borderId="10" xfId="0" applyFont="1" applyFill="1" applyBorder="1" applyAlignment="1" applyProtection="1">
      <alignment horizontal="left" vertical="center"/>
      <protection locked="0"/>
    </xf>
    <xf numFmtId="0" fontId="12" fillId="7" borderId="44" xfId="0" applyFont="1" applyFill="1" applyBorder="1" applyAlignment="1" applyProtection="1">
      <alignment horizontal="left" vertical="center"/>
      <protection locked="0"/>
    </xf>
    <xf numFmtId="0" fontId="12" fillId="7" borderId="88" xfId="0" applyFont="1" applyFill="1" applyBorder="1" applyAlignment="1" applyProtection="1">
      <alignment horizontal="left" vertical="center"/>
      <protection locked="0"/>
    </xf>
    <xf numFmtId="0" fontId="12" fillId="7" borderId="89" xfId="0" applyFont="1" applyFill="1" applyBorder="1" applyAlignment="1" applyProtection="1">
      <alignment horizontal="left" vertical="center"/>
      <protection locked="0"/>
    </xf>
    <xf numFmtId="0" fontId="12" fillId="7" borderId="90" xfId="0" applyFont="1" applyFill="1" applyBorder="1" applyAlignment="1" applyProtection="1">
      <alignment horizontal="left" vertical="center"/>
      <protection locked="0"/>
    </xf>
    <xf numFmtId="0" fontId="8" fillId="2" borderId="0" xfId="0" applyFont="1" applyFill="1" applyAlignment="1" applyProtection="1">
      <alignment horizontal="right"/>
      <protection hidden="1"/>
    </xf>
    <xf numFmtId="0" fontId="42" fillId="0" borderId="10" xfId="0" applyFont="1" applyBorder="1" applyAlignment="1">
      <alignment horizontal="left" vertical="center"/>
    </xf>
    <xf numFmtId="0" fontId="42" fillId="0" borderId="44" xfId="0" applyFont="1" applyBorder="1" applyAlignment="1">
      <alignment horizontal="left" vertical="center"/>
    </xf>
    <xf numFmtId="0" fontId="55" fillId="0" borderId="122" xfId="0" applyFont="1" applyBorder="1" applyAlignment="1" applyProtection="1">
      <alignment horizontal="left"/>
      <protection hidden="1"/>
    </xf>
    <xf numFmtId="0" fontId="55" fillId="0" borderId="123" xfId="0" applyFont="1" applyBorder="1" applyAlignment="1" applyProtection="1">
      <alignment horizontal="left"/>
      <protection hidden="1"/>
    </xf>
    <xf numFmtId="0" fontId="55" fillId="0" borderId="124" xfId="0" applyFont="1" applyBorder="1" applyAlignment="1" applyProtection="1">
      <alignment horizontal="left"/>
      <protection hidden="1"/>
    </xf>
    <xf numFmtId="16" fontId="12" fillId="0" borderId="20" xfId="0" quotePrefix="1" applyNumberFormat="1" applyFont="1" applyBorder="1" applyAlignment="1">
      <alignment horizontal="left" vertical="center"/>
    </xf>
    <xf numFmtId="16" fontId="36" fillId="0" borderId="10" xfId="0" quotePrefix="1" applyNumberFormat="1" applyFont="1" applyBorder="1" applyAlignment="1">
      <alignment horizontal="left" vertical="center"/>
    </xf>
    <xf numFmtId="16" fontId="36" fillId="0" borderId="44" xfId="0" quotePrefix="1" applyNumberFormat="1" applyFont="1" applyBorder="1" applyAlignment="1">
      <alignment horizontal="left" vertical="center"/>
    </xf>
    <xf numFmtId="0" fontId="12" fillId="0" borderId="20" xfId="0" applyFont="1" applyBorder="1" applyAlignment="1">
      <alignment horizontal="left" vertical="top"/>
    </xf>
    <xf numFmtId="0" fontId="3" fillId="0" borderId="10" xfId="0" applyFont="1" applyBorder="1" applyAlignment="1">
      <alignment horizontal="left" vertical="top"/>
    </xf>
    <xf numFmtId="0" fontId="3" fillId="0" borderId="44" xfId="0" applyFont="1" applyBorder="1" applyAlignment="1">
      <alignment horizontal="left" vertical="top"/>
    </xf>
    <xf numFmtId="0" fontId="61" fillId="13" borderId="159" xfId="0" applyFont="1" applyFill="1" applyBorder="1" applyAlignment="1">
      <alignment horizontal="left" vertical="center"/>
    </xf>
    <xf numFmtId="0" fontId="61" fillId="13" borderId="160" xfId="0" applyFont="1" applyFill="1" applyBorder="1" applyAlignment="1">
      <alignment horizontal="left" vertical="center"/>
    </xf>
    <xf numFmtId="0" fontId="61" fillId="13" borderId="161" xfId="0" applyFont="1" applyFill="1" applyBorder="1" applyAlignment="1">
      <alignment horizontal="left" vertical="center"/>
    </xf>
    <xf numFmtId="0" fontId="51" fillId="0" borderId="122" xfId="0" applyFont="1" applyBorder="1" applyAlignment="1" applyProtection="1">
      <alignment horizontal="left" vertical="center"/>
      <protection hidden="1"/>
    </xf>
    <xf numFmtId="0" fontId="51" fillId="0" borderId="123" xfId="0" applyFont="1" applyBorder="1" applyAlignment="1" applyProtection="1">
      <alignment horizontal="left" vertical="center"/>
      <protection hidden="1"/>
    </xf>
    <xf numFmtId="0" fontId="12" fillId="0" borderId="23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3" fillId="0" borderId="59" xfId="0" applyFont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59" fillId="0" borderId="19" xfId="0" applyFont="1" applyBorder="1" applyAlignment="1">
      <alignment horizontal="center" vertical="center"/>
    </xf>
    <xf numFmtId="0" fontId="59" fillId="0" borderId="32" xfId="0" applyFont="1" applyBorder="1" applyAlignment="1">
      <alignment horizontal="center" vertical="center"/>
    </xf>
    <xf numFmtId="0" fontId="8" fillId="0" borderId="0" xfId="0" applyFont="1" applyAlignment="1" applyProtection="1">
      <alignment horizontal="center"/>
      <protection hidden="1"/>
    </xf>
    <xf numFmtId="3" fontId="11" fillId="0" borderId="0" xfId="0" applyNumberFormat="1" applyFont="1" applyAlignment="1">
      <alignment horizontal="right" vertical="top"/>
    </xf>
    <xf numFmtId="0" fontId="7" fillId="2" borderId="0" xfId="0" applyFont="1" applyFill="1" applyAlignment="1">
      <alignment horizontal="left" vertical="top"/>
    </xf>
    <xf numFmtId="0" fontId="8" fillId="7" borderId="0" xfId="0" applyFont="1" applyFill="1" applyAlignment="1" applyProtection="1">
      <alignment horizontal="center" vertical="center"/>
      <protection locked="0"/>
    </xf>
    <xf numFmtId="0" fontId="6" fillId="5" borderId="16" xfId="0" applyFont="1" applyFill="1" applyBorder="1" applyAlignment="1" applyProtection="1">
      <alignment horizontal="left" vertical="center"/>
      <protection hidden="1"/>
    </xf>
    <xf numFmtId="0" fontId="6" fillId="5" borderId="59" xfId="0" applyFont="1" applyFill="1" applyBorder="1" applyAlignment="1" applyProtection="1">
      <alignment horizontal="left" vertical="center"/>
      <protection hidden="1"/>
    </xf>
    <xf numFmtId="0" fontId="87" fillId="7" borderId="0" xfId="0" applyFont="1" applyFill="1" applyAlignment="1" applyProtection="1">
      <alignment horizontal="center"/>
      <protection locked="0"/>
    </xf>
    <xf numFmtId="3" fontId="7" fillId="0" borderId="0" xfId="0" applyNumberFormat="1" applyFont="1" applyAlignment="1">
      <alignment horizontal="right" vertical="top"/>
    </xf>
    <xf numFmtId="0" fontId="0" fillId="0" borderId="0" xfId="0" applyAlignment="1">
      <alignment horizontal="right" vertical="top"/>
    </xf>
    <xf numFmtId="0" fontId="6" fillId="0" borderId="34" xfId="0" applyFont="1" applyBorder="1" applyAlignment="1">
      <alignment horizontal="center" vertical="center"/>
    </xf>
    <xf numFmtId="0" fontId="6" fillId="5" borderId="2" xfId="0" applyFont="1" applyFill="1" applyBorder="1" applyAlignment="1" applyProtection="1">
      <alignment horizontal="left" vertical="center"/>
      <protection hidden="1"/>
    </xf>
    <xf numFmtId="0" fontId="6" fillId="5" borderId="9" xfId="0" applyFont="1" applyFill="1" applyBorder="1" applyAlignment="1" applyProtection="1">
      <alignment horizontal="left" vertical="center"/>
      <protection hidden="1"/>
    </xf>
    <xf numFmtId="0" fontId="12" fillId="0" borderId="20" xfId="0" applyFont="1" applyBorder="1" applyAlignment="1" applyProtection="1">
      <alignment horizontal="left" vertical="top"/>
      <protection locked="0"/>
    </xf>
    <xf numFmtId="0" fontId="3" fillId="0" borderId="10" xfId="0" applyFont="1" applyBorder="1" applyAlignment="1" applyProtection="1">
      <alignment horizontal="left" vertical="top"/>
      <protection locked="0"/>
    </xf>
    <xf numFmtId="0" fontId="3" fillId="0" borderId="44" xfId="0" applyFont="1" applyBorder="1" applyAlignment="1" applyProtection="1">
      <alignment horizontal="left" vertical="top"/>
      <protection locked="0"/>
    </xf>
    <xf numFmtId="0" fontId="12" fillId="0" borderId="60" xfId="0" applyFont="1" applyBorder="1" applyAlignment="1" applyProtection="1">
      <alignment horizontal="center" vertical="center"/>
      <protection hidden="1"/>
    </xf>
    <xf numFmtId="0" fontId="4" fillId="0" borderId="0" xfId="0" applyFont="1" applyAlignment="1">
      <alignment horizontal="left" vertical="center"/>
    </xf>
    <xf numFmtId="0" fontId="4" fillId="7" borderId="0" xfId="0" applyFont="1" applyFill="1" applyAlignment="1" applyProtection="1">
      <alignment horizontal="left" vertical="top" wrapText="1"/>
      <protection locked="0"/>
    </xf>
    <xf numFmtId="0" fontId="6" fillId="7" borderId="0" xfId="0" applyFont="1" applyFill="1" applyAlignment="1" applyProtection="1">
      <alignment horizontal="left" vertical="top" wrapText="1"/>
      <protection locked="0"/>
    </xf>
    <xf numFmtId="0" fontId="6" fillId="7" borderId="182" xfId="0" applyFont="1" applyFill="1" applyBorder="1" applyAlignment="1" applyProtection="1">
      <alignment horizontal="left" vertical="top" wrapText="1"/>
      <protection locked="0"/>
    </xf>
    <xf numFmtId="167" fontId="7" fillId="0" borderId="223" xfId="0" applyNumberFormat="1" applyFont="1" applyBorder="1" applyAlignment="1" applyProtection="1">
      <alignment horizontal="center" vertical="center"/>
      <protection hidden="1"/>
    </xf>
    <xf numFmtId="167" fontId="7" fillId="0" borderId="133" xfId="0" applyNumberFormat="1" applyFont="1" applyBorder="1" applyAlignment="1" applyProtection="1">
      <alignment horizontal="center" vertical="center"/>
      <protection hidden="1"/>
    </xf>
    <xf numFmtId="167" fontId="7" fillId="0" borderId="138" xfId="0" applyNumberFormat="1" applyFont="1" applyBorder="1" applyAlignment="1" applyProtection="1">
      <alignment horizontal="center" vertical="center"/>
      <protection hidden="1"/>
    </xf>
    <xf numFmtId="0" fontId="7" fillId="0" borderId="132" xfId="0" applyFont="1" applyBorder="1" applyAlignment="1" applyProtection="1">
      <alignment horizontal="left" vertical="center"/>
      <protection hidden="1"/>
    </xf>
    <xf numFmtId="0" fontId="7" fillId="0" borderId="138" xfId="0" applyFont="1" applyBorder="1" applyAlignment="1" applyProtection="1">
      <alignment horizontal="left" vertical="center"/>
      <protection hidden="1"/>
    </xf>
    <xf numFmtId="0" fontId="7" fillId="0" borderId="132" xfId="0" applyFont="1" applyBorder="1" applyAlignment="1" applyProtection="1">
      <alignment horizontal="left" vertical="center" wrapText="1"/>
      <protection hidden="1"/>
    </xf>
    <xf numFmtId="0" fontId="7" fillId="0" borderId="138" xfId="0" applyFont="1" applyBorder="1" applyAlignment="1" applyProtection="1">
      <alignment horizontal="left" vertical="center" wrapText="1"/>
      <protection hidden="1"/>
    </xf>
    <xf numFmtId="167" fontId="7" fillId="0" borderId="0" xfId="0" applyNumberFormat="1" applyFont="1" applyAlignment="1" applyProtection="1">
      <alignment horizontal="right" vertical="center"/>
      <protection hidden="1"/>
    </xf>
    <xf numFmtId="0" fontId="84" fillId="13" borderId="179" xfId="0" applyFont="1" applyFill="1" applyBorder="1" applyAlignment="1" applyProtection="1">
      <alignment horizontal="center" vertical="center"/>
      <protection hidden="1"/>
    </xf>
    <xf numFmtId="0" fontId="4" fillId="0" borderId="132" xfId="0" applyFont="1" applyBorder="1" applyAlignment="1" applyProtection="1">
      <alignment horizontal="left" vertical="center" wrapText="1"/>
      <protection hidden="1"/>
    </xf>
    <xf numFmtId="0" fontId="4" fillId="0" borderId="228" xfId="0" applyFont="1" applyBorder="1" applyAlignment="1" applyProtection="1">
      <alignment horizontal="left" vertical="center" wrapText="1"/>
      <protection hidden="1"/>
    </xf>
    <xf numFmtId="3" fontId="7" fillId="0" borderId="210" xfId="0" applyNumberFormat="1" applyFont="1" applyBorder="1" applyAlignment="1" applyProtection="1">
      <alignment horizontal="center" vertical="center"/>
      <protection hidden="1"/>
    </xf>
    <xf numFmtId="3" fontId="7" fillId="0" borderId="209" xfId="0" applyNumberFormat="1" applyFont="1" applyBorder="1" applyAlignment="1" applyProtection="1">
      <alignment horizontal="center" vertical="center"/>
      <protection hidden="1"/>
    </xf>
    <xf numFmtId="167" fontId="15" fillId="5" borderId="133" xfId="0" applyNumberFormat="1" applyFont="1" applyFill="1" applyBorder="1" applyAlignment="1">
      <alignment horizontal="center" vertical="center"/>
    </xf>
    <xf numFmtId="0" fontId="4" fillId="0" borderId="140" xfId="0" applyFont="1" applyBorder="1" applyAlignment="1" applyProtection="1">
      <alignment horizontal="left" vertical="center" wrapText="1"/>
      <protection hidden="1"/>
    </xf>
    <xf numFmtId="0" fontId="4" fillId="0" borderId="137" xfId="0" applyFont="1" applyBorder="1" applyAlignment="1" applyProtection="1">
      <alignment horizontal="left" vertical="center" wrapText="1"/>
      <protection hidden="1"/>
    </xf>
    <xf numFmtId="0" fontId="7" fillId="0" borderId="139" xfId="0" applyFont="1" applyBorder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center" vertical="center"/>
      <protection hidden="1"/>
    </xf>
    <xf numFmtId="167" fontId="73" fillId="0" borderId="144" xfId="0" applyNumberFormat="1" applyFont="1" applyBorder="1" applyAlignment="1" applyProtection="1">
      <alignment horizontal="right" vertical="center"/>
      <protection hidden="1"/>
    </xf>
    <xf numFmtId="167" fontId="73" fillId="0" borderId="143" xfId="0" applyNumberFormat="1" applyFont="1" applyBorder="1" applyAlignment="1" applyProtection="1">
      <alignment horizontal="right" vertical="center"/>
      <protection hidden="1"/>
    </xf>
    <xf numFmtId="167" fontId="7" fillId="0" borderId="145" xfId="0" applyNumberFormat="1" applyFont="1" applyBorder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left" vertical="center"/>
      <protection hidden="1"/>
    </xf>
    <xf numFmtId="0" fontId="7" fillId="0" borderId="137" xfId="0" applyFont="1" applyBorder="1" applyAlignment="1" applyProtection="1">
      <alignment horizontal="left" vertical="center"/>
      <protection hidden="1"/>
    </xf>
    <xf numFmtId="3" fontId="7" fillId="0" borderId="211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right" shrinkToFit="1"/>
      <protection hidden="1"/>
    </xf>
    <xf numFmtId="167" fontId="7" fillId="0" borderId="208" xfId="0" applyNumberFormat="1" applyFont="1" applyBorder="1" applyAlignment="1" applyProtection="1">
      <alignment horizontal="center" vertical="center"/>
      <protection hidden="1"/>
    </xf>
    <xf numFmtId="164" fontId="15" fillId="5" borderId="133" xfId="2" applyNumberFormat="1" applyFont="1" applyFill="1" applyBorder="1" applyAlignment="1">
      <alignment horizontal="center" vertical="center"/>
    </xf>
    <xf numFmtId="167" fontId="7" fillId="0" borderId="133" xfId="0" applyNumberFormat="1" applyFont="1" applyBorder="1" applyAlignment="1">
      <alignment horizontal="center" vertical="center"/>
    </xf>
    <xf numFmtId="0" fontId="81" fillId="13" borderId="0" xfId="0" applyFont="1" applyFill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right" indent="1"/>
      <protection hidden="1"/>
    </xf>
    <xf numFmtId="0" fontId="4" fillId="0" borderId="139" xfId="0" applyFont="1" applyBorder="1" applyAlignment="1" applyProtection="1">
      <alignment horizontal="right" indent="1"/>
      <protection hidden="1"/>
    </xf>
    <xf numFmtId="0" fontId="4" fillId="0" borderId="0" xfId="0" applyFont="1" applyAlignment="1" applyProtection="1">
      <alignment horizontal="left" vertical="center"/>
      <protection hidden="1"/>
    </xf>
    <xf numFmtId="167" fontId="9" fillId="0" borderId="0" xfId="0" applyNumberFormat="1" applyFont="1" applyAlignment="1" applyProtection="1">
      <alignment horizontal="right" vertical="center"/>
      <protection hidden="1"/>
    </xf>
    <xf numFmtId="0" fontId="86" fillId="13" borderId="0" xfId="0" applyFont="1" applyFill="1" applyAlignment="1">
      <alignment horizontal="center" vertical="center" wrapText="1"/>
    </xf>
    <xf numFmtId="0" fontId="86" fillId="13" borderId="178" xfId="0" applyFont="1" applyFill="1" applyBorder="1" applyAlignment="1">
      <alignment horizontal="center" vertical="center" wrapText="1"/>
    </xf>
    <xf numFmtId="0" fontId="86" fillId="13" borderId="0" xfId="0" applyFont="1" applyFill="1" applyAlignment="1" applyProtection="1">
      <alignment horizontal="center" vertical="center" wrapText="1"/>
      <protection hidden="1"/>
    </xf>
    <xf numFmtId="0" fontId="4" fillId="0" borderId="22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84" fillId="13" borderId="163" xfId="0" applyFont="1" applyFill="1" applyBorder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center" vertical="center"/>
      <protection hidden="1"/>
    </xf>
    <xf numFmtId="0" fontId="84" fillId="13" borderId="164" xfId="0" applyFont="1" applyFill="1" applyBorder="1" applyAlignment="1" applyProtection="1">
      <alignment horizontal="center" vertical="center"/>
      <protection hidden="1"/>
    </xf>
    <xf numFmtId="3" fontId="86" fillId="13" borderId="0" xfId="0" applyNumberFormat="1" applyFont="1" applyFill="1" applyAlignment="1" applyProtection="1">
      <alignment horizontal="center" vertical="center" wrapText="1"/>
      <protection hidden="1"/>
    </xf>
    <xf numFmtId="0" fontId="84" fillId="13" borderId="221" xfId="0" applyFont="1" applyFill="1" applyBorder="1" applyAlignment="1" applyProtection="1">
      <alignment horizontal="center" vertical="center"/>
      <protection hidden="1"/>
    </xf>
    <xf numFmtId="0" fontId="84" fillId="13" borderId="222" xfId="0" applyFont="1" applyFill="1" applyBorder="1" applyAlignment="1" applyProtection="1">
      <alignment horizontal="center" vertical="center"/>
      <protection hidden="1"/>
    </xf>
    <xf numFmtId="0" fontId="84" fillId="13" borderId="221" xfId="0" applyFont="1" applyFill="1" applyBorder="1" applyAlignment="1">
      <alignment horizontal="center" vertical="center"/>
    </xf>
    <xf numFmtId="0" fontId="84" fillId="13" borderId="222" xfId="0" applyFont="1" applyFill="1" applyBorder="1" applyAlignment="1">
      <alignment horizontal="center" vertical="center"/>
    </xf>
    <xf numFmtId="0" fontId="84" fillId="13" borderId="222" xfId="0" applyFont="1" applyFill="1" applyBorder="1" applyAlignment="1" applyProtection="1">
      <alignment horizontal="left" vertical="center" indent="1"/>
      <protection hidden="1"/>
    </xf>
    <xf numFmtId="0" fontId="4" fillId="0" borderId="0" xfId="0" applyFont="1" applyAlignment="1">
      <alignment horizontal="left" vertical="top"/>
    </xf>
    <xf numFmtId="0" fontId="6" fillId="0" borderId="0" xfId="0" applyFont="1" applyAlignment="1" applyProtection="1">
      <alignment horizontal="left" indent="1"/>
      <protection hidden="1"/>
    </xf>
    <xf numFmtId="167" fontId="7" fillId="0" borderId="138" xfId="0" applyNumberFormat="1" applyFont="1" applyBorder="1" applyAlignment="1">
      <alignment horizontal="center" vertical="center"/>
    </xf>
    <xf numFmtId="164" fontId="58" fillId="5" borderId="138" xfId="2" applyNumberFormat="1" applyFont="1" applyFill="1" applyBorder="1" applyAlignment="1">
      <alignment horizontal="center" vertical="center"/>
    </xf>
    <xf numFmtId="164" fontId="58" fillId="5" borderId="133" xfId="2" applyNumberFormat="1" applyFont="1" applyFill="1" applyBorder="1" applyAlignment="1">
      <alignment horizontal="center" vertical="center"/>
    </xf>
    <xf numFmtId="167" fontId="7" fillId="6" borderId="138" xfId="0" applyNumberFormat="1" applyFont="1" applyFill="1" applyBorder="1" applyAlignment="1">
      <alignment horizontal="center" vertical="center"/>
    </xf>
    <xf numFmtId="167" fontId="7" fillId="6" borderId="133" xfId="0" applyNumberFormat="1" applyFont="1" applyFill="1" applyBorder="1" applyAlignment="1">
      <alignment horizontal="center" vertical="center"/>
    </xf>
    <xf numFmtId="167" fontId="58" fillId="5" borderId="133" xfId="0" applyNumberFormat="1" applyFont="1" applyFill="1" applyBorder="1" applyAlignment="1">
      <alignment horizontal="center" vertical="center"/>
    </xf>
    <xf numFmtId="167" fontId="58" fillId="5" borderId="138" xfId="0" applyNumberFormat="1" applyFont="1" applyFill="1" applyBorder="1" applyAlignment="1">
      <alignment horizontal="center" vertical="center"/>
    </xf>
    <xf numFmtId="167" fontId="15" fillId="5" borderId="138" xfId="0" applyNumberFormat="1" applyFont="1" applyFill="1" applyBorder="1" applyAlignment="1">
      <alignment horizontal="center" vertical="center"/>
    </xf>
    <xf numFmtId="164" fontId="15" fillId="5" borderId="138" xfId="2" applyNumberFormat="1" applyFont="1" applyFill="1" applyBorder="1" applyAlignment="1">
      <alignment horizontal="center" vertical="center"/>
    </xf>
    <xf numFmtId="167" fontId="4" fillId="0" borderId="231" xfId="0" applyNumberFormat="1" applyFont="1" applyBorder="1" applyAlignment="1" applyProtection="1">
      <alignment horizontal="center" vertical="center"/>
      <protection hidden="1"/>
    </xf>
    <xf numFmtId="167" fontId="4" fillId="0" borderId="232" xfId="0" applyNumberFormat="1" applyFont="1" applyBorder="1" applyAlignment="1" applyProtection="1">
      <alignment horizontal="center" vertical="center"/>
      <protection hidden="1"/>
    </xf>
    <xf numFmtId="167" fontId="7" fillId="0" borderId="225" xfId="0" applyNumberFormat="1" applyFont="1" applyBorder="1" applyAlignment="1" applyProtection="1">
      <alignment horizontal="center" vertical="center"/>
      <protection hidden="1"/>
    </xf>
    <xf numFmtId="167" fontId="7" fillId="0" borderId="156" xfId="0" applyNumberFormat="1" applyFont="1" applyBorder="1" applyAlignment="1" applyProtection="1">
      <alignment horizontal="center" vertical="center"/>
      <protection hidden="1"/>
    </xf>
    <xf numFmtId="167" fontId="7" fillId="0" borderId="172" xfId="0" applyNumberFormat="1" applyFont="1" applyBorder="1" applyAlignment="1" applyProtection="1">
      <alignment horizontal="center" vertical="center"/>
      <protection hidden="1"/>
    </xf>
    <xf numFmtId="167" fontId="4" fillId="0" borderId="138" xfId="0" applyNumberFormat="1" applyFont="1" applyBorder="1" applyAlignment="1" applyProtection="1">
      <alignment horizontal="center" vertical="center"/>
      <protection hidden="1"/>
    </xf>
    <xf numFmtId="167" fontId="4" fillId="0" borderId="133" xfId="0" applyNumberFormat="1" applyFont="1" applyBorder="1" applyAlignment="1" applyProtection="1">
      <alignment horizontal="center" vertical="center"/>
      <protection hidden="1"/>
    </xf>
    <xf numFmtId="167" fontId="4" fillId="0" borderId="223" xfId="0" applyNumberFormat="1" applyFont="1" applyBorder="1" applyAlignment="1" applyProtection="1">
      <alignment horizontal="center" vertical="center"/>
      <protection hidden="1"/>
    </xf>
    <xf numFmtId="0" fontId="81" fillId="13" borderId="0" xfId="0" applyFont="1" applyFill="1" applyAlignment="1" applyProtection="1">
      <alignment horizontal="left" vertical="center"/>
      <protection hidden="1"/>
    </xf>
    <xf numFmtId="0" fontId="4" fillId="0" borderId="139" xfId="0" applyFont="1" applyBorder="1" applyAlignment="1" applyProtection="1">
      <alignment horizontal="right" vertical="center" indent="1"/>
      <protection hidden="1"/>
    </xf>
    <xf numFmtId="0" fontId="4" fillId="0" borderId="140" xfId="0" applyFont="1" applyBorder="1" applyAlignment="1" applyProtection="1">
      <alignment horizontal="right" vertical="center" indent="1"/>
      <protection hidden="1"/>
    </xf>
    <xf numFmtId="0" fontId="84" fillId="13" borderId="164" xfId="0" applyFont="1" applyFill="1" applyBorder="1" applyAlignment="1" applyProtection="1">
      <alignment horizontal="left" vertical="center" wrapText="1" indent="1"/>
      <protection hidden="1"/>
    </xf>
    <xf numFmtId="0" fontId="11" fillId="0" borderId="0" xfId="0" applyFont="1" applyAlignment="1">
      <alignment horizontal="center" vertical="center"/>
    </xf>
    <xf numFmtId="0" fontId="86" fillId="13" borderId="164" xfId="0" applyFont="1" applyFill="1" applyBorder="1" applyAlignment="1" applyProtection="1">
      <alignment horizontal="center" vertical="center" wrapText="1"/>
      <protection hidden="1"/>
    </xf>
    <xf numFmtId="167" fontId="4" fillId="0" borderId="137" xfId="0" applyNumberFormat="1" applyFont="1" applyBorder="1" applyAlignment="1" applyProtection="1">
      <alignment horizontal="center" vertical="center"/>
      <protection hidden="1"/>
    </xf>
    <xf numFmtId="167" fontId="4" fillId="0" borderId="155" xfId="0" applyNumberFormat="1" applyFont="1" applyBorder="1" applyAlignment="1" applyProtection="1">
      <alignment horizontal="center" vertical="center"/>
      <protection hidden="1"/>
    </xf>
    <xf numFmtId="0" fontId="84" fillId="13" borderId="222" xfId="0" applyFont="1" applyFill="1" applyBorder="1" applyAlignment="1">
      <alignment horizontal="left" vertical="center" wrapText="1" indent="1"/>
    </xf>
    <xf numFmtId="49" fontId="6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6" fontId="84" fillId="13" borderId="0" xfId="0" applyNumberFormat="1" applyFont="1" applyFill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left" vertical="center"/>
      <protection hidden="1"/>
    </xf>
    <xf numFmtId="0" fontId="91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91" fillId="0" borderId="0" xfId="0" applyFont="1" applyAlignment="1" applyProtection="1">
      <alignment horizontal="left"/>
      <protection hidden="1"/>
    </xf>
    <xf numFmtId="164" fontId="58" fillId="5" borderId="138" xfId="0" applyNumberFormat="1" applyFont="1" applyFill="1" applyBorder="1" applyAlignment="1">
      <alignment horizontal="center" vertical="center"/>
    </xf>
    <xf numFmtId="164" fontId="58" fillId="5" borderId="133" xfId="0" applyNumberFormat="1" applyFont="1" applyFill="1" applyBorder="1" applyAlignment="1">
      <alignment horizontal="center" vertical="center"/>
    </xf>
    <xf numFmtId="0" fontId="9" fillId="0" borderId="0" xfId="0" applyFont="1" applyAlignment="1" applyProtection="1">
      <alignment horizontal="left"/>
      <protection hidden="1"/>
    </xf>
    <xf numFmtId="0" fontId="50" fillId="5" borderId="132" xfId="0" applyFont="1" applyFill="1" applyBorder="1" applyAlignment="1">
      <alignment horizontal="right" vertical="center"/>
    </xf>
    <xf numFmtId="0" fontId="50" fillId="5" borderId="228" xfId="0" applyFont="1" applyFill="1" applyBorder="1" applyAlignment="1">
      <alignment horizontal="right" vertical="center"/>
    </xf>
    <xf numFmtId="0" fontId="58" fillId="5" borderId="132" xfId="0" applyFont="1" applyFill="1" applyBorder="1" applyAlignment="1">
      <alignment horizontal="right" vertical="center"/>
    </xf>
    <xf numFmtId="0" fontId="58" fillId="5" borderId="228" xfId="0" applyFont="1" applyFill="1" applyBorder="1" applyAlignment="1">
      <alignment horizontal="right" vertical="center"/>
    </xf>
    <xf numFmtId="0" fontId="6" fillId="0" borderId="0" xfId="0" applyFont="1" applyAlignment="1" applyProtection="1">
      <alignment horizontal="left" vertical="top" wrapText="1"/>
      <protection hidden="1"/>
    </xf>
    <xf numFmtId="0" fontId="4" fillId="0" borderId="0" xfId="0" applyFont="1" applyAlignment="1" applyProtection="1">
      <alignment horizontal="left" vertical="top"/>
      <protection hidden="1"/>
    </xf>
    <xf numFmtId="0" fontId="84" fillId="13" borderId="0" xfId="0" applyFont="1" applyFill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 vertical="center" wrapText="1"/>
      <protection hidden="1"/>
    </xf>
    <xf numFmtId="0" fontId="84" fillId="13" borderId="0" xfId="0" applyFont="1" applyFill="1" applyAlignment="1" applyProtection="1">
      <alignment horizontal="left" vertical="center" wrapText="1" indent="1"/>
      <protection hidden="1"/>
    </xf>
    <xf numFmtId="0" fontId="84" fillId="13" borderId="0" xfId="0" applyFont="1" applyFill="1" applyAlignment="1" applyProtection="1">
      <alignment horizontal="center" wrapText="1"/>
      <protection hidden="1"/>
    </xf>
    <xf numFmtId="0" fontId="91" fillId="0" borderId="0" xfId="0" applyFont="1" applyAlignment="1" applyProtection="1">
      <alignment horizontal="center" vertical="center"/>
      <protection hidden="1"/>
    </xf>
    <xf numFmtId="14" fontId="11" fillId="0" borderId="162" xfId="0" applyNumberFormat="1" applyFont="1" applyBorder="1" applyAlignment="1" applyProtection="1">
      <alignment horizontal="left" vertical="center"/>
      <protection hidden="1"/>
    </xf>
    <xf numFmtId="0" fontId="11" fillId="0" borderId="162" xfId="0" applyFont="1" applyBorder="1" applyAlignment="1" applyProtection="1">
      <alignment horizontal="left" vertical="center"/>
      <protection hidden="1"/>
    </xf>
    <xf numFmtId="1" fontId="11" fillId="0" borderId="181" xfId="0" applyNumberFormat="1" applyFont="1" applyBorder="1" applyAlignment="1" applyProtection="1">
      <alignment horizontal="left" vertical="center"/>
      <protection hidden="1"/>
    </xf>
    <xf numFmtId="0" fontId="11" fillId="0" borderId="181" xfId="0" applyFont="1" applyBorder="1" applyAlignment="1" applyProtection="1">
      <alignment horizontal="left" vertical="center"/>
      <protection hidden="1"/>
    </xf>
    <xf numFmtId="169" fontId="11" fillId="0" borderId="162" xfId="0" applyNumberFormat="1" applyFont="1" applyBorder="1" applyAlignment="1" applyProtection="1">
      <alignment horizontal="left" vertical="center"/>
      <protection hidden="1"/>
    </xf>
    <xf numFmtId="169" fontId="11" fillId="0" borderId="182" xfId="0" applyNumberFormat="1" applyFont="1" applyBorder="1" applyAlignment="1" applyProtection="1">
      <alignment horizontal="left" vertical="center"/>
      <protection hidden="1"/>
    </xf>
    <xf numFmtId="0" fontId="50" fillId="5" borderId="139" xfId="0" applyFont="1" applyFill="1" applyBorder="1" applyAlignment="1">
      <alignment horizontal="right" vertical="center"/>
    </xf>
    <xf numFmtId="0" fontId="50" fillId="5" borderId="250" xfId="0" applyFont="1" applyFill="1" applyBorder="1" applyAlignment="1">
      <alignment horizontal="right" vertical="center"/>
    </xf>
    <xf numFmtId="0" fontId="4" fillId="7" borderId="0" xfId="0" applyFont="1" applyFill="1" applyAlignment="1">
      <alignment horizontal="center" vertical="center"/>
    </xf>
    <xf numFmtId="0" fontId="4" fillId="7" borderId="213" xfId="0" applyFont="1" applyFill="1" applyBorder="1" applyAlignment="1">
      <alignment horizontal="center" vertical="center"/>
    </xf>
    <xf numFmtId="0" fontId="4" fillId="7" borderId="0" xfId="0" applyFont="1" applyFill="1" applyAlignment="1">
      <alignment horizontal="center" vertical="center" wrapText="1"/>
    </xf>
    <xf numFmtId="0" fontId="4" fillId="0" borderId="205" xfId="0" applyFont="1" applyBorder="1" applyAlignment="1">
      <alignment horizontal="left" vertical="center"/>
    </xf>
    <xf numFmtId="0" fontId="4" fillId="0" borderId="185" xfId="0" applyFont="1" applyBorder="1" applyAlignment="1">
      <alignment horizontal="left" vertical="center"/>
    </xf>
    <xf numFmtId="1" fontId="84" fillId="13" borderId="0" xfId="0" applyNumberFormat="1" applyFont="1" applyFill="1" applyAlignment="1" applyProtection="1">
      <alignment horizontal="center"/>
      <protection hidden="1"/>
    </xf>
    <xf numFmtId="0" fontId="7" fillId="0" borderId="252" xfId="0" applyFont="1" applyBorder="1" applyAlignment="1">
      <alignment horizontal="left"/>
    </xf>
    <xf numFmtId="0" fontId="11" fillId="3" borderId="12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3" borderId="41" xfId="0" applyFont="1" applyFill="1" applyBorder="1" applyAlignment="1">
      <alignment horizontal="center" vertical="center"/>
    </xf>
    <xf numFmtId="0" fontId="6" fillId="3" borderId="16" xfId="0" applyFont="1" applyFill="1" applyBorder="1" applyAlignment="1">
      <alignment horizontal="center" vertical="center"/>
    </xf>
    <xf numFmtId="0" fontId="6" fillId="3" borderId="69" xfId="0" applyFont="1" applyFill="1" applyBorder="1" applyAlignment="1">
      <alignment horizontal="center" vertical="center"/>
    </xf>
    <xf numFmtId="3" fontId="6" fillId="3" borderId="0" xfId="0" applyNumberFormat="1" applyFont="1" applyFill="1" applyAlignment="1">
      <alignment horizontal="center"/>
    </xf>
    <xf numFmtId="0" fontId="6" fillId="3" borderId="13" xfId="0" applyFont="1" applyFill="1" applyBorder="1" applyAlignment="1">
      <alignment horizontal="center" vertical="center"/>
    </xf>
    <xf numFmtId="0" fontId="6" fillId="3" borderId="34" xfId="0" applyFont="1" applyFill="1" applyBorder="1" applyAlignment="1">
      <alignment horizontal="center" vertical="center"/>
    </xf>
    <xf numFmtId="0" fontId="6" fillId="3" borderId="26" xfId="0" applyFont="1" applyFill="1" applyBorder="1" applyAlignment="1">
      <alignment horizontal="center" vertical="center"/>
    </xf>
    <xf numFmtId="1" fontId="6" fillId="0" borderId="0" xfId="0" applyNumberFormat="1" applyFont="1" applyAlignment="1" applyProtection="1">
      <alignment horizontal="right"/>
      <protection hidden="1"/>
    </xf>
    <xf numFmtId="167" fontId="11" fillId="0" borderId="20" xfId="0" applyNumberFormat="1" applyFont="1" applyBorder="1" applyAlignment="1">
      <alignment horizontal="center"/>
    </xf>
    <xf numFmtId="167" fontId="11" fillId="0" borderId="44" xfId="0" applyNumberFormat="1" applyFont="1" applyBorder="1" applyAlignment="1">
      <alignment horizontal="center"/>
    </xf>
    <xf numFmtId="0" fontId="6" fillId="3" borderId="0" xfId="0" applyFont="1" applyFill="1" applyAlignment="1">
      <alignment horizontal="center"/>
    </xf>
    <xf numFmtId="167" fontId="12" fillId="0" borderId="20" xfId="0" applyNumberFormat="1" applyFont="1" applyBorder="1" applyAlignment="1">
      <alignment horizontal="center"/>
    </xf>
    <xf numFmtId="167" fontId="12" fillId="0" borderId="44" xfId="0" applyNumberFormat="1" applyFont="1" applyBorder="1" applyAlignment="1">
      <alignment horizontal="center"/>
    </xf>
    <xf numFmtId="167" fontId="12" fillId="0" borderId="0" xfId="0" applyNumberFormat="1" applyFont="1" applyAlignment="1">
      <alignment horizontal="center"/>
    </xf>
    <xf numFmtId="3" fontId="12" fillId="0" borderId="0" xfId="0" applyNumberFormat="1" applyFont="1" applyAlignment="1" applyProtection="1">
      <alignment horizontal="center" vertical="center"/>
      <protection hidden="1"/>
    </xf>
    <xf numFmtId="164" fontId="12" fillId="16" borderId="20" xfId="2" applyNumberFormat="1" applyFont="1" applyFill="1" applyBorder="1" applyAlignment="1">
      <alignment horizontal="center"/>
    </xf>
    <xf numFmtId="164" fontId="12" fillId="16" borderId="44" xfId="2" applyNumberFormat="1" applyFont="1" applyFill="1" applyBorder="1" applyAlignment="1">
      <alignment horizontal="center"/>
    </xf>
    <xf numFmtId="3" fontId="12" fillId="0" borderId="23" xfId="0" applyNumberFormat="1" applyFont="1" applyBorder="1" applyAlignment="1" applyProtection="1">
      <alignment horizontal="center" vertical="center"/>
      <protection hidden="1"/>
    </xf>
    <xf numFmtId="3" fontId="12" fillId="0" borderId="59" xfId="0" applyNumberFormat="1" applyFont="1" applyBorder="1" applyAlignment="1" applyProtection="1">
      <alignment horizontal="center" vertical="center"/>
      <protection hidden="1"/>
    </xf>
    <xf numFmtId="167" fontId="12" fillId="6" borderId="20" xfId="0" applyNumberFormat="1" applyFont="1" applyFill="1" applyBorder="1" applyAlignment="1">
      <alignment horizontal="center"/>
    </xf>
    <xf numFmtId="167" fontId="12" fillId="6" borderId="44" xfId="0" applyNumberFormat="1" applyFont="1" applyFill="1" applyBorder="1" applyAlignment="1">
      <alignment horizontal="center"/>
    </xf>
    <xf numFmtId="0" fontId="73" fillId="0" borderId="45" xfId="0" applyFont="1" applyBorder="1" applyAlignment="1" applyProtection="1">
      <alignment horizontal="right" vertical="center"/>
      <protection hidden="1"/>
    </xf>
    <xf numFmtId="0" fontId="73" fillId="0" borderId="4" xfId="0" applyFont="1" applyBorder="1" applyAlignment="1" applyProtection="1">
      <alignment horizontal="center" vertical="center"/>
      <protection hidden="1"/>
    </xf>
    <xf numFmtId="0" fontId="73" fillId="0" borderId="97" xfId="0" applyFont="1" applyBorder="1" applyAlignment="1" applyProtection="1">
      <alignment horizontal="center" vertical="center"/>
      <protection hidden="1"/>
    </xf>
  </cellXfs>
  <cellStyles count="4">
    <cellStyle name="Hyperlinkki" xfId="3" builtinId="8"/>
    <cellStyle name="Normaali" xfId="0" builtinId="0"/>
    <cellStyle name="Normaali 13" xfId="1" xr:uid="{00000000-0005-0000-0000-000002000000}"/>
    <cellStyle name="Prosenttia" xfId="2" builtinId="5"/>
  </cellStyles>
  <dxfs count="54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FFCC"/>
      <color rgb="FFFFFF99"/>
      <color rgb="FFFFFF66"/>
      <color rgb="FF99FF66"/>
      <color rgb="FFCCFFCC"/>
      <color rgb="FF33CC33"/>
      <color rgb="FFFF5050"/>
      <color rgb="FF0152A1"/>
      <color rgb="FFF796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4-4FC4-9E5E-CA74450C0C98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4-4FC4-9E5E-CA74450C0C98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4-4FC4-9E5E-CA74450C0C9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1170703"/>
        <c:axId val="71163215"/>
      </c:lineChart>
      <c:catAx>
        <c:axId val="7117070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1163215"/>
        <c:crosses val="autoZero"/>
        <c:auto val="1"/>
        <c:lblAlgn val="ctr"/>
        <c:lblOffset val="100"/>
        <c:noMultiLvlLbl val="0"/>
      </c:catAx>
      <c:valAx>
        <c:axId val="71163215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7117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</a:t>
            </a:r>
          </a:p>
        </c:rich>
      </c:tx>
      <c:layout>
        <c:manualLayout>
          <c:xMode val="edge"/>
          <c:yMode val="edge"/>
          <c:x val="0.1823333333333333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2445625546806649"/>
          <c:y val="0.20358814523184601"/>
          <c:w val="0.84776596675415572"/>
          <c:h val="0.592368401866433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C-424D-B497-A146BD83A2A0}"/>
            </c:ext>
          </c:extLst>
        </c:ser>
        <c:ser>
          <c:idx val="1"/>
          <c:order val="1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C-424D-B497-A146BD83A2A0}"/>
            </c:ext>
          </c:extLst>
        </c:ser>
        <c:ser>
          <c:idx val="2"/>
          <c:order val="2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C-424D-B497-A146BD83A2A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12311187686353E-2"/>
          <c:y val="0.14765083397479131"/>
          <c:w val="0.91052680212726222"/>
          <c:h val="0.833726331314479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'9. T5 KASSABUDJETTI  '!$C$56</c:f>
              <c:strCache>
                <c:ptCount val="1"/>
                <c:pt idx="0">
                  <c:v>TULOT - MENOT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'9. T5 KASSABUDJETTI  '!$G$56:$R$56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C-45CA-8B77-28A141CA2FB3}"/>
            </c:ext>
          </c:extLst>
        </c:ser>
        <c:ser>
          <c:idx val="1"/>
          <c:order val="1"/>
          <c:tx>
            <c:strRef>
              <c:f>'9. T5 KASSABUDJETTI  '!$C$57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'9. T5 KASSABUDJETTI  '!$G$57:$R$57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C-45CA-8B77-28A141CA2FB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-688741008"/>
        <c:axId val="-612282544"/>
      </c:barChart>
      <c:dateAx>
        <c:axId val="-6887410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-612282544"/>
        <c:crosses val="autoZero"/>
        <c:auto val="1"/>
        <c:lblOffset val="100"/>
        <c:baseTimeUnit val="months"/>
      </c:dateAx>
      <c:valAx>
        <c:axId val="-61228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-688741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737267971087067E-2"/>
          <c:y val="0.10932062376469498"/>
          <c:w val="0.96564834205300709"/>
          <c:h val="0.80245434780201319"/>
        </c:manualLayout>
      </c:layout>
      <c:barChart>
        <c:barDir val="col"/>
        <c:grouping val="clustered"/>
        <c:varyColors val="0"/>
        <c:ser>
          <c:idx val="0"/>
          <c:order val="0"/>
          <c:tx>
            <c:v>TULOT-MANOT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'!$AA$100:$AL$100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'9. T5 KASSABUDJETTI  '!$AA$101:$AL$101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D8-472B-A546-5F39C44D6107}"/>
            </c:ext>
          </c:extLst>
        </c:ser>
        <c:ser>
          <c:idx val="1"/>
          <c:order val="1"/>
          <c:tx>
            <c:v>KUMULATIIVINEN KASSA KUUKAUDEN LOPUSSA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'!$AA$100:$AL$100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'9. T5 KASSABUDJETTI  '!$AA$102:$AL$102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D8-472B-A546-5F39C44D610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659841183"/>
        <c:axId val="659838783"/>
      </c:barChart>
      <c:dateAx>
        <c:axId val="65984118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59838783"/>
        <c:crosses val="autoZero"/>
        <c:auto val="1"/>
        <c:lblOffset val="100"/>
        <c:baseTimeUnit val="months"/>
      </c:dateAx>
      <c:valAx>
        <c:axId val="65983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59841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Liiketoiminnan laajuus 1000 €</a:t>
            </a:r>
          </a:p>
        </c:rich>
      </c:tx>
      <c:layout>
        <c:manualLayout>
          <c:xMode val="edge"/>
          <c:yMode val="edge"/>
          <c:x val="0.3184202329782595"/>
          <c:y val="3.24073489616527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6.5873339618150201E-2"/>
          <c:y val="0.13767190683095593"/>
          <c:w val="0.9134226734405303"/>
          <c:h val="0.65519178082191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1.6719733168856798E-3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B4-4A5B-8079-A511229E6736}"/>
                </c:ext>
              </c:extLst>
            </c:dLbl>
            <c:dLbl>
              <c:idx val="2"/>
              <c:layout>
                <c:manualLayout>
                  <c:x val="0"/>
                  <c:y val="-7.2915695257000127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B4-4A5B-8079-A511229E6736}"/>
                </c:ext>
              </c:extLst>
            </c:dLbl>
            <c:dLbl>
              <c:idx val="5"/>
              <c:layout>
                <c:manualLayout>
                  <c:x val="-1.6719733168858025E-3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3-485F-9054-43424F574F05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B4-4A5B-8079-A511229E6736}"/>
                </c:ext>
              </c:extLst>
            </c:dLbl>
            <c:dLbl>
              <c:idx val="2"/>
              <c:layout>
                <c:manualLayout>
                  <c:x val="-6.1304980085446956E-17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B4-4A5B-8079-A511229E6736}"/>
                </c:ext>
              </c:extLst>
            </c:dLbl>
            <c:dLbl>
              <c:idx val="3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B4-4A5B-8079-A511229E6736}"/>
                </c:ext>
              </c:extLst>
            </c:dLbl>
            <c:dLbl>
              <c:idx val="4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B4-4A5B-8079-A511229E6736}"/>
                </c:ext>
              </c:extLst>
            </c:dLbl>
            <c:dLbl>
              <c:idx val="5"/>
              <c:layout>
                <c:manualLayout>
                  <c:x val="0"/>
                  <c:y val="4.800922882441840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3-485F-9054-43424F574F05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6.1304980085446956E-17"/>
                  <c:y val="-6.77770575753842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B4-4A5B-8079-A511229E6736}"/>
                </c:ext>
              </c:extLst>
            </c:dLbl>
            <c:dLbl>
              <c:idx val="2"/>
              <c:layout>
                <c:manualLayout>
                  <c:x val="0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95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B4-4A5B-8079-A511229E6736}"/>
                </c:ext>
              </c:extLst>
            </c:dLbl>
            <c:dLbl>
              <c:idx val="5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3-485F-9054-43424F574F0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1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tickLblSkip val="1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25107406180060543"/>
          <c:y val="0.91344447805859197"/>
          <c:w val="0.49608258678834449"/>
          <c:h val="8.2025903642125572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Nettovarallisuus 1000 €</a:t>
            </a:r>
          </a:p>
        </c:rich>
      </c:tx>
      <c:layout>
        <c:manualLayout>
          <c:xMode val="edge"/>
          <c:yMode val="edge"/>
          <c:x val="0.36929765262267006"/>
          <c:y val="3.10845289660164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7740320885043536E-2"/>
          <c:y val="0.14981387732221396"/>
          <c:w val="0.91524088608934684"/>
          <c:h val="0.680520800532667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Kaavio!$B$52</c:f>
              <c:strCache>
                <c:ptCount val="1"/>
                <c:pt idx="0">
                  <c:v>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4.94919302044748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BF-45AD-BC1A-5F388E37259E}"/>
                </c:ext>
              </c:extLst>
            </c:dLbl>
            <c:dLbl>
              <c:idx val="2"/>
              <c:layout>
                <c:manualLayout>
                  <c:x val="-6.1428227714617861E-17"/>
                  <c:y val="-7.295164265990628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BF-45AD-BC1A-5F388E37259E}"/>
                </c:ext>
              </c:extLst>
            </c:dLbl>
            <c:dLbl>
              <c:idx val="3"/>
              <c:layout>
                <c:manualLayout>
                  <c:x val="-6.1428227714617861E-17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BF-45AD-BC1A-5F388E37259E}"/>
                </c:ext>
              </c:extLst>
            </c:dLbl>
            <c:dLbl>
              <c:idx val="4"/>
              <c:layout>
                <c:manualLayout>
                  <c:x val="-1.6753346546930807E-3"/>
                  <c:y val="-7.2951642659861593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BF-45AD-BC1A-5F388E37259E}"/>
                </c:ext>
              </c:extLst>
            </c:dLbl>
            <c:dLbl>
              <c:idx val="5"/>
              <c:layout>
                <c:manualLayout>
                  <c:x val="-1.2285645542923572E-16"/>
                  <c:y val="-4.949193020447577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Kaavio!$C$52:$H$52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B-47D3-B0AF-CBA5B1FAA434}"/>
            </c:ext>
          </c:extLst>
        </c:ser>
        <c:ser>
          <c:idx val="1"/>
          <c:order val="1"/>
          <c:tx>
            <c:strRef>
              <c:f>Kaavio!$B$53</c:f>
              <c:strCache>
                <c:ptCount val="1"/>
                <c:pt idx="0">
                  <c:v>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2.35462769628051E-3"/>
                  <c:y val="4.69687493195519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2B-47D3-B0AF-CBA5B1FAA434}"/>
                </c:ext>
              </c:extLst>
            </c:dLbl>
            <c:dLbl>
              <c:idx val="2"/>
              <c:layout>
                <c:manualLayout>
                  <c:x val="0"/>
                  <c:y val="4.696499512329906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2B-47D3-B0AF-CBA5B1FAA434}"/>
                </c:ext>
              </c:extLst>
            </c:dLbl>
            <c:dLbl>
              <c:idx val="3"/>
              <c:layout>
                <c:manualLayout>
                  <c:x val="-2.3546276962804671E-3"/>
                  <c:y val="9.464328753464271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2B-47D3-B0AF-CBA5B1FAA434}"/>
                </c:ext>
              </c:extLst>
            </c:dLbl>
            <c:dLbl>
              <c:idx val="4"/>
              <c:layout>
                <c:manualLayout>
                  <c:x val="-8.6335351510269187E-17"/>
                  <c:y val="4.6964995123299066E-3"/>
                </c:manualLayout>
              </c:layout>
              <c:tx>
                <c:rich>
                  <a:bodyPr/>
                  <a:lstStyle/>
                  <a:p>
                    <a:fld id="{3D3A1307-2900-46F6-8F60-EE177A1AB3D2}" type="VALUE">
                      <a:rPr lang="en-US" b="1"/>
                      <a:pPr/>
                      <a:t>[ARVO]</a:t>
                    </a:fld>
                    <a:endParaRPr lang="fi-FI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12B-47D3-B0AF-CBA5B1FAA434}"/>
                </c:ext>
              </c:extLst>
            </c:dLbl>
            <c:dLbl>
              <c:idx val="5"/>
              <c:layout>
                <c:manualLayout>
                  <c:x val="2.3546276962804671E-3"/>
                  <c:y val="4.69649951232999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B-47D3-B0AF-CBA5B1FAA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Kaavio!$C$53:$H$53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2B-47D3-B0AF-CBA5B1FAA434}"/>
            </c:ext>
          </c:extLst>
        </c:ser>
        <c:ser>
          <c:idx val="2"/>
          <c:order val="2"/>
          <c:tx>
            <c:strRef>
              <c:f>Kaavio!$B$54</c:f>
              <c:strCache>
                <c:ptCount val="1"/>
                <c:pt idx="0">
                  <c:v>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1.6753346546930807E-3"/>
                  <c:y val="-4.77564490212001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BF-45AD-BC1A-5F388E37259E}"/>
                </c:ext>
              </c:extLst>
            </c:dLbl>
            <c:dLbl>
              <c:idx val="2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BF-45AD-BC1A-5F388E37259E}"/>
                </c:ext>
              </c:extLst>
            </c:dLbl>
            <c:dLbl>
              <c:idx val="3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BF-45AD-BC1A-5F388E37259E}"/>
                </c:ext>
              </c:extLst>
            </c:dLbl>
            <c:dLbl>
              <c:idx val="4"/>
              <c:layout>
                <c:manualLayout>
                  <c:x val="0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BF-45AD-BC1A-5F388E37259E}"/>
                </c:ext>
              </c:extLst>
            </c:dLbl>
            <c:dLbl>
              <c:idx val="5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Kaavio!$C$54:$H$54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2B-47D3-B0AF-CBA5B1FAA43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31272865770381236"/>
          <c:y val="0.91523421859658816"/>
          <c:w val="0.40911427776247133"/>
          <c:h val="8.111090842067735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2"/>
                </a:solidFill>
              </a:rPr>
              <a:t>Liiketoiminnan kannattavuus (%/liikevaihto)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6-437F-AD5B-7EFEF782D78F}"/>
            </c:ext>
          </c:extLst>
        </c:ser>
        <c:ser>
          <c:idx val="1"/>
          <c:order val="1"/>
          <c:tx>
            <c:strRef>
              <c:f>Kaavio!$B$28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Kaavio!$C$28:$H$28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96-437F-AD5B-7EFEF782D78F}"/>
            </c:ext>
          </c:extLst>
        </c:ser>
        <c:ser>
          <c:idx val="2"/>
          <c:order val="2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96-437F-AD5B-7EFEF782D78F}"/>
            </c:ext>
          </c:extLst>
        </c:ser>
        <c:ser>
          <c:idx val="3"/>
          <c:order val="3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96-437F-AD5B-7EFEF782D7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74930976"/>
        <c:axId val="519967728"/>
      </c:barChart>
      <c:catAx>
        <c:axId val="3749309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519967728"/>
        <c:crosses val="autoZero"/>
        <c:auto val="1"/>
        <c:lblAlgn val="ctr"/>
        <c:lblOffset val="100"/>
        <c:noMultiLvlLbl val="0"/>
      </c:catAx>
      <c:valAx>
        <c:axId val="51996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7493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88674924432238"/>
          <c:y val="0.88651257909909353"/>
          <c:w val="0.78177057344744316"/>
          <c:h val="8.9536571815017979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3. T3 TASE '!A1"/><Relationship Id="rId13" Type="http://schemas.openxmlformats.org/officeDocument/2006/relationships/hyperlink" Target="#'9. T5 KASSABUDJETTI '!A1"/><Relationship Id="rId18" Type="http://schemas.openxmlformats.org/officeDocument/2006/relationships/image" Target="../media/image9.sv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1.png"/><Relationship Id="rId7" Type="http://schemas.openxmlformats.org/officeDocument/2006/relationships/hyperlink" Target="#'6. E2 LIIKEVAIHTO '!A1"/><Relationship Id="rId12" Type="http://schemas.openxmlformats.org/officeDocument/2006/relationships/image" Target="../media/image6.png"/><Relationship Id="rId17" Type="http://schemas.openxmlformats.org/officeDocument/2006/relationships/image" Target="../media/image8.png"/><Relationship Id="rId25" Type="http://schemas.openxmlformats.org/officeDocument/2006/relationships/image" Target="../media/image15.jpeg"/><Relationship Id="rId2" Type="http://schemas.openxmlformats.org/officeDocument/2006/relationships/hyperlink" Target="#'4. T7 LAINAT '!A1"/><Relationship Id="rId16" Type="http://schemas.openxmlformats.org/officeDocument/2006/relationships/hyperlink" Target="#Tulostussivu!A1"/><Relationship Id="rId20" Type="http://schemas.openxmlformats.org/officeDocument/2006/relationships/image" Target="../media/image10.png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11" Type="http://schemas.openxmlformats.org/officeDocument/2006/relationships/hyperlink" Target="#'8. T4 RAHOITUSSUUN. '!A1"/><Relationship Id="rId24" Type="http://schemas.openxmlformats.org/officeDocument/2006/relationships/image" Target="../media/image14.png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7.png"/><Relationship Id="rId23" Type="http://schemas.openxmlformats.org/officeDocument/2006/relationships/image" Target="../media/image13.jpeg"/><Relationship Id="rId10" Type="http://schemas.openxmlformats.org/officeDocument/2006/relationships/image" Target="../media/image5.png"/><Relationship Id="rId19" Type="http://schemas.openxmlformats.org/officeDocument/2006/relationships/hyperlink" Target="#'5. E1 KUSTANNUKSET '!A1"/><Relationship Id="rId4" Type="http://schemas.openxmlformats.org/officeDocument/2006/relationships/image" Target="../media/image2.png"/><Relationship Id="rId9" Type="http://schemas.openxmlformats.org/officeDocument/2006/relationships/image" Target="../media/image4.png"/><Relationship Id="rId14" Type="http://schemas.openxmlformats.org/officeDocument/2006/relationships/hyperlink" Target="#'9. T5 KASSABUDJETTI  '!A1"/><Relationship Id="rId22" Type="http://schemas.openxmlformats.org/officeDocument/2006/relationships/image" Target="../media/image12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Tulostussivu!A1"/><Relationship Id="rId13" Type="http://schemas.openxmlformats.org/officeDocument/2006/relationships/hyperlink" Target="#'5. E1 KUSTANNUKSE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104.jpeg"/><Relationship Id="rId21" Type="http://schemas.openxmlformats.org/officeDocument/2006/relationships/image" Target="../media/image112.png"/><Relationship Id="rId7" Type="http://schemas.openxmlformats.org/officeDocument/2006/relationships/image" Target="../media/image106.png"/><Relationship Id="rId12" Type="http://schemas.openxmlformats.org/officeDocument/2006/relationships/image" Target="../media/image107.png"/><Relationship Id="rId17" Type="http://schemas.openxmlformats.org/officeDocument/2006/relationships/image" Target="../media/image110.png"/><Relationship Id="rId2" Type="http://schemas.openxmlformats.org/officeDocument/2006/relationships/image" Target="../media/image103.jpeg"/><Relationship Id="rId16" Type="http://schemas.openxmlformats.org/officeDocument/2006/relationships/image" Target="../media/image109.png"/><Relationship Id="rId20" Type="http://schemas.openxmlformats.org/officeDocument/2006/relationships/hyperlink" Target="#'6. E2 LIIKEVAIHTO '!A1"/><Relationship Id="rId1" Type="http://schemas.openxmlformats.org/officeDocument/2006/relationships/chart" Target="../charts/chart3.xml"/><Relationship Id="rId6" Type="http://schemas.openxmlformats.org/officeDocument/2006/relationships/hyperlink" Target="#'2. &amp; 7. T2 TULOSSUUN. '!A1"/><Relationship Id="rId11" Type="http://schemas.openxmlformats.org/officeDocument/2006/relationships/hyperlink" Target="#'8. T4 RAHOITUSSUUN. '!A1"/><Relationship Id="rId24" Type="http://schemas.openxmlformats.org/officeDocument/2006/relationships/image" Target="../media/image114.jpeg"/><Relationship Id="rId5" Type="http://schemas.openxmlformats.org/officeDocument/2006/relationships/image" Target="../media/image105.png"/><Relationship Id="rId15" Type="http://schemas.openxmlformats.org/officeDocument/2006/relationships/hyperlink" Target="#'4. T7 LAINAT '!A1"/><Relationship Id="rId23" Type="http://schemas.openxmlformats.org/officeDocument/2006/relationships/chart" Target="../charts/chart4.xml"/><Relationship Id="rId10" Type="http://schemas.openxmlformats.org/officeDocument/2006/relationships/image" Target="../media/image9.svg"/><Relationship Id="rId19" Type="http://schemas.openxmlformats.org/officeDocument/2006/relationships/image" Target="../media/image111.png"/><Relationship Id="rId4" Type="http://schemas.openxmlformats.org/officeDocument/2006/relationships/hyperlink" Target="#'3. T3 TASE '!A1"/><Relationship Id="rId9" Type="http://schemas.openxmlformats.org/officeDocument/2006/relationships/image" Target="../media/image8.png"/><Relationship Id="rId14" Type="http://schemas.openxmlformats.org/officeDocument/2006/relationships/image" Target="../media/image108.png"/><Relationship Id="rId22" Type="http://schemas.openxmlformats.org/officeDocument/2006/relationships/image" Target="../media/image11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7.png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129.jpeg"/><Relationship Id="rId3" Type="http://schemas.openxmlformats.org/officeDocument/2006/relationships/hyperlink" Target="#'9. T5 KASSABUDJETTI  '!A1"/><Relationship Id="rId21" Type="http://schemas.openxmlformats.org/officeDocument/2006/relationships/image" Target="../media/image125.svg"/><Relationship Id="rId7" Type="http://schemas.openxmlformats.org/officeDocument/2006/relationships/hyperlink" Target="#'2. &amp; 7. T2 TULOSSUUN. '!A1"/><Relationship Id="rId12" Type="http://schemas.openxmlformats.org/officeDocument/2006/relationships/image" Target="../media/image119.png"/><Relationship Id="rId17" Type="http://schemas.openxmlformats.org/officeDocument/2006/relationships/image" Target="../media/image122.png"/><Relationship Id="rId25" Type="http://schemas.openxmlformats.org/officeDocument/2006/relationships/image" Target="../media/image128.jpeg"/><Relationship Id="rId2" Type="http://schemas.openxmlformats.org/officeDocument/2006/relationships/chart" Target="../charts/chart6.xml"/><Relationship Id="rId16" Type="http://schemas.openxmlformats.org/officeDocument/2006/relationships/image" Target="../media/image121.png"/><Relationship Id="rId20" Type="http://schemas.openxmlformats.org/officeDocument/2006/relationships/image" Target="../media/image124.png"/><Relationship Id="rId1" Type="http://schemas.openxmlformats.org/officeDocument/2006/relationships/chart" Target="../charts/chart5.xml"/><Relationship Id="rId6" Type="http://schemas.openxmlformats.org/officeDocument/2006/relationships/image" Target="../media/image116.png"/><Relationship Id="rId11" Type="http://schemas.openxmlformats.org/officeDocument/2006/relationships/hyperlink" Target="#'5. E1 KUSTANNUKSET '!A1"/><Relationship Id="rId24" Type="http://schemas.openxmlformats.org/officeDocument/2006/relationships/image" Target="../media/image127.jpeg"/><Relationship Id="rId5" Type="http://schemas.openxmlformats.org/officeDocument/2006/relationships/hyperlink" Target="#'8. T4 RAHOITUSSUUN. '!A1"/><Relationship Id="rId15" Type="http://schemas.openxmlformats.org/officeDocument/2006/relationships/hyperlink" Target="#'3. T3 TASE '!A1"/><Relationship Id="rId23" Type="http://schemas.openxmlformats.org/officeDocument/2006/relationships/image" Target="../media/image126.jpeg"/><Relationship Id="rId10" Type="http://schemas.openxmlformats.org/officeDocument/2006/relationships/image" Target="../media/image118.png"/><Relationship Id="rId19" Type="http://schemas.openxmlformats.org/officeDocument/2006/relationships/image" Target="../media/image123.png"/><Relationship Id="rId4" Type="http://schemas.openxmlformats.org/officeDocument/2006/relationships/image" Target="../media/image115.png"/><Relationship Id="rId9" Type="http://schemas.openxmlformats.org/officeDocument/2006/relationships/hyperlink" Target="#'6. E2 LIIKEVAIHTO '!A1"/><Relationship Id="rId14" Type="http://schemas.openxmlformats.org/officeDocument/2006/relationships/image" Target="../media/image120.png"/><Relationship Id="rId22" Type="http://schemas.openxmlformats.org/officeDocument/2006/relationships/chart" Target="../charts/chart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'3. T3 TASE '!A1"/><Relationship Id="rId18" Type="http://schemas.openxmlformats.org/officeDocument/2006/relationships/image" Target="../media/image8.png"/><Relationship Id="rId3" Type="http://schemas.openxmlformats.org/officeDocument/2006/relationships/hyperlink" Target="#'8. T4 RAHOITUSSUUN. '!A1"/><Relationship Id="rId7" Type="http://schemas.openxmlformats.org/officeDocument/2006/relationships/hyperlink" Target="#'6. E2 LIIKEVAIHTO '!A1"/><Relationship Id="rId12" Type="http://schemas.openxmlformats.org/officeDocument/2006/relationships/image" Target="../media/image21.png"/><Relationship Id="rId17" Type="http://schemas.openxmlformats.org/officeDocument/2006/relationships/hyperlink" Target="#Tulostussivu!A1"/><Relationship Id="rId2" Type="http://schemas.openxmlformats.org/officeDocument/2006/relationships/image" Target="../media/image16.png"/><Relationship Id="rId16" Type="http://schemas.openxmlformats.org/officeDocument/2006/relationships/image" Target="../media/image24.png"/><Relationship Id="rId20" Type="http://schemas.openxmlformats.org/officeDocument/2006/relationships/image" Target="../media/image25.jpeg"/><Relationship Id="rId1" Type="http://schemas.openxmlformats.org/officeDocument/2006/relationships/hyperlink" Target="#'9. T5 KASSABUDJETTI  '!A1"/><Relationship Id="rId6" Type="http://schemas.openxmlformats.org/officeDocument/2006/relationships/image" Target="../media/image18.png"/><Relationship Id="rId11" Type="http://schemas.openxmlformats.org/officeDocument/2006/relationships/hyperlink" Target="#'4. T7 LAINAT '!A1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23.png"/><Relationship Id="rId10" Type="http://schemas.openxmlformats.org/officeDocument/2006/relationships/image" Target="../media/image20.png"/><Relationship Id="rId19" Type="http://schemas.openxmlformats.org/officeDocument/2006/relationships/image" Target="../media/image9.svg"/><Relationship Id="rId4" Type="http://schemas.openxmlformats.org/officeDocument/2006/relationships/image" Target="../media/image17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hyperlink" Target="#'3. T3 TASE '!A1"/><Relationship Id="rId18" Type="http://schemas.openxmlformats.org/officeDocument/2006/relationships/hyperlink" Target="#'1. T1 INVESTOINTISUUN.'!A1"/><Relationship Id="rId3" Type="http://schemas.openxmlformats.org/officeDocument/2006/relationships/hyperlink" Target="#'9. T5 KASSABUDJETTI  '!A1"/><Relationship Id="rId21" Type="http://schemas.openxmlformats.org/officeDocument/2006/relationships/image" Target="../media/image34.png"/><Relationship Id="rId7" Type="http://schemas.openxmlformats.org/officeDocument/2006/relationships/hyperlink" Target="#'6. E2 LIIKEVAIHTO '!A1"/><Relationship Id="rId12" Type="http://schemas.openxmlformats.org/officeDocument/2006/relationships/image" Target="../media/image30.png"/><Relationship Id="rId17" Type="http://schemas.openxmlformats.org/officeDocument/2006/relationships/image" Target="../media/image9.svg"/><Relationship Id="rId2" Type="http://schemas.openxmlformats.org/officeDocument/2006/relationships/image" Target="../media/image27.jpeg"/><Relationship Id="rId16" Type="http://schemas.openxmlformats.org/officeDocument/2006/relationships/image" Target="../media/image8.png"/><Relationship Id="rId20" Type="http://schemas.openxmlformats.org/officeDocument/2006/relationships/image" Target="../media/image33.png"/><Relationship Id="rId1" Type="http://schemas.openxmlformats.org/officeDocument/2006/relationships/image" Target="../media/image26.jpeg"/><Relationship Id="rId6" Type="http://schemas.openxmlformats.org/officeDocument/2006/relationships/image" Target="../media/image17.png"/><Relationship Id="rId11" Type="http://schemas.openxmlformats.org/officeDocument/2006/relationships/hyperlink" Target="#'4. T7 LAINAT '!A1"/><Relationship Id="rId5" Type="http://schemas.openxmlformats.org/officeDocument/2006/relationships/hyperlink" Target="#'8. T4 RAHOITUSSUUN. '!A1"/><Relationship Id="rId15" Type="http://schemas.openxmlformats.org/officeDocument/2006/relationships/hyperlink" Target="#Tulostussivu!A1"/><Relationship Id="rId10" Type="http://schemas.openxmlformats.org/officeDocument/2006/relationships/image" Target="../media/image29.png"/><Relationship Id="rId19" Type="http://schemas.openxmlformats.org/officeDocument/2006/relationships/image" Target="../media/image32.png"/><Relationship Id="rId4" Type="http://schemas.openxmlformats.org/officeDocument/2006/relationships/image" Target="../media/image16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3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6. E2 LIIKEVAIHTO '!A1"/><Relationship Id="rId13" Type="http://schemas.openxmlformats.org/officeDocument/2006/relationships/hyperlink" Target="#'9. T5 KASSABUDJETTI  '!A1"/><Relationship Id="rId18" Type="http://schemas.openxmlformats.org/officeDocument/2006/relationships/image" Target="../media/image43.png"/><Relationship Id="rId26" Type="http://schemas.openxmlformats.org/officeDocument/2006/relationships/image" Target="../media/image50.png"/><Relationship Id="rId3" Type="http://schemas.openxmlformats.org/officeDocument/2006/relationships/image" Target="../media/image36.png"/><Relationship Id="rId21" Type="http://schemas.openxmlformats.org/officeDocument/2006/relationships/image" Target="../media/image46.png"/><Relationship Id="rId7" Type="http://schemas.openxmlformats.org/officeDocument/2006/relationships/image" Target="../media/image38.png"/><Relationship Id="rId12" Type="http://schemas.openxmlformats.org/officeDocument/2006/relationships/image" Target="../media/image41.png"/><Relationship Id="rId17" Type="http://schemas.openxmlformats.org/officeDocument/2006/relationships/image" Target="../media/image9.svg"/><Relationship Id="rId25" Type="http://schemas.openxmlformats.org/officeDocument/2006/relationships/image" Target="../media/image49.png"/><Relationship Id="rId2" Type="http://schemas.openxmlformats.org/officeDocument/2006/relationships/hyperlink" Target="#'2. &amp; 7. T2 TULOSSUUN. '!A1"/><Relationship Id="rId16" Type="http://schemas.openxmlformats.org/officeDocument/2006/relationships/image" Target="../media/image8.png"/><Relationship Id="rId20" Type="http://schemas.openxmlformats.org/officeDocument/2006/relationships/image" Target="../media/image45.png"/><Relationship Id="rId29" Type="http://schemas.openxmlformats.org/officeDocument/2006/relationships/image" Target="../media/image52.png"/><Relationship Id="rId1" Type="http://schemas.openxmlformats.org/officeDocument/2006/relationships/image" Target="../media/image35.jpeg"/><Relationship Id="rId6" Type="http://schemas.openxmlformats.org/officeDocument/2006/relationships/hyperlink" Target="#'4. T7 LAINAT '!A1"/><Relationship Id="rId11" Type="http://schemas.openxmlformats.org/officeDocument/2006/relationships/image" Target="../media/image40.png"/><Relationship Id="rId24" Type="http://schemas.openxmlformats.org/officeDocument/2006/relationships/image" Target="../media/image48.png"/><Relationship Id="rId32" Type="http://schemas.openxmlformats.org/officeDocument/2006/relationships/image" Target="../media/image54.png"/><Relationship Id="rId5" Type="http://schemas.openxmlformats.org/officeDocument/2006/relationships/image" Target="../media/image37.png"/><Relationship Id="rId15" Type="http://schemas.openxmlformats.org/officeDocument/2006/relationships/hyperlink" Target="#Tulostussivu!A1"/><Relationship Id="rId23" Type="http://schemas.openxmlformats.org/officeDocument/2006/relationships/hyperlink" Target="#'1. T1 NVESTOINTISUUN.'!A1"/><Relationship Id="rId28" Type="http://schemas.openxmlformats.org/officeDocument/2006/relationships/image" Target="../media/image51.png"/><Relationship Id="rId10" Type="http://schemas.openxmlformats.org/officeDocument/2006/relationships/hyperlink" Target="#'1. T1 INVESTOINTISUUN.'!A1"/><Relationship Id="rId19" Type="http://schemas.openxmlformats.org/officeDocument/2006/relationships/image" Target="../media/image44.png"/><Relationship Id="rId31" Type="http://schemas.openxmlformats.org/officeDocument/2006/relationships/hyperlink" Target="#'8. T4 RAHOITUSSUUN. '!A1"/><Relationship Id="rId4" Type="http://schemas.openxmlformats.org/officeDocument/2006/relationships/hyperlink" Target="#'5. E1 KUSTANNUKSET '!A1"/><Relationship Id="rId9" Type="http://schemas.openxmlformats.org/officeDocument/2006/relationships/image" Target="../media/image39.png"/><Relationship Id="rId14" Type="http://schemas.openxmlformats.org/officeDocument/2006/relationships/image" Target="../media/image42.png"/><Relationship Id="rId22" Type="http://schemas.openxmlformats.org/officeDocument/2006/relationships/image" Target="../media/image47.png"/><Relationship Id="rId27" Type="http://schemas.openxmlformats.org/officeDocument/2006/relationships/hyperlink" Target="#'10. T5 KASSABUDJETTI '!A1"/><Relationship Id="rId30" Type="http://schemas.openxmlformats.org/officeDocument/2006/relationships/image" Target="../media/image5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63.png"/><Relationship Id="rId3" Type="http://schemas.openxmlformats.org/officeDocument/2006/relationships/image" Target="../media/image8.png"/><Relationship Id="rId7" Type="http://schemas.openxmlformats.org/officeDocument/2006/relationships/hyperlink" Target="#'8. T4 RAHOITUSSUUN. '!A1"/><Relationship Id="rId12" Type="http://schemas.openxmlformats.org/officeDocument/2006/relationships/image" Target="../media/image59.png"/><Relationship Id="rId17" Type="http://schemas.openxmlformats.org/officeDocument/2006/relationships/image" Target="../media/image62.png"/><Relationship Id="rId2" Type="http://schemas.openxmlformats.org/officeDocument/2006/relationships/hyperlink" Target="#Tulostussivu!A1"/><Relationship Id="rId16" Type="http://schemas.openxmlformats.org/officeDocument/2006/relationships/hyperlink" Target="#'3. T3 TASE '!A1"/><Relationship Id="rId20" Type="http://schemas.openxmlformats.org/officeDocument/2006/relationships/image" Target="../media/image64.png"/><Relationship Id="rId1" Type="http://schemas.openxmlformats.org/officeDocument/2006/relationships/image" Target="../media/image55.jpeg"/><Relationship Id="rId6" Type="http://schemas.openxmlformats.org/officeDocument/2006/relationships/image" Target="../media/image56.png"/><Relationship Id="rId11" Type="http://schemas.openxmlformats.org/officeDocument/2006/relationships/hyperlink" Target="#'6. E2 LIIKEVAIHTO '!A1"/><Relationship Id="rId5" Type="http://schemas.openxmlformats.org/officeDocument/2006/relationships/hyperlink" Target="#'9. T5 KASSABUDJETTI  '!A1"/><Relationship Id="rId15" Type="http://schemas.openxmlformats.org/officeDocument/2006/relationships/image" Target="../media/image61.png"/><Relationship Id="rId10" Type="http://schemas.openxmlformats.org/officeDocument/2006/relationships/image" Target="../media/image58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9.sv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60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78.png"/><Relationship Id="rId3" Type="http://schemas.openxmlformats.org/officeDocument/2006/relationships/image" Target="../media/image9.svg"/><Relationship Id="rId21" Type="http://schemas.openxmlformats.org/officeDocument/2006/relationships/image" Target="../media/image74.png"/><Relationship Id="rId7" Type="http://schemas.openxmlformats.org/officeDocument/2006/relationships/image" Target="../media/image66.png"/><Relationship Id="rId12" Type="http://schemas.openxmlformats.org/officeDocument/2006/relationships/image" Target="../media/image69.png"/><Relationship Id="rId17" Type="http://schemas.openxmlformats.org/officeDocument/2006/relationships/image" Target="../media/image72.png"/><Relationship Id="rId25" Type="http://schemas.openxmlformats.org/officeDocument/2006/relationships/image" Target="../media/image77.png"/><Relationship Id="rId33" Type="http://schemas.openxmlformats.org/officeDocument/2006/relationships/image" Target="../media/image83.jpeg"/><Relationship Id="rId2" Type="http://schemas.openxmlformats.org/officeDocument/2006/relationships/image" Target="../media/image8.png"/><Relationship Id="rId16" Type="http://schemas.openxmlformats.org/officeDocument/2006/relationships/image" Target="../media/image71.png"/><Relationship Id="rId20" Type="http://schemas.openxmlformats.org/officeDocument/2006/relationships/hyperlink" Target="#'9. T4 RAHOITUSSUUN. '!A1"/><Relationship Id="rId29" Type="http://schemas.openxmlformats.org/officeDocument/2006/relationships/image" Target="../media/image80.pn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image" Target="../media/image68.png"/><Relationship Id="rId24" Type="http://schemas.openxmlformats.org/officeDocument/2006/relationships/image" Target="../media/image76.png"/><Relationship Id="rId32" Type="http://schemas.openxmlformats.org/officeDocument/2006/relationships/image" Target="../media/image82.png"/><Relationship Id="rId5" Type="http://schemas.openxmlformats.org/officeDocument/2006/relationships/image" Target="../media/image65.png"/><Relationship Id="rId15" Type="http://schemas.openxmlformats.org/officeDocument/2006/relationships/hyperlink" Target="#'3. T3 TASE '!A1"/><Relationship Id="rId23" Type="http://schemas.openxmlformats.org/officeDocument/2006/relationships/image" Target="../media/image75.png"/><Relationship Id="rId28" Type="http://schemas.openxmlformats.org/officeDocument/2006/relationships/image" Target="../media/image79.png"/><Relationship Id="rId10" Type="http://schemas.openxmlformats.org/officeDocument/2006/relationships/hyperlink" Target="#'6. E2 LIIKEVAIHTO '!A1"/><Relationship Id="rId19" Type="http://schemas.openxmlformats.org/officeDocument/2006/relationships/image" Target="../media/image73.png"/><Relationship Id="rId31" Type="http://schemas.openxmlformats.org/officeDocument/2006/relationships/hyperlink" Target="#'1. T1 NVESTOINTISUUN.'!A1"/><Relationship Id="rId4" Type="http://schemas.openxmlformats.org/officeDocument/2006/relationships/hyperlink" Target="#'9. T5 KASSABUDJETTI  '!A1"/><Relationship Id="rId9" Type="http://schemas.openxmlformats.org/officeDocument/2006/relationships/image" Target="../media/image67.png"/><Relationship Id="rId14" Type="http://schemas.openxmlformats.org/officeDocument/2006/relationships/image" Target="../media/image70.png"/><Relationship Id="rId22" Type="http://schemas.openxmlformats.org/officeDocument/2006/relationships/hyperlink" Target="#'3. &amp; 8. T3 TASE '!A1"/><Relationship Id="rId27" Type="http://schemas.openxmlformats.org/officeDocument/2006/relationships/hyperlink" Target="#'4. T4 LAINAT '!A1"/><Relationship Id="rId30" Type="http://schemas.openxmlformats.org/officeDocument/2006/relationships/image" Target="../media/image81.png"/><Relationship Id="rId8" Type="http://schemas.openxmlformats.org/officeDocument/2006/relationships/hyperlink" Target="#'2. &amp; 7. T2 TULOSSUUN. 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9.svg"/><Relationship Id="rId7" Type="http://schemas.openxmlformats.org/officeDocument/2006/relationships/image" Target="../media/image85.png"/><Relationship Id="rId12" Type="http://schemas.openxmlformats.org/officeDocument/2006/relationships/image" Target="../media/image87.png"/><Relationship Id="rId17" Type="http://schemas.openxmlformats.org/officeDocument/2006/relationships/image" Target="../media/image90.png"/><Relationship Id="rId2" Type="http://schemas.openxmlformats.org/officeDocument/2006/relationships/image" Target="../media/image8.png"/><Relationship Id="rId16" Type="http://schemas.openxmlformats.org/officeDocument/2006/relationships/image" Target="../media/image89.png"/><Relationship Id="rId20" Type="http://schemas.openxmlformats.org/officeDocument/2006/relationships/image" Target="../media/image92.jpe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hyperlink" Target="#'5. E1 KUSTANNUKSET '!A1"/><Relationship Id="rId5" Type="http://schemas.openxmlformats.org/officeDocument/2006/relationships/image" Target="../media/image84.png"/><Relationship Id="rId15" Type="http://schemas.openxmlformats.org/officeDocument/2006/relationships/hyperlink" Target="#'3. T3 TASE '!A1"/><Relationship Id="rId10" Type="http://schemas.openxmlformats.org/officeDocument/2006/relationships/image" Target="../media/image86.png"/><Relationship Id="rId19" Type="http://schemas.openxmlformats.org/officeDocument/2006/relationships/image" Target="../media/image91.png"/><Relationship Id="rId4" Type="http://schemas.openxmlformats.org/officeDocument/2006/relationships/hyperlink" Target="#'9. T5 KASSABUDJETTI  '!A1"/><Relationship Id="rId9" Type="http://schemas.openxmlformats.org/officeDocument/2006/relationships/image" Target="../media/image67.png"/><Relationship Id="rId14" Type="http://schemas.openxmlformats.org/officeDocument/2006/relationships/image" Target="../media/image88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image" Target="../media/image98.png"/><Relationship Id="rId18" Type="http://schemas.openxmlformats.org/officeDocument/2006/relationships/image" Target="../media/image100.pn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02.png"/><Relationship Id="rId7" Type="http://schemas.openxmlformats.org/officeDocument/2006/relationships/image" Target="../media/image9.svg"/><Relationship Id="rId12" Type="http://schemas.openxmlformats.org/officeDocument/2006/relationships/hyperlink" Target="#'4. T7 LAINAT '!A1"/><Relationship Id="rId17" Type="http://schemas.openxmlformats.org/officeDocument/2006/relationships/hyperlink" Target="#'6. E2 LIIKEVAIHTO '!A1"/><Relationship Id="rId2" Type="http://schemas.openxmlformats.org/officeDocument/2006/relationships/image" Target="../media/image94.jpeg"/><Relationship Id="rId16" Type="http://schemas.openxmlformats.org/officeDocument/2006/relationships/image" Target="../media/image72.png"/><Relationship Id="rId20" Type="http://schemas.openxmlformats.org/officeDocument/2006/relationships/hyperlink" Target="#'9. T5 KASSABUDJETTI  '!A1"/><Relationship Id="rId1" Type="http://schemas.openxmlformats.org/officeDocument/2006/relationships/image" Target="../media/image93.jpeg"/><Relationship Id="rId6" Type="http://schemas.openxmlformats.org/officeDocument/2006/relationships/image" Target="../media/image8.png"/><Relationship Id="rId11" Type="http://schemas.openxmlformats.org/officeDocument/2006/relationships/image" Target="../media/image97.png"/><Relationship Id="rId5" Type="http://schemas.openxmlformats.org/officeDocument/2006/relationships/hyperlink" Target="#Tulostussivu!A1"/><Relationship Id="rId15" Type="http://schemas.openxmlformats.org/officeDocument/2006/relationships/image" Target="../media/image99.png"/><Relationship Id="rId10" Type="http://schemas.openxmlformats.org/officeDocument/2006/relationships/hyperlink" Target="#'5. E1 KUSTANNUKSET '!A1"/><Relationship Id="rId19" Type="http://schemas.openxmlformats.org/officeDocument/2006/relationships/image" Target="../media/image101.png"/><Relationship Id="rId4" Type="http://schemas.openxmlformats.org/officeDocument/2006/relationships/image" Target="../media/image95.png"/><Relationship Id="rId9" Type="http://schemas.openxmlformats.org/officeDocument/2006/relationships/image" Target="../media/image96.png"/><Relationship Id="rId14" Type="http://schemas.openxmlformats.org/officeDocument/2006/relationships/hyperlink" Target="#'3. T3 TASE 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883228</xdr:colOff>
      <xdr:row>3</xdr:row>
      <xdr:rowOff>142827</xdr:rowOff>
    </xdr:from>
    <xdr:to>
      <xdr:col>7</xdr:col>
      <xdr:colOff>451636</xdr:colOff>
      <xdr:row>18</xdr:row>
      <xdr:rowOff>242454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6DDC5BFA-B360-4276-AAFA-80DBB2902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3296" y="662372"/>
          <a:ext cx="5274749" cy="4022196"/>
        </a:xfrm>
        <a:prstGeom prst="rect">
          <a:avLst/>
        </a:prstGeom>
      </xdr:spPr>
    </xdr:pic>
    <xdr:clientData/>
  </xdr:twoCellAnchor>
  <xdr:twoCellAnchor>
    <xdr:from>
      <xdr:col>1</xdr:col>
      <xdr:colOff>216476</xdr:colOff>
      <xdr:row>8</xdr:row>
      <xdr:rowOff>84426</xdr:rowOff>
    </xdr:from>
    <xdr:to>
      <xdr:col>3</xdr:col>
      <xdr:colOff>2209158</xdr:colOff>
      <xdr:row>10</xdr:row>
      <xdr:rowOff>296140</xdr:rowOff>
    </xdr:to>
    <xdr:sp macro="" textlink="">
      <xdr:nvSpPr>
        <xdr:cNvPr id="38" name="Suorakulmio: Vastakkaiset kulmat leikattu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E985E85-6DA8-48CA-9BCB-839C8FAC6A77}"/>
            </a:ext>
          </a:extLst>
        </xdr:cNvPr>
        <xdr:cNvSpPr/>
      </xdr:nvSpPr>
      <xdr:spPr>
        <a:xfrm>
          <a:off x="467590" y="1842221"/>
          <a:ext cx="2772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nykyiset lainat ja suunniteltu rahoitus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tuleville vuosille.</a:t>
          </a: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219074</xdr:colOff>
      <xdr:row>4</xdr:row>
      <xdr:rowOff>213515</xdr:rowOff>
    </xdr:from>
    <xdr:to>
      <xdr:col>3</xdr:col>
      <xdr:colOff>2139756</xdr:colOff>
      <xdr:row>7</xdr:row>
      <xdr:rowOff>1140</xdr:rowOff>
    </xdr:to>
    <xdr:sp macro="" textlink="">
      <xdr:nvSpPr>
        <xdr:cNvPr id="4" name="Suorakulmio: Vastakkaiset kulmat leikattu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057A6C2-D4E0-4ABB-A78D-680A7CC0721B}"/>
            </a:ext>
          </a:extLst>
        </xdr:cNvPr>
        <xdr:cNvSpPr/>
      </xdr:nvSpPr>
      <xdr:spPr>
        <a:xfrm>
          <a:off x="470188" y="897583"/>
          <a:ext cx="2700000" cy="740125"/>
        </a:xfrm>
        <a:prstGeom prst="snip2DiagRect">
          <a:avLst/>
        </a:prstGeom>
        <a:solidFill>
          <a:schemeClr val="accent1">
            <a:lumMod val="40000"/>
            <a:lumOff val="6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 INVESTOINTISUUNNITELMA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Perustiedot 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investoinneista ja  rahoituksesta.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296763</xdr:colOff>
      <xdr:row>4</xdr:row>
      <xdr:rowOff>353978</xdr:rowOff>
    </xdr:from>
    <xdr:to>
      <xdr:col>2</xdr:col>
      <xdr:colOff>50627</xdr:colOff>
      <xdr:row>6</xdr:row>
      <xdr:rowOff>177114</xdr:rowOff>
    </xdr:to>
    <xdr:pic>
      <xdr:nvPicPr>
        <xdr:cNvPr id="9" name="Kuva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442D111-B239-40F0-B46F-4CC37D8C47C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877" y="1038046"/>
          <a:ext cx="360000" cy="360000"/>
        </a:xfrm>
        <a:prstGeom prst="rect">
          <a:avLst/>
        </a:prstGeom>
      </xdr:spPr>
    </xdr:pic>
    <xdr:clientData/>
  </xdr:twoCellAnchor>
  <xdr:twoCellAnchor>
    <xdr:from>
      <xdr:col>3</xdr:col>
      <xdr:colOff>2434937</xdr:colOff>
      <xdr:row>4</xdr:row>
      <xdr:rowOff>242931</xdr:rowOff>
    </xdr:from>
    <xdr:to>
      <xdr:col>5</xdr:col>
      <xdr:colOff>2502574</xdr:colOff>
      <xdr:row>7</xdr:row>
      <xdr:rowOff>33958</xdr:rowOff>
    </xdr:to>
    <xdr:sp macro="" textlink="">
      <xdr:nvSpPr>
        <xdr:cNvPr id="65" name="Suorakulmio: Vastakkaiset kulmat leikattu 6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2147FDC-C54C-44CB-8E25-EFCB6A58AB56}"/>
            </a:ext>
          </a:extLst>
        </xdr:cNvPr>
        <xdr:cNvSpPr/>
      </xdr:nvSpPr>
      <xdr:spPr>
        <a:xfrm>
          <a:off x="3465369" y="926999"/>
          <a:ext cx="2700000" cy="743527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74651</xdr:colOff>
      <xdr:row>4</xdr:row>
      <xdr:rowOff>362271</xdr:rowOff>
    </xdr:from>
    <xdr:to>
      <xdr:col>5</xdr:col>
      <xdr:colOff>280151</xdr:colOff>
      <xdr:row>6</xdr:row>
      <xdr:rowOff>211310</xdr:rowOff>
    </xdr:to>
    <xdr:pic>
      <xdr:nvPicPr>
        <xdr:cNvPr id="11" name="Kuva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49E994A-A3E7-439A-8F48-59BBC2E7E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6946" y="1046339"/>
          <a:ext cx="396000" cy="385903"/>
        </a:xfrm>
        <a:prstGeom prst="rect">
          <a:avLst/>
        </a:prstGeom>
      </xdr:spPr>
    </xdr:pic>
    <xdr:clientData/>
  </xdr:twoCellAnchor>
  <xdr:twoCellAnchor>
    <xdr:from>
      <xdr:col>6</xdr:col>
      <xdr:colOff>17536</xdr:colOff>
      <xdr:row>8</xdr:row>
      <xdr:rowOff>103699</xdr:rowOff>
    </xdr:from>
    <xdr:to>
      <xdr:col>8</xdr:col>
      <xdr:colOff>1946877</xdr:colOff>
      <xdr:row>10</xdr:row>
      <xdr:rowOff>372340</xdr:rowOff>
    </xdr:to>
    <xdr:sp macro="" textlink="">
      <xdr:nvSpPr>
        <xdr:cNvPr id="68" name="Suorakulmio: Vastakkaiset kulmat leikattu 6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CA897AA-A8DE-488A-9926-6517EEA5E196}"/>
            </a:ext>
          </a:extLst>
        </xdr:cNvPr>
        <xdr:cNvSpPr/>
      </xdr:nvSpPr>
      <xdr:spPr>
        <a:xfrm>
          <a:off x="6468559" y="1861494"/>
          <a:ext cx="2700000" cy="805505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Ins="36000" bIns="36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E2 LIIKEVAIHTO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Sijoitetaan toteutuneen tilikauden myynnit tuloslaskelmasta 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ja tehdään myyntiennuste tuleville vuosille.</a:t>
          </a: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2777589</xdr:colOff>
      <xdr:row>4</xdr:row>
      <xdr:rowOff>231289</xdr:rowOff>
    </xdr:from>
    <xdr:to>
      <xdr:col>8</xdr:col>
      <xdr:colOff>1918702</xdr:colOff>
      <xdr:row>7</xdr:row>
      <xdr:rowOff>27367</xdr:rowOff>
    </xdr:to>
    <xdr:sp macro="" textlink="">
      <xdr:nvSpPr>
        <xdr:cNvPr id="67" name="Suorakulmio: Vastakkaiset kulmat leikattu 6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6D0B228-57C2-4B99-80BC-23DCD29C2A40}"/>
            </a:ext>
          </a:extLst>
        </xdr:cNvPr>
        <xdr:cNvSpPr/>
      </xdr:nvSpPr>
      <xdr:spPr>
        <a:xfrm>
          <a:off x="6440384" y="915357"/>
          <a:ext cx="2700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taseesta keltaisiin soluihin.</a:t>
          </a:r>
        </a:p>
      </xdr:txBody>
    </xdr:sp>
    <xdr:clientData/>
  </xdr:twoCellAnchor>
  <xdr:twoCellAnchor>
    <xdr:from>
      <xdr:col>6</xdr:col>
      <xdr:colOff>65224</xdr:colOff>
      <xdr:row>4</xdr:row>
      <xdr:rowOff>366461</xdr:rowOff>
    </xdr:from>
    <xdr:to>
      <xdr:col>7</xdr:col>
      <xdr:colOff>139474</xdr:colOff>
      <xdr:row>6</xdr:row>
      <xdr:rowOff>189597</xdr:rowOff>
    </xdr:to>
    <xdr:pic>
      <xdr:nvPicPr>
        <xdr:cNvPr id="13" name="Kuva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2023352-C06B-46CD-8999-B0C2C588B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6247" y="1050529"/>
          <a:ext cx="360000" cy="360000"/>
        </a:xfrm>
        <a:prstGeom prst="rect">
          <a:avLst/>
        </a:prstGeom>
      </xdr:spPr>
    </xdr:pic>
    <xdr:clientData/>
  </xdr:twoCellAnchor>
  <xdr:twoCellAnchor>
    <xdr:from>
      <xdr:col>1</xdr:col>
      <xdr:colOff>213508</xdr:colOff>
      <xdr:row>11</xdr:row>
      <xdr:rowOff>82639</xdr:rowOff>
    </xdr:from>
    <xdr:to>
      <xdr:col>3</xdr:col>
      <xdr:colOff>2134190</xdr:colOff>
      <xdr:row>14</xdr:row>
      <xdr:rowOff>169167</xdr:rowOff>
    </xdr:to>
    <xdr:sp macro="" textlink="">
      <xdr:nvSpPr>
        <xdr:cNvPr id="72" name="Suorakulmio: Vastakkaiset kulmat leikattu 7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EA1A239-7B30-4481-A227-163DB174AD3F}"/>
            </a:ext>
          </a:extLst>
        </xdr:cNvPr>
        <xdr:cNvSpPr/>
      </xdr:nvSpPr>
      <xdr:spPr>
        <a:xfrm>
          <a:off x="464622" y="2792934"/>
          <a:ext cx="2700000" cy="744619"/>
        </a:xfrm>
        <a:prstGeom prst="snip2Diag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ennustetilikausien keltaiset solut.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284850</xdr:colOff>
      <xdr:row>12</xdr:row>
      <xdr:rowOff>116191</xdr:rowOff>
    </xdr:from>
    <xdr:to>
      <xdr:col>2</xdr:col>
      <xdr:colOff>38714</xdr:colOff>
      <xdr:row>13</xdr:row>
      <xdr:rowOff>60555</xdr:rowOff>
    </xdr:to>
    <xdr:pic>
      <xdr:nvPicPr>
        <xdr:cNvPr id="21" name="Kuva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40B63FE-1919-4E8C-8624-935F8DD96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964" y="2947714"/>
          <a:ext cx="360000" cy="360000"/>
        </a:xfrm>
        <a:prstGeom prst="rect">
          <a:avLst/>
        </a:prstGeom>
      </xdr:spPr>
    </xdr:pic>
    <xdr:clientData/>
  </xdr:twoCellAnchor>
  <xdr:twoCellAnchor>
    <xdr:from>
      <xdr:col>3</xdr:col>
      <xdr:colOff>2418854</xdr:colOff>
      <xdr:row>11</xdr:row>
      <xdr:rowOff>91963</xdr:rowOff>
    </xdr:from>
    <xdr:to>
      <xdr:col>5</xdr:col>
      <xdr:colOff>2486491</xdr:colOff>
      <xdr:row>14</xdr:row>
      <xdr:rowOff>281420</xdr:rowOff>
    </xdr:to>
    <xdr:sp macro="" textlink="">
      <xdr:nvSpPr>
        <xdr:cNvPr id="74" name="Suorakulmio: Vastakkaiset kulmat leikattu 7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1668049-B4AD-4C0C-A1FA-F20B726EAE69}"/>
            </a:ext>
          </a:extLst>
        </xdr:cNvPr>
        <xdr:cNvSpPr/>
      </xdr:nvSpPr>
      <xdr:spPr>
        <a:xfrm>
          <a:off x="3449286" y="2802258"/>
          <a:ext cx="2700000" cy="847548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toteutuneen tilikauden tiedot taseesta ja ennustetaan tulevat tilikaudet.</a:t>
          </a:r>
        </a:p>
      </xdr:txBody>
    </xdr:sp>
    <xdr:clientData/>
  </xdr:twoCellAnchor>
  <xdr:twoCellAnchor>
    <xdr:from>
      <xdr:col>4</xdr:col>
      <xdr:colOff>61534</xdr:colOff>
      <xdr:row>12</xdr:row>
      <xdr:rowOff>118279</xdr:rowOff>
    </xdr:from>
    <xdr:to>
      <xdr:col>5</xdr:col>
      <xdr:colOff>231034</xdr:colOff>
      <xdr:row>13</xdr:row>
      <xdr:rowOff>62643</xdr:rowOff>
    </xdr:to>
    <xdr:pic>
      <xdr:nvPicPr>
        <xdr:cNvPr id="23" name="Kuva 2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A0158C5-EE60-4C5D-9565-6B6B9DD19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3829" y="2949802"/>
          <a:ext cx="360000" cy="360000"/>
        </a:xfrm>
        <a:prstGeom prst="rect">
          <a:avLst/>
        </a:prstGeom>
      </xdr:spPr>
    </xdr:pic>
    <xdr:clientData/>
  </xdr:twoCellAnchor>
  <xdr:twoCellAnchor>
    <xdr:from>
      <xdr:col>6</xdr:col>
      <xdr:colOff>18124</xdr:colOff>
      <xdr:row>11</xdr:row>
      <xdr:rowOff>87455</xdr:rowOff>
    </xdr:from>
    <xdr:to>
      <xdr:col>8</xdr:col>
      <xdr:colOff>1947465</xdr:colOff>
      <xdr:row>14</xdr:row>
      <xdr:rowOff>170520</xdr:rowOff>
    </xdr:to>
    <xdr:sp macro="" textlink="">
      <xdr:nvSpPr>
        <xdr:cNvPr id="77" name="Suorakulmio: Vastakkaiset kulmat leikattu 7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6ED7FE6-4CC7-4E13-B487-99714302A739}"/>
            </a:ext>
          </a:extLst>
        </xdr:cNvPr>
        <xdr:cNvSpPr/>
      </xdr:nvSpPr>
      <xdr:spPr>
        <a:xfrm>
          <a:off x="6469147" y="2797750"/>
          <a:ext cx="2700000" cy="741156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tulojen ja menojen ennuste 1. tai 2. ennustekaudelle. </a:t>
          </a:r>
        </a:p>
      </xdr:txBody>
    </xdr:sp>
    <xdr:clientData/>
  </xdr:twoCellAnchor>
  <xdr:twoCellAnchor>
    <xdr:from>
      <xdr:col>6</xdr:col>
      <xdr:colOff>99067</xdr:colOff>
      <xdr:row>12</xdr:row>
      <xdr:rowOff>128564</xdr:rowOff>
    </xdr:from>
    <xdr:to>
      <xdr:col>7</xdr:col>
      <xdr:colOff>173317</xdr:colOff>
      <xdr:row>13</xdr:row>
      <xdr:rowOff>72928</xdr:rowOff>
    </xdr:to>
    <xdr:pic>
      <xdr:nvPicPr>
        <xdr:cNvPr id="25" name="Kuva 2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B7AC58E-109B-4CFD-865E-219E2AADC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0090" y="2960087"/>
          <a:ext cx="360000" cy="360000"/>
        </a:xfrm>
        <a:prstGeom prst="rect">
          <a:avLst/>
        </a:prstGeom>
      </xdr:spPr>
    </xdr:pic>
    <xdr:clientData/>
  </xdr:twoCellAnchor>
  <xdr:twoCellAnchor>
    <xdr:from>
      <xdr:col>6</xdr:col>
      <xdr:colOff>45493</xdr:colOff>
      <xdr:row>15</xdr:row>
      <xdr:rowOff>27465</xdr:rowOff>
    </xdr:from>
    <xdr:to>
      <xdr:col>8</xdr:col>
      <xdr:colOff>2054147</xdr:colOff>
      <xdr:row>18</xdr:row>
      <xdr:rowOff>110530</xdr:rowOff>
    </xdr:to>
    <xdr:sp macro="" textlink="">
      <xdr:nvSpPr>
        <xdr:cNvPr id="78" name="Suorakulmio: Vastakkaiset kulmat leikattu 7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818CDAF1-09A6-4C87-A128-D465C5AB00C8}"/>
            </a:ext>
          </a:extLst>
        </xdr:cNvPr>
        <xdr:cNvSpPr/>
      </xdr:nvSpPr>
      <xdr:spPr>
        <a:xfrm>
          <a:off x="8436152" y="3811488"/>
          <a:ext cx="2779313" cy="741156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laskennasta, tulosta  tai tallenna pdf-muotoon. </a:t>
          </a:r>
        </a:p>
      </xdr:txBody>
    </xdr:sp>
    <xdr:clientData/>
  </xdr:twoCellAnchor>
  <xdr:twoCellAnchor>
    <xdr:from>
      <xdr:col>6</xdr:col>
      <xdr:colOff>164399</xdr:colOff>
      <xdr:row>16</xdr:row>
      <xdr:rowOff>79934</xdr:rowOff>
    </xdr:from>
    <xdr:to>
      <xdr:col>7</xdr:col>
      <xdr:colOff>233160</xdr:colOff>
      <xdr:row>17</xdr:row>
      <xdr:rowOff>21191</xdr:rowOff>
    </xdr:to>
    <xdr:pic>
      <xdr:nvPicPr>
        <xdr:cNvPr id="89" name="Kuva 88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9E9A1FAC-BEA9-47E4-99B7-D544C8DAA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8555058" y="3985184"/>
          <a:ext cx="354511" cy="356893"/>
        </a:xfrm>
        <a:prstGeom prst="rect">
          <a:avLst/>
        </a:prstGeom>
      </xdr:spPr>
    </xdr:pic>
    <xdr:clientData/>
  </xdr:twoCellAnchor>
  <xdr:twoCellAnchor>
    <xdr:from>
      <xdr:col>0</xdr:col>
      <xdr:colOff>182880</xdr:colOff>
      <xdr:row>3</xdr:row>
      <xdr:rowOff>106680</xdr:rowOff>
    </xdr:from>
    <xdr:to>
      <xdr:col>7</xdr:col>
      <xdr:colOff>99060</xdr:colOff>
      <xdr:row>14</xdr:row>
      <xdr:rowOff>30480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D8DEB3ED-3659-46FD-9749-1ACF7B3E1A02}"/>
            </a:ext>
          </a:extLst>
        </xdr:cNvPr>
        <xdr:cNvSpPr/>
      </xdr:nvSpPr>
      <xdr:spPr>
        <a:xfrm>
          <a:off x="182880" y="601980"/>
          <a:ext cx="6728460" cy="2834640"/>
        </a:xfrm>
        <a:prstGeom prst="rect">
          <a:avLst/>
        </a:prstGeom>
        <a:noFill/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2434117</xdr:colOff>
      <xdr:row>8</xdr:row>
      <xdr:rowOff>95775</xdr:rowOff>
    </xdr:from>
    <xdr:to>
      <xdr:col>5</xdr:col>
      <xdr:colOff>2501754</xdr:colOff>
      <xdr:row>10</xdr:row>
      <xdr:rowOff>307489</xdr:rowOff>
    </xdr:to>
    <xdr:sp macro="" textlink="">
      <xdr:nvSpPr>
        <xdr:cNvPr id="30" name="Suorakulmio: Vastakkaiset kulmat leikattu 2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7AD019F9-7D95-4E53-9CB3-51A4E7CE1E22}"/>
            </a:ext>
          </a:extLst>
        </xdr:cNvPr>
        <xdr:cNvSpPr/>
      </xdr:nvSpPr>
      <xdr:spPr>
        <a:xfrm>
          <a:off x="3464549" y="1853570"/>
          <a:ext cx="2700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marL="180000" algn="l">
            <a:lnSpc>
              <a:spcPts val="1100"/>
            </a:lnSpc>
          </a:pP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309175</xdr:colOff>
      <xdr:row>8</xdr:row>
      <xdr:rowOff>213164</xdr:rowOff>
    </xdr:from>
    <xdr:to>
      <xdr:col>2</xdr:col>
      <xdr:colOff>63039</xdr:colOff>
      <xdr:row>10</xdr:row>
      <xdr:rowOff>36300</xdr:rowOff>
    </xdr:to>
    <xdr:pic>
      <xdr:nvPicPr>
        <xdr:cNvPr id="75" name="Kuva 7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B4B2AE-D46A-42F1-B527-69EE52FC8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89" y="197095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82357</xdr:colOff>
      <xdr:row>8</xdr:row>
      <xdr:rowOff>249687</xdr:rowOff>
    </xdr:from>
    <xdr:to>
      <xdr:col>7</xdr:col>
      <xdr:colOff>156607</xdr:colOff>
      <xdr:row>10</xdr:row>
      <xdr:rowOff>72823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6FF0714-4765-4561-BE4A-2FE02D8128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3380" y="2007482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68232</xdr:colOff>
      <xdr:row>8</xdr:row>
      <xdr:rowOff>229399</xdr:rowOff>
    </xdr:from>
    <xdr:to>
      <xdr:col>5</xdr:col>
      <xdr:colOff>237732</xdr:colOff>
      <xdr:row>10</xdr:row>
      <xdr:rowOff>52535</xdr:rowOff>
    </xdr:to>
    <xdr:pic>
      <xdr:nvPicPr>
        <xdr:cNvPr id="15" name="Kuva 1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81C92CD-1D51-40DF-81E3-3D0073109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0527" y="1987194"/>
          <a:ext cx="360000" cy="360000"/>
        </a:xfrm>
        <a:prstGeom prst="rect">
          <a:avLst/>
        </a:prstGeom>
      </xdr:spPr>
    </xdr:pic>
    <xdr:clientData/>
  </xdr:twoCellAnchor>
  <xdr:oneCellAnchor>
    <xdr:from>
      <xdr:col>1</xdr:col>
      <xdr:colOff>254440</xdr:colOff>
      <xdr:row>15</xdr:row>
      <xdr:rowOff>8659</xdr:rowOff>
    </xdr:from>
    <xdr:ext cx="5642402" cy="1913660"/>
    <xdr:sp macro="" textlink="">
      <xdr:nvSpPr>
        <xdr:cNvPr id="5" name="Suorakulmio: Yksi kulma pyöristetty 4">
          <a:extLst>
            <a:ext uri="{FF2B5EF4-FFF2-40B4-BE49-F238E27FC236}">
              <a16:creationId xmlns:a16="http://schemas.microsoft.com/office/drawing/2014/main" id="{B68229C3-3ABF-4351-AC7D-BD9CEF72A35A}"/>
            </a:ext>
          </a:extLst>
        </xdr:cNvPr>
        <xdr:cNvSpPr/>
      </xdr:nvSpPr>
      <xdr:spPr>
        <a:xfrm>
          <a:off x="505554" y="3792682"/>
          <a:ext cx="5642402" cy="1913660"/>
        </a:xfrm>
        <a:prstGeom prst="round1Rect">
          <a:avLst/>
        </a:prstGeom>
        <a:solidFill>
          <a:srgbClr val="FFC000">
            <a:alpha val="90000"/>
          </a:srgb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>
          <a:noAutofit/>
        </a:bodyPr>
        <a:lstStyle/>
        <a:p>
          <a:pPr marL="7200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</a:t>
          </a:r>
        </a:p>
        <a:p>
          <a:pPr marL="72000" marR="0" lvl="0" indent="0" defTabSz="914400" eaLnBrk="1" fontAlgn="auto" latinLnBrk="0" hangingPunct="1">
            <a:lnSpc>
              <a:spcPts val="12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Tällä laskentaohjelmalla voit: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laskea</a:t>
          </a: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investoinnin kannattavuuden ja rahoituksen määrän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analysoida yrityksen taloudellisen tilan ja tehdä suunnitelmat seuraaville neljälle vuodelle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arvioida yrityksen arvon, kunnon ja tuloksentekokyvyn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•</a:t>
          </a:r>
          <a:r>
            <a:rPr lang="fi-FI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tallentaa tai tulostaa liitteet rahoitushakemukseen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Täytä laskentaa numerojärjestyksessä. </a:t>
          </a:r>
          <a:r>
            <a:rPr kumimoji="0" lang="fi-FI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Ohjeita täyttämiseen </a:t>
          </a: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www.yritystulkki.fi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oneCellAnchor>
  <xdr:twoCellAnchor>
    <xdr:from>
      <xdr:col>0</xdr:col>
      <xdr:colOff>0</xdr:colOff>
      <xdr:row>0</xdr:row>
      <xdr:rowOff>0</xdr:rowOff>
    </xdr:from>
    <xdr:to>
      <xdr:col>10</xdr:col>
      <xdr:colOff>484909</xdr:colOff>
      <xdr:row>3</xdr:row>
      <xdr:rowOff>106610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7005D07E-86A6-49AE-8286-59E71A086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508182" cy="626155"/>
        </a:xfrm>
        <a:prstGeom prst="rect">
          <a:avLst/>
        </a:prstGeom>
      </xdr:spPr>
    </xdr:pic>
    <xdr:clientData/>
  </xdr:twoCellAnchor>
  <xdr:twoCellAnchor>
    <xdr:from>
      <xdr:col>3</xdr:col>
      <xdr:colOff>649577</xdr:colOff>
      <xdr:row>0</xdr:row>
      <xdr:rowOff>133074</xdr:rowOff>
    </xdr:from>
    <xdr:to>
      <xdr:col>8</xdr:col>
      <xdr:colOff>801287</xdr:colOff>
      <xdr:row>2</xdr:row>
      <xdr:rowOff>139317</xdr:rowOff>
    </xdr:to>
    <xdr:sp macro="" textlink="">
      <xdr:nvSpPr>
        <xdr:cNvPr id="53" name="Tekstikehys 3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3619645" y="133074"/>
          <a:ext cx="6342960" cy="3352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i-FI" sz="1500" b="1" i="0">
              <a:solidFill>
                <a:schemeClr val="bg1"/>
              </a:solidFill>
            </a:rPr>
            <a:t>YT22 TOIMIVAN</a:t>
          </a:r>
          <a:r>
            <a:rPr lang="fi-FI" sz="1500" b="1" i="0" baseline="0">
              <a:solidFill>
                <a:schemeClr val="bg1"/>
              </a:solidFill>
            </a:rPr>
            <a:t> YRITYKSEN </a:t>
          </a:r>
          <a:r>
            <a:rPr lang="fi-FI" sz="1500" b="1" i="0">
              <a:solidFill>
                <a:schemeClr val="bg1"/>
              </a:solidFill>
            </a:rPr>
            <a:t>TULOSSUUNNITELMA</a:t>
          </a:r>
        </a:p>
      </xdr:txBody>
    </xdr:sp>
    <xdr:clientData/>
  </xdr:twoCellAnchor>
  <xdr:twoCellAnchor>
    <xdr:from>
      <xdr:col>3</xdr:col>
      <xdr:colOff>833815</xdr:colOff>
      <xdr:row>0</xdr:row>
      <xdr:rowOff>108321</xdr:rowOff>
    </xdr:from>
    <xdr:to>
      <xdr:col>3</xdr:col>
      <xdr:colOff>1723160</xdr:colOff>
      <xdr:row>2</xdr:row>
      <xdr:rowOff>138546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7E79C75C-8DDC-4392-B173-D693ED8B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3883" y="108321"/>
          <a:ext cx="889345" cy="359270"/>
        </a:xfrm>
        <a:prstGeom prst="rect">
          <a:avLst/>
        </a:prstGeom>
      </xdr:spPr>
    </xdr:pic>
    <xdr:clientData/>
  </xdr:twoCellAnchor>
  <xdr:twoCellAnchor>
    <xdr:from>
      <xdr:col>7</xdr:col>
      <xdr:colOff>409862</xdr:colOff>
      <xdr:row>1</xdr:row>
      <xdr:rowOff>43852</xdr:rowOff>
    </xdr:from>
    <xdr:to>
      <xdr:col>8</xdr:col>
      <xdr:colOff>1425863</xdr:colOff>
      <xdr:row>2</xdr:row>
      <xdr:rowOff>153090</xdr:rowOff>
    </xdr:to>
    <xdr:sp macro="" textlink="">
      <xdr:nvSpPr>
        <xdr:cNvPr id="16" name="Tekstiruutu 15">
          <a:extLst>
            <a:ext uri="{FF2B5EF4-FFF2-40B4-BE49-F238E27FC236}">
              <a16:creationId xmlns:a16="http://schemas.microsoft.com/office/drawing/2014/main" id="{7D8DF95E-C348-8E5F-3D89-ADE1BE73AA94}"/>
            </a:ext>
          </a:extLst>
        </xdr:cNvPr>
        <xdr:cNvSpPr txBox="1"/>
      </xdr:nvSpPr>
      <xdr:spPr>
        <a:xfrm>
          <a:off x="7146635" y="208375"/>
          <a:ext cx="1500910" cy="2737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900" b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Times New Roman" panose="02020603050405020304" pitchFamily="18" charset="0"/>
            </a:rPr>
            <a:t>Päivitys 21.5.2026</a:t>
          </a:r>
        </a:p>
      </xdr:txBody>
    </xdr:sp>
    <xdr:clientData/>
  </xdr:twoCellAnchor>
  <xdr:twoCellAnchor editAs="oneCell">
    <xdr:from>
      <xdr:col>7</xdr:col>
      <xdr:colOff>346364</xdr:colOff>
      <xdr:row>18</xdr:row>
      <xdr:rowOff>355022</xdr:rowOff>
    </xdr:from>
    <xdr:to>
      <xdr:col>8</xdr:col>
      <xdr:colOff>1335933</xdr:colOff>
      <xdr:row>22</xdr:row>
      <xdr:rowOff>106507</xdr:rowOff>
    </xdr:to>
    <xdr:pic>
      <xdr:nvPicPr>
        <xdr:cNvPr id="36" name="Kuva 35">
          <a:extLst>
            <a:ext uri="{FF2B5EF4-FFF2-40B4-BE49-F238E27FC236}">
              <a16:creationId xmlns:a16="http://schemas.microsoft.com/office/drawing/2014/main" id="{75C58816-ABD7-BA90-41E7-76DD631F9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2773" y="4797136"/>
          <a:ext cx="1474478" cy="82521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147549</xdr:colOff>
      <xdr:row>10</xdr:row>
      <xdr:rowOff>58132</xdr:rowOff>
    </xdr:from>
    <xdr:to>
      <xdr:col>37</xdr:col>
      <xdr:colOff>231368</xdr:colOff>
      <xdr:row>38</xdr:row>
      <xdr:rowOff>14317</xdr:rowOff>
    </xdr:to>
    <xdr:graphicFrame macro="">
      <xdr:nvGraphicFramePr>
        <xdr:cNvPr id="5474107" name="Kaavio 3">
          <a:extLst>
            <a:ext uri="{FF2B5EF4-FFF2-40B4-BE49-F238E27FC236}">
              <a16:creationId xmlns:a16="http://schemas.microsoft.com/office/drawing/2014/main" id="{00000000-0008-0000-0600-00003B875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322066</xdr:colOff>
      <xdr:row>4</xdr:row>
      <xdr:rowOff>57979</xdr:rowOff>
    </xdr:from>
    <xdr:to>
      <xdr:col>18</xdr:col>
      <xdr:colOff>644100</xdr:colOff>
      <xdr:row>6</xdr:row>
      <xdr:rowOff>41248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E182982-5B36-4E23-BA62-A3CE613B4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92" y="2190751"/>
          <a:ext cx="995396" cy="379343"/>
        </a:xfrm>
        <a:prstGeom prst="rect">
          <a:avLst/>
        </a:prstGeom>
      </xdr:spPr>
    </xdr:pic>
    <xdr:clientData/>
  </xdr:twoCellAnchor>
  <xdr:twoCellAnchor editAs="oneCell">
    <xdr:from>
      <xdr:col>36</xdr:col>
      <xdr:colOff>148495</xdr:colOff>
      <xdr:row>4</xdr:row>
      <xdr:rowOff>73281</xdr:rowOff>
    </xdr:from>
    <xdr:to>
      <xdr:col>37</xdr:col>
      <xdr:colOff>302230</xdr:colOff>
      <xdr:row>6</xdr:row>
      <xdr:rowOff>3003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B4449BD5-AC01-494C-921A-0376B01FF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89595" y="881001"/>
          <a:ext cx="773495" cy="325962"/>
        </a:xfrm>
        <a:prstGeom prst="rect">
          <a:avLst/>
        </a:prstGeom>
      </xdr:spPr>
    </xdr:pic>
    <xdr:clientData/>
  </xdr:twoCellAnchor>
  <xdr:twoCellAnchor>
    <xdr:from>
      <xdr:col>0</xdr:col>
      <xdr:colOff>137710</xdr:colOff>
      <xdr:row>22</xdr:row>
      <xdr:rowOff>68579</xdr:rowOff>
    </xdr:from>
    <xdr:to>
      <xdr:col>0</xdr:col>
      <xdr:colOff>497710</xdr:colOff>
      <xdr:row>25</xdr:row>
      <xdr:rowOff>146638</xdr:rowOff>
    </xdr:to>
    <xdr:pic>
      <xdr:nvPicPr>
        <xdr:cNvPr id="49" name="Kuva 4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7C6952C-C994-4F51-A3AD-F7FE273E4F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10" y="3848099"/>
          <a:ext cx="360000" cy="398099"/>
        </a:xfrm>
        <a:prstGeom prst="rect">
          <a:avLst/>
        </a:prstGeom>
      </xdr:spPr>
    </xdr:pic>
    <xdr:clientData/>
  </xdr:twoCellAnchor>
  <xdr:twoCellAnchor>
    <xdr:from>
      <xdr:col>0</xdr:col>
      <xdr:colOff>145732</xdr:colOff>
      <xdr:row>33</xdr:row>
      <xdr:rowOff>128263</xdr:rowOff>
    </xdr:from>
    <xdr:to>
      <xdr:col>0</xdr:col>
      <xdr:colOff>505732</xdr:colOff>
      <xdr:row>36</xdr:row>
      <xdr:rowOff>19878</xdr:rowOff>
    </xdr:to>
    <xdr:pic>
      <xdr:nvPicPr>
        <xdr:cNvPr id="35" name="Kuva 3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A2DB834-3EA4-4A4C-8D49-DA9FBE906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" y="5488767"/>
          <a:ext cx="360000" cy="375320"/>
        </a:xfrm>
        <a:prstGeom prst="rect">
          <a:avLst/>
        </a:prstGeom>
      </xdr:spPr>
    </xdr:pic>
    <xdr:clientData/>
  </xdr:twoCellAnchor>
  <xdr:twoCellAnchor>
    <xdr:from>
      <xdr:col>0</xdr:col>
      <xdr:colOff>129268</xdr:colOff>
      <xdr:row>42</xdr:row>
      <xdr:rowOff>66345</xdr:rowOff>
    </xdr:from>
    <xdr:to>
      <xdr:col>0</xdr:col>
      <xdr:colOff>499898</xdr:colOff>
      <xdr:row>44</xdr:row>
      <xdr:rowOff>152401</xdr:rowOff>
    </xdr:to>
    <xdr:pic>
      <xdr:nvPicPr>
        <xdr:cNvPr id="31" name="Kuva 30" descr="Tulostin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87B4561-C7E2-48B4-9000-AFF9105BE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29268" y="6476670"/>
          <a:ext cx="370630" cy="390856"/>
        </a:xfrm>
        <a:prstGeom prst="rect">
          <a:avLst/>
        </a:prstGeom>
      </xdr:spPr>
    </xdr:pic>
    <xdr:clientData/>
  </xdr:twoCellAnchor>
  <xdr:twoCellAnchor>
    <xdr:from>
      <xdr:col>0</xdr:col>
      <xdr:colOff>132597</xdr:colOff>
      <xdr:row>36</xdr:row>
      <xdr:rowOff>63443</xdr:rowOff>
    </xdr:from>
    <xdr:to>
      <xdr:col>0</xdr:col>
      <xdr:colOff>495318</xdr:colOff>
      <xdr:row>38</xdr:row>
      <xdr:rowOff>108322</xdr:rowOff>
    </xdr:to>
    <xdr:pic>
      <xdr:nvPicPr>
        <xdr:cNvPr id="34" name="Kuva 3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39E980FF-0D7C-4EE0-AA82-10995ED36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97" y="5907652"/>
          <a:ext cx="362721" cy="362931"/>
        </a:xfrm>
        <a:prstGeom prst="rect">
          <a:avLst/>
        </a:prstGeom>
      </xdr:spPr>
    </xdr:pic>
    <xdr:clientData/>
  </xdr:twoCellAnchor>
  <xdr:twoCellAnchor>
    <xdr:from>
      <xdr:col>0</xdr:col>
      <xdr:colOff>144017</xdr:colOff>
      <xdr:row>28</xdr:row>
      <xdr:rowOff>109386</xdr:rowOff>
    </xdr:from>
    <xdr:to>
      <xdr:col>0</xdr:col>
      <xdr:colOff>504017</xdr:colOff>
      <xdr:row>30</xdr:row>
      <xdr:rowOff>153889</xdr:rowOff>
    </xdr:to>
    <xdr:pic>
      <xdr:nvPicPr>
        <xdr:cNvPr id="36" name="Kuva 3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23D93DC-29E2-440E-AA8C-47B24D6037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17" y="4784800"/>
          <a:ext cx="360000" cy="360189"/>
        </a:xfrm>
        <a:prstGeom prst="rect">
          <a:avLst/>
        </a:prstGeom>
      </xdr:spPr>
    </xdr:pic>
    <xdr:clientData/>
  </xdr:twoCellAnchor>
  <xdr:twoCellAnchor>
    <xdr:from>
      <xdr:col>0</xdr:col>
      <xdr:colOff>137755</xdr:colOff>
      <xdr:row>26</xdr:row>
      <xdr:rowOff>20705</xdr:rowOff>
    </xdr:from>
    <xdr:to>
      <xdr:col>0</xdr:col>
      <xdr:colOff>497755</xdr:colOff>
      <xdr:row>28</xdr:row>
      <xdr:rowOff>65397</xdr:rowOff>
    </xdr:to>
    <xdr:pic>
      <xdr:nvPicPr>
        <xdr:cNvPr id="48" name="Kuva 4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A4F7D700-A371-494F-BA1F-67DCFE032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55" y="4380434"/>
          <a:ext cx="360000" cy="360377"/>
        </a:xfrm>
        <a:prstGeom prst="rect">
          <a:avLst/>
        </a:prstGeom>
      </xdr:spPr>
    </xdr:pic>
    <xdr:clientData/>
  </xdr:twoCellAnchor>
  <xdr:twoCellAnchor>
    <xdr:from>
      <xdr:col>0</xdr:col>
      <xdr:colOff>152671</xdr:colOff>
      <xdr:row>20</xdr:row>
      <xdr:rowOff>38770</xdr:rowOff>
    </xdr:from>
    <xdr:to>
      <xdr:col>0</xdr:col>
      <xdr:colOff>502920</xdr:colOff>
      <xdr:row>22</xdr:row>
      <xdr:rowOff>33010</xdr:rowOff>
    </xdr:to>
    <xdr:pic>
      <xdr:nvPicPr>
        <xdr:cNvPr id="50" name="Kuva 4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9C12A22-E265-49BC-8C12-A9E99D7E9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71" y="3452530"/>
          <a:ext cx="350249" cy="360000"/>
        </a:xfrm>
        <a:prstGeom prst="rect">
          <a:avLst/>
        </a:prstGeom>
      </xdr:spPr>
    </xdr:pic>
    <xdr:clientData/>
  </xdr:twoCellAnchor>
  <xdr:twoCellAnchor>
    <xdr:from>
      <xdr:col>0</xdr:col>
      <xdr:colOff>140591</xdr:colOff>
      <xdr:row>17</xdr:row>
      <xdr:rowOff>21866</xdr:rowOff>
    </xdr:from>
    <xdr:to>
      <xdr:col>0</xdr:col>
      <xdr:colOff>503312</xdr:colOff>
      <xdr:row>19</xdr:row>
      <xdr:rowOff>20831</xdr:rowOff>
    </xdr:to>
    <xdr:pic>
      <xdr:nvPicPr>
        <xdr:cNvPr id="51" name="Kuva 5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50711A83-EF49-4428-A78F-E7EB1DC77F4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591" y="3016526"/>
          <a:ext cx="362721" cy="364725"/>
        </a:xfrm>
        <a:prstGeom prst="rect">
          <a:avLst/>
        </a:prstGeom>
      </xdr:spPr>
    </xdr:pic>
    <xdr:clientData/>
  </xdr:twoCellAnchor>
  <xdr:twoCellAnchor>
    <xdr:from>
      <xdr:col>0</xdr:col>
      <xdr:colOff>139029</xdr:colOff>
      <xdr:row>31</xdr:row>
      <xdr:rowOff>41520</xdr:rowOff>
    </xdr:from>
    <xdr:to>
      <xdr:col>0</xdr:col>
      <xdr:colOff>499029</xdr:colOff>
      <xdr:row>33</xdr:row>
      <xdr:rowOff>86398</xdr:rowOff>
    </xdr:to>
    <xdr:pic>
      <xdr:nvPicPr>
        <xdr:cNvPr id="52" name="Kuva 5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8050D60C-F232-46A1-AE94-D63F8C9635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29" y="5190463"/>
          <a:ext cx="360000" cy="360564"/>
        </a:xfrm>
        <a:prstGeom prst="rect">
          <a:avLst/>
        </a:prstGeom>
      </xdr:spPr>
    </xdr:pic>
    <xdr:clientData/>
  </xdr:twoCellAnchor>
  <xdr:twoCellAnchor>
    <xdr:from>
      <xdr:col>0</xdr:col>
      <xdr:colOff>134796</xdr:colOff>
      <xdr:row>38</xdr:row>
      <xdr:rowOff>153780</xdr:rowOff>
    </xdr:from>
    <xdr:to>
      <xdr:col>0</xdr:col>
      <xdr:colOff>492075</xdr:colOff>
      <xdr:row>41</xdr:row>
      <xdr:rowOff>44903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B136A0C-8C61-4828-AE4A-B0624CE00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96" y="6316041"/>
          <a:ext cx="357279" cy="368201"/>
        </a:xfrm>
        <a:prstGeom prst="rect">
          <a:avLst/>
        </a:prstGeom>
      </xdr:spPr>
    </xdr:pic>
    <xdr:clientData/>
  </xdr:twoCellAnchor>
  <xdr:twoCellAnchor>
    <xdr:from>
      <xdr:col>22</xdr:col>
      <xdr:colOff>176893</xdr:colOff>
      <xdr:row>66</xdr:row>
      <xdr:rowOff>61764</xdr:rowOff>
    </xdr:from>
    <xdr:to>
      <xdr:col>37</xdr:col>
      <xdr:colOff>244926</xdr:colOff>
      <xdr:row>96</xdr:row>
      <xdr:rowOff>130627</xdr:rowOff>
    </xdr:to>
    <xdr:graphicFrame macro="">
      <xdr:nvGraphicFramePr>
        <xdr:cNvPr id="11" name="Kaavio 10">
          <a:extLst>
            <a:ext uri="{FF2B5EF4-FFF2-40B4-BE49-F238E27FC236}">
              <a16:creationId xmlns:a16="http://schemas.microsoft.com/office/drawing/2014/main" id="{01A2B959-A8F0-45DA-1B87-90D1995979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36</xdr:col>
      <xdr:colOff>311877</xdr:colOff>
      <xdr:row>63</xdr:row>
      <xdr:rowOff>0</xdr:rowOff>
    </xdr:from>
    <xdr:to>
      <xdr:col>37</xdr:col>
      <xdr:colOff>422432</xdr:colOff>
      <xdr:row>64</xdr:row>
      <xdr:rowOff>142282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1E541014-8DF2-4060-BD46-35D7B8F75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52977" y="10205334"/>
          <a:ext cx="773495" cy="32814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179235</xdr:colOff>
      <xdr:row>21</xdr:row>
      <xdr:rowOff>35989</xdr:rowOff>
    </xdr:from>
    <xdr:to>
      <xdr:col>51</xdr:col>
      <xdr:colOff>0</xdr:colOff>
      <xdr:row>38</xdr:row>
      <xdr:rowOff>99061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994</xdr:colOff>
      <xdr:row>57</xdr:row>
      <xdr:rowOff>106680</xdr:rowOff>
    </xdr:from>
    <xdr:to>
      <xdr:col>51</xdr:col>
      <xdr:colOff>0</xdr:colOff>
      <xdr:row>77</xdr:row>
      <xdr:rowOff>38099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136113</xdr:colOff>
      <xdr:row>38</xdr:row>
      <xdr:rowOff>25599</xdr:rowOff>
    </xdr:from>
    <xdr:to>
      <xdr:col>0</xdr:col>
      <xdr:colOff>545312</xdr:colOff>
      <xdr:row>40</xdr:row>
      <xdr:rowOff>138279</xdr:rowOff>
    </xdr:to>
    <xdr:pic>
      <xdr:nvPicPr>
        <xdr:cNvPr id="68" name="Kuva 6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3FB4B6-9F90-4CC8-917A-A7478C723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13" y="5567108"/>
          <a:ext cx="409199" cy="398430"/>
        </a:xfrm>
        <a:prstGeom prst="rect">
          <a:avLst/>
        </a:prstGeom>
      </xdr:spPr>
    </xdr:pic>
    <xdr:clientData/>
  </xdr:twoCellAnchor>
  <xdr:twoCellAnchor>
    <xdr:from>
      <xdr:col>0</xdr:col>
      <xdr:colOff>146564</xdr:colOff>
      <xdr:row>35</xdr:row>
      <xdr:rowOff>36794</xdr:rowOff>
    </xdr:from>
    <xdr:to>
      <xdr:col>0</xdr:col>
      <xdr:colOff>551801</xdr:colOff>
      <xdr:row>38</xdr:row>
      <xdr:rowOff>2741</xdr:rowOff>
    </xdr:to>
    <xdr:pic>
      <xdr:nvPicPr>
        <xdr:cNvPr id="69" name="Kuva 6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F25D90E-BA93-4B5A-8D1D-1DEEA690E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64" y="5149678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138458</xdr:colOff>
      <xdr:row>32</xdr:row>
      <xdr:rowOff>42592</xdr:rowOff>
    </xdr:from>
    <xdr:to>
      <xdr:col>0</xdr:col>
      <xdr:colOff>550319</xdr:colOff>
      <xdr:row>35</xdr:row>
      <xdr:rowOff>14318</xdr:rowOff>
    </xdr:to>
    <xdr:pic>
      <xdr:nvPicPr>
        <xdr:cNvPr id="70" name="Kuva 6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D94C0D9-6E5E-4EA3-B7E2-4274721F7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58" y="4696235"/>
          <a:ext cx="411861" cy="396269"/>
        </a:xfrm>
        <a:prstGeom prst="rect">
          <a:avLst/>
        </a:prstGeom>
      </xdr:spPr>
    </xdr:pic>
    <xdr:clientData/>
  </xdr:twoCellAnchor>
  <xdr:twoCellAnchor>
    <xdr:from>
      <xdr:col>0</xdr:col>
      <xdr:colOff>140247</xdr:colOff>
      <xdr:row>29</xdr:row>
      <xdr:rowOff>46158</xdr:rowOff>
    </xdr:from>
    <xdr:to>
      <xdr:col>0</xdr:col>
      <xdr:colOff>545484</xdr:colOff>
      <xdr:row>32</xdr:row>
      <xdr:rowOff>19185</xdr:rowOff>
    </xdr:to>
    <xdr:pic>
      <xdr:nvPicPr>
        <xdr:cNvPr id="71" name="Kuva 7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E935D0B-E4E6-4B9F-ACD6-9A5633830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47" y="19143783"/>
          <a:ext cx="405237" cy="401652"/>
        </a:xfrm>
        <a:prstGeom prst="rect">
          <a:avLst/>
        </a:prstGeom>
      </xdr:spPr>
    </xdr:pic>
    <xdr:clientData/>
  </xdr:twoCellAnchor>
  <xdr:twoCellAnchor>
    <xdr:from>
      <xdr:col>0</xdr:col>
      <xdr:colOff>141877</xdr:colOff>
      <xdr:row>26</xdr:row>
      <xdr:rowOff>42157</xdr:rowOff>
    </xdr:from>
    <xdr:to>
      <xdr:col>0</xdr:col>
      <xdr:colOff>551091</xdr:colOff>
      <xdr:row>29</xdr:row>
      <xdr:rowOff>12621</xdr:rowOff>
    </xdr:to>
    <xdr:pic>
      <xdr:nvPicPr>
        <xdr:cNvPr id="72" name="Kuva 7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BA885AA-28D4-4F8C-A801-9A80F703F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77" y="3875970"/>
          <a:ext cx="409214" cy="399089"/>
        </a:xfrm>
        <a:prstGeom prst="rect">
          <a:avLst/>
        </a:prstGeom>
      </xdr:spPr>
    </xdr:pic>
    <xdr:clientData/>
  </xdr:twoCellAnchor>
  <xdr:twoCellAnchor>
    <xdr:from>
      <xdr:col>0</xdr:col>
      <xdr:colOff>134609</xdr:colOff>
      <xdr:row>23</xdr:row>
      <xdr:rowOff>46276</xdr:rowOff>
    </xdr:from>
    <xdr:to>
      <xdr:col>0</xdr:col>
      <xdr:colOff>551093</xdr:colOff>
      <xdr:row>26</xdr:row>
      <xdr:rowOff>13357</xdr:rowOff>
    </xdr:to>
    <xdr:pic>
      <xdr:nvPicPr>
        <xdr:cNvPr id="73" name="Kuva 7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1461501-D212-4D75-956E-7D5CEF12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09" y="3452416"/>
          <a:ext cx="416484" cy="378561"/>
        </a:xfrm>
        <a:prstGeom prst="rect">
          <a:avLst/>
        </a:prstGeom>
      </xdr:spPr>
    </xdr:pic>
    <xdr:clientData/>
  </xdr:twoCellAnchor>
  <xdr:twoCellAnchor>
    <xdr:from>
      <xdr:col>0</xdr:col>
      <xdr:colOff>136187</xdr:colOff>
      <xdr:row>20</xdr:row>
      <xdr:rowOff>34987</xdr:rowOff>
    </xdr:from>
    <xdr:to>
      <xdr:col>0</xdr:col>
      <xdr:colOff>543530</xdr:colOff>
      <xdr:row>23</xdr:row>
      <xdr:rowOff>22537</xdr:rowOff>
    </xdr:to>
    <xdr:pic>
      <xdr:nvPicPr>
        <xdr:cNvPr id="74" name="Kuva 7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DBE7F28-27A7-45D4-A195-4A3B6B4F9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87" y="3029647"/>
          <a:ext cx="407343" cy="399030"/>
        </a:xfrm>
        <a:prstGeom prst="rect">
          <a:avLst/>
        </a:prstGeom>
      </xdr:spPr>
    </xdr:pic>
    <xdr:clientData/>
  </xdr:twoCellAnchor>
  <xdr:twoCellAnchor>
    <xdr:from>
      <xdr:col>0</xdr:col>
      <xdr:colOff>143417</xdr:colOff>
      <xdr:row>17</xdr:row>
      <xdr:rowOff>51318</xdr:rowOff>
    </xdr:from>
    <xdr:to>
      <xdr:col>0</xdr:col>
      <xdr:colOff>555701</xdr:colOff>
      <xdr:row>20</xdr:row>
      <xdr:rowOff>21125</xdr:rowOff>
    </xdr:to>
    <xdr:pic>
      <xdr:nvPicPr>
        <xdr:cNvPr id="75" name="Kuva 7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68D8A35-21BC-43EA-B4B7-F979D070D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17" y="175201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144615</xdr:colOff>
      <xdr:row>14</xdr:row>
      <xdr:rowOff>47625</xdr:rowOff>
    </xdr:from>
    <xdr:to>
      <xdr:col>0</xdr:col>
      <xdr:colOff>551318</xdr:colOff>
      <xdr:row>17</xdr:row>
      <xdr:rowOff>18571</xdr:rowOff>
    </xdr:to>
    <xdr:pic>
      <xdr:nvPicPr>
        <xdr:cNvPr id="76" name="Kuva 7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FA22DEE-C0F9-4EC1-ACEC-73F8BE141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15" y="2219325"/>
          <a:ext cx="406703" cy="382426"/>
        </a:xfrm>
        <a:prstGeom prst="rect">
          <a:avLst/>
        </a:prstGeom>
      </xdr:spPr>
    </xdr:pic>
    <xdr:clientData/>
  </xdr:twoCellAnchor>
  <xdr:twoCellAnchor>
    <xdr:from>
      <xdr:col>0</xdr:col>
      <xdr:colOff>149679</xdr:colOff>
      <xdr:row>41</xdr:row>
      <xdr:rowOff>23137</xdr:rowOff>
    </xdr:from>
    <xdr:to>
      <xdr:col>0</xdr:col>
      <xdr:colOff>564837</xdr:colOff>
      <xdr:row>44</xdr:row>
      <xdr:rowOff>9013</xdr:rowOff>
    </xdr:to>
    <xdr:pic>
      <xdr:nvPicPr>
        <xdr:cNvPr id="77" name="Kuva 76" descr="Tulostin">
          <a:extLst>
            <a:ext uri="{FF2B5EF4-FFF2-40B4-BE49-F238E27FC236}">
              <a16:creationId xmlns:a16="http://schemas.microsoft.com/office/drawing/2014/main" id="{3DC131CB-7A2D-4D7C-8BFE-D5405C04E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149679" y="5993271"/>
          <a:ext cx="415158" cy="414501"/>
        </a:xfrm>
        <a:prstGeom prst="rect">
          <a:avLst/>
        </a:prstGeom>
      </xdr:spPr>
    </xdr:pic>
    <xdr:clientData/>
  </xdr:twoCellAnchor>
  <xdr:twoCellAnchor>
    <xdr:from>
      <xdr:col>43</xdr:col>
      <xdr:colOff>7620</xdr:colOff>
      <xdr:row>39</xdr:row>
      <xdr:rowOff>38100</xdr:rowOff>
    </xdr:from>
    <xdr:to>
      <xdr:col>51</xdr:col>
      <xdr:colOff>2816</xdr:colOff>
      <xdr:row>57</xdr:row>
      <xdr:rowOff>53340</xdr:rowOff>
    </xdr:to>
    <xdr:graphicFrame macro="">
      <xdr:nvGraphicFramePr>
        <xdr:cNvPr id="23" name="Kaavio 22">
          <a:extLst>
            <a:ext uri="{FF2B5EF4-FFF2-40B4-BE49-F238E27FC236}">
              <a16:creationId xmlns:a16="http://schemas.microsoft.com/office/drawing/2014/main" id="{5109D65D-2D53-43F3-87B9-6C9C62789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452120</xdr:colOff>
      <xdr:row>1</xdr:row>
      <xdr:rowOff>40640</xdr:rowOff>
    </xdr:from>
    <xdr:to>
      <xdr:col>9</xdr:col>
      <xdr:colOff>88900</xdr:colOff>
      <xdr:row>2</xdr:row>
      <xdr:rowOff>154940</xdr:rowOff>
    </xdr:to>
    <xdr:sp macro="" textlink="">
      <xdr:nvSpPr>
        <xdr:cNvPr id="2" name="Tekstiruutu 1">
          <a:extLst>
            <a:ext uri="{FF2B5EF4-FFF2-40B4-BE49-F238E27FC236}">
              <a16:creationId xmlns:a16="http://schemas.microsoft.com/office/drawing/2014/main" id="{790F7EE1-8F3B-4D54-81B6-C49EE969D19C}"/>
            </a:ext>
          </a:extLst>
        </xdr:cNvPr>
        <xdr:cNvSpPr txBox="1"/>
      </xdr:nvSpPr>
      <xdr:spPr>
        <a:xfrm>
          <a:off x="3227070" y="205740"/>
          <a:ext cx="2348230" cy="330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>
              <a:solidFill>
                <a:schemeClr val="tx1"/>
              </a:solidFill>
            </a:rPr>
            <a:t>T1 INVESTOINTISUUNNITELMA</a:t>
          </a:r>
        </a:p>
      </xdr:txBody>
    </xdr:sp>
    <xdr:clientData/>
  </xdr:twoCellAnchor>
  <xdr:twoCellAnchor>
    <xdr:from>
      <xdr:col>18</xdr:col>
      <xdr:colOff>165100</xdr:colOff>
      <xdr:row>1</xdr:row>
      <xdr:rowOff>34291</xdr:rowOff>
    </xdr:from>
    <xdr:to>
      <xdr:col>22</xdr:col>
      <xdr:colOff>300990</xdr:colOff>
      <xdr:row>2</xdr:row>
      <xdr:rowOff>155461</xdr:rowOff>
    </xdr:to>
    <xdr:sp macro="" textlink="">
      <xdr:nvSpPr>
        <xdr:cNvPr id="7" name="Tekstiruutu 6">
          <a:extLst>
            <a:ext uri="{FF2B5EF4-FFF2-40B4-BE49-F238E27FC236}">
              <a16:creationId xmlns:a16="http://schemas.microsoft.com/office/drawing/2014/main" id="{A6D7F756-5254-4124-A44B-DD21C6C7EA9C}"/>
            </a:ext>
          </a:extLst>
        </xdr:cNvPr>
        <xdr:cNvSpPr txBox="1"/>
      </xdr:nvSpPr>
      <xdr:spPr>
        <a:xfrm>
          <a:off x="10255250" y="199391"/>
          <a:ext cx="3082290" cy="3370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T3 TASE JA T4 RAHOITUSSUUNNITELMA</a:t>
          </a:r>
        </a:p>
      </xdr:txBody>
    </xdr:sp>
    <xdr:clientData/>
  </xdr:twoCellAnchor>
  <xdr:twoCellAnchor>
    <xdr:from>
      <xdr:col>28</xdr:col>
      <xdr:colOff>44450</xdr:colOff>
      <xdr:row>1</xdr:row>
      <xdr:rowOff>38100</xdr:rowOff>
    </xdr:from>
    <xdr:to>
      <xdr:col>36</xdr:col>
      <xdr:colOff>143511</xdr:colOff>
      <xdr:row>2</xdr:row>
      <xdr:rowOff>79357</xdr:rowOff>
    </xdr:to>
    <xdr:sp macro="" textlink="">
      <xdr:nvSpPr>
        <xdr:cNvPr id="28" name="Tekstiruutu 27">
          <a:extLst>
            <a:ext uri="{FF2B5EF4-FFF2-40B4-BE49-F238E27FC236}">
              <a16:creationId xmlns:a16="http://schemas.microsoft.com/office/drawing/2014/main" id="{5B2309E4-39DF-4692-A79C-419E8B4477F9}"/>
            </a:ext>
          </a:extLst>
        </xdr:cNvPr>
        <xdr:cNvSpPr txBox="1"/>
      </xdr:nvSpPr>
      <xdr:spPr>
        <a:xfrm>
          <a:off x="17792700" y="203200"/>
          <a:ext cx="3274061" cy="2571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T4 RAHOITUSSUUNNITELMA JA T7 LAINAT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>
    <xdr:from>
      <xdr:col>45</xdr:col>
      <xdr:colOff>234950</xdr:colOff>
      <xdr:row>1</xdr:row>
      <xdr:rowOff>38100</xdr:rowOff>
    </xdr:from>
    <xdr:to>
      <xdr:col>48</xdr:col>
      <xdr:colOff>148591</xdr:colOff>
      <xdr:row>2</xdr:row>
      <xdr:rowOff>79293</xdr:rowOff>
    </xdr:to>
    <xdr:sp macro="" textlink="">
      <xdr:nvSpPr>
        <xdr:cNvPr id="31" name="Tekstiruutu 30">
          <a:extLst>
            <a:ext uri="{FF2B5EF4-FFF2-40B4-BE49-F238E27FC236}">
              <a16:creationId xmlns:a16="http://schemas.microsoft.com/office/drawing/2014/main" id="{AE575780-8BD0-4C9A-BDDE-D389856E03A0}"/>
            </a:ext>
          </a:extLst>
        </xdr:cNvPr>
        <xdr:cNvSpPr txBox="1"/>
      </xdr:nvSpPr>
      <xdr:spPr>
        <a:xfrm>
          <a:off x="25901650" y="203200"/>
          <a:ext cx="2447291" cy="2570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TALOUDEN TUNNUSLUVUT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12</xdr:col>
      <xdr:colOff>354330</xdr:colOff>
      <xdr:row>77</xdr:row>
      <xdr:rowOff>104140</xdr:rowOff>
    </xdr:from>
    <xdr:to>
      <xdr:col>14</xdr:col>
      <xdr:colOff>362171</xdr:colOff>
      <xdr:row>80</xdr:row>
      <xdr:rowOff>188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23CDC38-6748-48C9-B175-EF2700B04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1530" y="11057890"/>
          <a:ext cx="859739" cy="316146"/>
        </a:xfrm>
        <a:prstGeom prst="rect">
          <a:avLst/>
        </a:prstGeom>
      </xdr:spPr>
    </xdr:pic>
    <xdr:clientData/>
  </xdr:twoCellAnchor>
  <xdr:twoCellAnchor editAs="oneCell">
    <xdr:from>
      <xdr:col>23</xdr:col>
      <xdr:colOff>577850</xdr:colOff>
      <xdr:row>77</xdr:row>
      <xdr:rowOff>101600</xdr:rowOff>
    </xdr:from>
    <xdr:to>
      <xdr:col>24</xdr:col>
      <xdr:colOff>705070</xdr:colOff>
      <xdr:row>80</xdr:row>
      <xdr:rowOff>188</xdr:rowOff>
    </xdr:to>
    <xdr:pic>
      <xdr:nvPicPr>
        <xdr:cNvPr id="30" name="Kuva 29">
          <a:extLst>
            <a:ext uri="{FF2B5EF4-FFF2-40B4-BE49-F238E27FC236}">
              <a16:creationId xmlns:a16="http://schemas.microsoft.com/office/drawing/2014/main" id="{42FE119F-5F10-441E-976F-96903358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1000" y="11055350"/>
          <a:ext cx="862279" cy="316146"/>
        </a:xfrm>
        <a:prstGeom prst="rect">
          <a:avLst/>
        </a:prstGeom>
      </xdr:spPr>
    </xdr:pic>
    <xdr:clientData/>
  </xdr:twoCellAnchor>
  <xdr:twoCellAnchor editAs="oneCell">
    <xdr:from>
      <xdr:col>39</xdr:col>
      <xdr:colOff>335280</xdr:colOff>
      <xdr:row>77</xdr:row>
      <xdr:rowOff>102870</xdr:rowOff>
    </xdr:from>
    <xdr:to>
      <xdr:col>41</xdr:col>
      <xdr:colOff>302209</xdr:colOff>
      <xdr:row>80</xdr:row>
      <xdr:rowOff>188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32A68DD4-5377-49F4-93FD-4D303B8F9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39630" y="11056620"/>
          <a:ext cx="855929" cy="319956"/>
        </a:xfrm>
        <a:prstGeom prst="rect">
          <a:avLst/>
        </a:prstGeom>
      </xdr:spPr>
    </xdr:pic>
    <xdr:clientData/>
  </xdr:twoCellAnchor>
  <xdr:twoCellAnchor editAs="oneCell">
    <xdr:from>
      <xdr:col>49</xdr:col>
      <xdr:colOff>730250</xdr:colOff>
      <xdr:row>77</xdr:row>
      <xdr:rowOff>107950</xdr:rowOff>
    </xdr:from>
    <xdr:to>
      <xdr:col>50</xdr:col>
      <xdr:colOff>743170</xdr:colOff>
      <xdr:row>80</xdr:row>
      <xdr:rowOff>188</xdr:rowOff>
    </xdr:to>
    <xdr:pic>
      <xdr:nvPicPr>
        <xdr:cNvPr id="33" name="Kuva 32">
          <a:extLst>
            <a:ext uri="{FF2B5EF4-FFF2-40B4-BE49-F238E27FC236}">
              <a16:creationId xmlns:a16="http://schemas.microsoft.com/office/drawing/2014/main" id="{83ED5BCE-CE20-458A-A8EB-02C1A130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75150" y="11061700"/>
          <a:ext cx="857199" cy="3161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151377</xdr:colOff>
      <xdr:row>34</xdr:row>
      <xdr:rowOff>53895</xdr:rowOff>
    </xdr:from>
    <xdr:to>
      <xdr:col>0</xdr:col>
      <xdr:colOff>514098</xdr:colOff>
      <xdr:row>36</xdr:row>
      <xdr:rowOff>77994</xdr:rowOff>
    </xdr:to>
    <xdr:pic>
      <xdr:nvPicPr>
        <xdr:cNvPr id="6" name="Kuva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0217E1-7E54-4E7D-9958-25E553D3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77" y="565537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151159</xdr:colOff>
      <xdr:row>31</xdr:row>
      <xdr:rowOff>152849</xdr:rowOff>
    </xdr:from>
    <xdr:to>
      <xdr:col>0</xdr:col>
      <xdr:colOff>513880</xdr:colOff>
      <xdr:row>34</xdr:row>
      <xdr:rowOff>16071</xdr:rowOff>
    </xdr:to>
    <xdr:pic>
      <xdr:nvPicPr>
        <xdr:cNvPr id="8" name="Kuva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AE791-D90E-47B6-AECA-572109BE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59" y="525047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147292</xdr:colOff>
      <xdr:row>29</xdr:row>
      <xdr:rowOff>80945</xdr:rowOff>
    </xdr:from>
    <xdr:to>
      <xdr:col>0</xdr:col>
      <xdr:colOff>512162</xdr:colOff>
      <xdr:row>31</xdr:row>
      <xdr:rowOff>97967</xdr:rowOff>
    </xdr:to>
    <xdr:pic>
      <xdr:nvPicPr>
        <xdr:cNvPr id="10" name="Kuva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64B5CD-C05A-48F3-9CAD-09FF14D03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92" y="4842667"/>
          <a:ext cx="362149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154524</xdr:colOff>
      <xdr:row>27</xdr:row>
      <xdr:rowOff>4468</xdr:rowOff>
    </xdr:from>
    <xdr:to>
      <xdr:col>0</xdr:col>
      <xdr:colOff>514746</xdr:colOff>
      <xdr:row>29</xdr:row>
      <xdr:rowOff>21492</xdr:rowOff>
    </xdr:to>
    <xdr:pic>
      <xdr:nvPicPr>
        <xdr:cNvPr id="12" name="Kuva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4F8C9AE-352A-4007-AA59-99398A4C8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24" y="4430289"/>
          <a:ext cx="357501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155862</xdr:colOff>
      <xdr:row>24</xdr:row>
      <xdr:rowOff>96180</xdr:rowOff>
    </xdr:from>
    <xdr:to>
      <xdr:col>0</xdr:col>
      <xdr:colOff>513141</xdr:colOff>
      <xdr:row>26</xdr:row>
      <xdr:rowOff>131164</xdr:rowOff>
    </xdr:to>
    <xdr:pic>
      <xdr:nvPicPr>
        <xdr:cNvPr id="14" name="Kuva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4138B4F-2C7D-4336-A7D0-EA401210C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2" y="402125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158413</xdr:colOff>
      <xdr:row>22</xdr:row>
      <xdr:rowOff>22124</xdr:rowOff>
    </xdr:from>
    <xdr:to>
      <xdr:col>0</xdr:col>
      <xdr:colOff>515692</xdr:colOff>
      <xdr:row>24</xdr:row>
      <xdr:rowOff>59011</xdr:rowOff>
    </xdr:to>
    <xdr:pic>
      <xdr:nvPicPr>
        <xdr:cNvPr id="16" name="Kuva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6C57688-5F80-439D-A566-3CC55D838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13" y="361129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166135</xdr:colOff>
      <xdr:row>19</xdr:row>
      <xdr:rowOff>120538</xdr:rowOff>
    </xdr:from>
    <xdr:to>
      <xdr:col>0</xdr:col>
      <xdr:colOff>517945</xdr:colOff>
      <xdr:row>21</xdr:row>
      <xdr:rowOff>131845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708BB22-90F3-4B2B-A113-8B45D33CE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35" y="3205860"/>
          <a:ext cx="35888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157814</xdr:colOff>
      <xdr:row>17</xdr:row>
      <xdr:rowOff>62091</xdr:rowOff>
    </xdr:from>
    <xdr:to>
      <xdr:col>0</xdr:col>
      <xdr:colOff>533081</xdr:colOff>
      <xdr:row>19</xdr:row>
      <xdr:rowOff>93265</xdr:rowOff>
    </xdr:to>
    <xdr:pic>
      <xdr:nvPicPr>
        <xdr:cNvPr id="37" name="Kuva 3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3924D1C-8FCC-49E1-B183-2C48CD98C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14" y="2811512"/>
          <a:ext cx="375267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162240</xdr:colOff>
      <xdr:row>15</xdr:row>
      <xdr:rowOff>2695</xdr:rowOff>
    </xdr:from>
    <xdr:to>
      <xdr:col>0</xdr:col>
      <xdr:colOff>514216</xdr:colOff>
      <xdr:row>17</xdr:row>
      <xdr:rowOff>21350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1E0F419A-A73B-4422-BA93-788135C5D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40" y="2416213"/>
          <a:ext cx="364766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134838</xdr:colOff>
      <xdr:row>36</xdr:row>
      <xdr:rowOff>123454</xdr:rowOff>
    </xdr:from>
    <xdr:to>
      <xdr:col>0</xdr:col>
      <xdr:colOff>550082</xdr:colOff>
      <xdr:row>41</xdr:row>
      <xdr:rowOff>17601</xdr:rowOff>
    </xdr:to>
    <xdr:pic>
      <xdr:nvPicPr>
        <xdr:cNvPr id="57" name="Kuva 56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10AC6680-B895-4631-82E0-FA100F725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134838" y="6060833"/>
          <a:ext cx="402726" cy="400722"/>
        </a:xfrm>
        <a:prstGeom prst="rect">
          <a:avLst/>
        </a:prstGeom>
      </xdr:spPr>
    </xdr:pic>
    <xdr:clientData/>
  </xdr:twoCellAnchor>
  <xdr:twoCellAnchor editAs="oneCell">
    <xdr:from>
      <xdr:col>6</xdr:col>
      <xdr:colOff>661989</xdr:colOff>
      <xdr:row>2</xdr:row>
      <xdr:rowOff>26411</xdr:rowOff>
    </xdr:from>
    <xdr:to>
      <xdr:col>7</xdr:col>
      <xdr:colOff>705526</xdr:colOff>
      <xdr:row>4</xdr:row>
      <xdr:rowOff>19725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876EFC22-ECD7-4378-911C-B50F04D76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9" y="259774"/>
          <a:ext cx="842962" cy="321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18</xdr:col>
      <xdr:colOff>511084</xdr:colOff>
      <xdr:row>0</xdr:row>
      <xdr:rowOff>0</xdr:rowOff>
    </xdr:to>
    <xdr:pic>
      <xdr:nvPicPr>
        <xdr:cNvPr id="5503073" name="Kuva 12" descr="tulkki_vari2rivi.jpg">
          <a:extLst>
            <a:ext uri="{FF2B5EF4-FFF2-40B4-BE49-F238E27FC236}">
              <a16:creationId xmlns:a16="http://schemas.microsoft.com/office/drawing/2014/main" id="{00000000-0008-0000-0200-000061F8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200026</xdr:colOff>
      <xdr:row>1</xdr:row>
      <xdr:rowOff>64046</xdr:rowOff>
    </xdr:from>
    <xdr:to>
      <xdr:col>15</xdr:col>
      <xdr:colOff>228600</xdr:colOff>
      <xdr:row>3</xdr:row>
      <xdr:rowOff>22632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AEB979E8-1B0E-442B-AB93-54F1EFA6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8914" y="225971"/>
          <a:ext cx="919161" cy="350290"/>
        </a:xfrm>
        <a:prstGeom prst="rect">
          <a:avLst/>
        </a:prstGeom>
      </xdr:spPr>
    </xdr:pic>
    <xdr:clientData/>
  </xdr:twoCellAnchor>
  <xdr:twoCellAnchor>
    <xdr:from>
      <xdr:col>0</xdr:col>
      <xdr:colOff>91248</xdr:colOff>
      <xdr:row>7</xdr:row>
      <xdr:rowOff>123825</xdr:rowOff>
    </xdr:from>
    <xdr:to>
      <xdr:col>0</xdr:col>
      <xdr:colOff>525542</xdr:colOff>
      <xdr:row>29</xdr:row>
      <xdr:rowOff>163049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87DC3848-E424-ED78-C057-2C1C93FDDD34}"/>
            </a:ext>
          </a:extLst>
        </xdr:cNvPr>
        <xdr:cNvGrpSpPr/>
      </xdr:nvGrpSpPr>
      <xdr:grpSpPr>
        <a:xfrm>
          <a:off x="91248" y="1682461"/>
          <a:ext cx="434294" cy="4005088"/>
          <a:chOff x="119823" y="2219325"/>
          <a:chExt cx="434294" cy="3963524"/>
        </a:xfrm>
      </xdr:grpSpPr>
      <xdr:pic>
        <xdr:nvPicPr>
          <xdr:cNvPr id="3" name="Kuva 2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FC233BF-7F4A-41F7-A722-535E2DFDF8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7285" y="5395065"/>
            <a:ext cx="366531" cy="341107"/>
          </a:xfrm>
          <a:prstGeom prst="rect">
            <a:avLst/>
          </a:prstGeom>
        </xdr:spPr>
      </xdr:pic>
      <xdr:pic>
        <xdr:nvPicPr>
          <xdr:cNvPr id="5" name="Kuva 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8F45B8C4-A02E-4A8B-AF50-6CDFA0C79B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3539" y="4998380"/>
            <a:ext cx="374151" cy="356618"/>
          </a:xfrm>
          <a:prstGeom prst="rect">
            <a:avLst/>
          </a:prstGeom>
        </xdr:spPr>
      </xdr:pic>
      <xdr:pic>
        <xdr:nvPicPr>
          <xdr:cNvPr id="7" name="Kuva 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2456760A-0916-4BFE-92AE-56A8DC106D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4524" y="4233616"/>
            <a:ext cx="356412" cy="348494"/>
          </a:xfrm>
          <a:prstGeom prst="rect">
            <a:avLst/>
          </a:prstGeom>
        </xdr:spPr>
      </xdr:pic>
      <xdr:pic>
        <xdr:nvPicPr>
          <xdr:cNvPr id="8" name="Kuva 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83633D70-43D8-41F7-A74C-0AB42C7D7245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8355" y="3817265"/>
            <a:ext cx="368709" cy="366454"/>
          </a:xfrm>
          <a:prstGeom prst="rect">
            <a:avLst/>
          </a:prstGeom>
        </xdr:spPr>
      </xdr:pic>
      <xdr:pic>
        <xdr:nvPicPr>
          <xdr:cNvPr id="9" name="Kuva 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BDA53ED6-A5EA-4A67-9718-59CDF6B08E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9674" y="3420298"/>
            <a:ext cx="342181" cy="342544"/>
          </a:xfrm>
          <a:prstGeom prst="rect">
            <a:avLst/>
          </a:prstGeom>
        </xdr:spPr>
      </xdr:pic>
      <xdr:pic>
        <xdr:nvPicPr>
          <xdr:cNvPr id="10" name="Kuva 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0A95B40-EEC7-44E4-AF36-CB3C053BE0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135" y="3025663"/>
            <a:ext cx="348000" cy="352302"/>
          </a:xfrm>
          <a:prstGeom prst="rect">
            <a:avLst/>
          </a:prstGeom>
        </xdr:spPr>
      </xdr:pic>
      <xdr:pic>
        <xdr:nvPicPr>
          <xdr:cNvPr id="13" name="Kuva 12" descr="Tulostin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C0A33616-304E-4976-8AD5-3BE779E739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7"/>
              </a:ext>
            </a:extLst>
          </a:blip>
          <a:stretch>
            <a:fillRect/>
          </a:stretch>
        </xdr:blipFill>
        <xdr:spPr>
          <a:xfrm>
            <a:off x="119823" y="5791721"/>
            <a:ext cx="434294" cy="391128"/>
          </a:xfrm>
          <a:prstGeom prst="rect">
            <a:avLst/>
          </a:prstGeom>
        </xdr:spPr>
      </xdr:pic>
      <xdr:pic>
        <xdr:nvPicPr>
          <xdr:cNvPr id="14" name="Kuva 13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57611CBE-BEDA-48A2-8826-FF168D4A2E6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020" y="2219325"/>
            <a:ext cx="360000" cy="360000"/>
          </a:xfrm>
          <a:prstGeom prst="rect">
            <a:avLst/>
          </a:prstGeom>
        </xdr:spPr>
      </xdr:pic>
      <xdr:pic>
        <xdr:nvPicPr>
          <xdr:cNvPr id="12" name="Kuva 11">
            <a:extLst>
              <a:ext uri="{FF2B5EF4-FFF2-40B4-BE49-F238E27FC236}">
                <a16:creationId xmlns:a16="http://schemas.microsoft.com/office/drawing/2014/main" id="{D3A45D40-0972-082D-74AA-8B9BA0F168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3150" y="2617028"/>
            <a:ext cx="364015" cy="343671"/>
          </a:xfrm>
          <a:prstGeom prst="rect">
            <a:avLst/>
          </a:prstGeom>
        </xdr:spPr>
      </xdr:pic>
      <xdr:pic>
        <xdr:nvPicPr>
          <xdr:cNvPr id="16" name="Kuva 15">
            <a:extLst>
              <a:ext uri="{FF2B5EF4-FFF2-40B4-BE49-F238E27FC236}">
                <a16:creationId xmlns:a16="http://schemas.microsoft.com/office/drawing/2014/main" id="{6E904FE8-3867-B784-8FF8-9C18EE2574F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0387" y="4611462"/>
            <a:ext cx="377350" cy="362429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6</xdr:row>
      <xdr:rowOff>47625</xdr:rowOff>
    </xdr:from>
    <xdr:to>
      <xdr:col>7</xdr:col>
      <xdr:colOff>28575</xdr:colOff>
      <xdr:row>23</xdr:row>
      <xdr:rowOff>38100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342900</xdr:colOff>
      <xdr:row>31</xdr:row>
      <xdr:rowOff>133350</xdr:rowOff>
    </xdr:from>
    <xdr:to>
      <xdr:col>7</xdr:col>
      <xdr:colOff>85725</xdr:colOff>
      <xdr:row>48</xdr:row>
      <xdr:rowOff>123825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584489</xdr:colOff>
      <xdr:row>2</xdr:row>
      <xdr:rowOff>129019</xdr:rowOff>
    </xdr:from>
    <xdr:to>
      <xdr:col>10</xdr:col>
      <xdr:colOff>690102</xdr:colOff>
      <xdr:row>4</xdr:row>
      <xdr:rowOff>161490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FA8A23AB-7E03-404A-9B42-D0EB0E8E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0262" y="492701"/>
          <a:ext cx="858954" cy="361516"/>
        </a:xfrm>
        <a:prstGeom prst="rect">
          <a:avLst/>
        </a:prstGeom>
      </xdr:spPr>
    </xdr:pic>
    <xdr:clientData/>
  </xdr:twoCellAnchor>
  <xdr:twoCellAnchor>
    <xdr:from>
      <xdr:col>1</xdr:col>
      <xdr:colOff>2540</xdr:colOff>
      <xdr:row>96</xdr:row>
      <xdr:rowOff>57150</xdr:rowOff>
    </xdr:from>
    <xdr:to>
      <xdr:col>6</xdr:col>
      <xdr:colOff>615950</xdr:colOff>
      <xdr:row>97</xdr:row>
      <xdr:rowOff>154940</xdr:rowOff>
    </xdr:to>
    <xdr:sp macro="" textlink="">
      <xdr:nvSpPr>
        <xdr:cNvPr id="36" name="Pyöristetty suorakulmio 3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770890" y="16224250"/>
          <a:ext cx="3934460" cy="262890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36000" tIns="36000" rIns="36000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JOS</a:t>
          </a:r>
          <a:r>
            <a:rPr lang="fi-FI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LOMAPALKKAVARAUSTA EI TEHDÄ, MERKITSE RIVI 93 = 0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oneCellAnchor>
    <xdr:from>
      <xdr:col>0</xdr:col>
      <xdr:colOff>225028</xdr:colOff>
      <xdr:row>11</xdr:row>
      <xdr:rowOff>9156</xdr:rowOff>
    </xdr:from>
    <xdr:ext cx="360000" cy="360000"/>
    <xdr:pic>
      <xdr:nvPicPr>
        <xdr:cNvPr id="53" name="Kuva 5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5A6A82-F14D-4720-9A86-273436096B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14764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219775</xdr:colOff>
      <xdr:row>18</xdr:row>
      <xdr:rowOff>102576</xdr:rowOff>
    </xdr:from>
    <xdr:ext cx="360000" cy="360000"/>
    <xdr:pic>
      <xdr:nvPicPr>
        <xdr:cNvPr id="55" name="Kuva 5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01592F-737A-4092-9C67-93ED6C409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75" y="3318527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212854</xdr:colOff>
      <xdr:row>16</xdr:row>
      <xdr:rowOff>15089</xdr:rowOff>
    </xdr:from>
    <xdr:ext cx="360000" cy="360000"/>
    <xdr:pic>
      <xdr:nvPicPr>
        <xdr:cNvPr id="56" name="Kuva 5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56DB1F8-90D1-4019-8FC2-415B1F235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54" y="2913799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219804</xdr:colOff>
      <xdr:row>21</xdr:row>
      <xdr:rowOff>23521</xdr:rowOff>
    </xdr:from>
    <xdr:ext cx="360000" cy="360000"/>
    <xdr:pic>
      <xdr:nvPicPr>
        <xdr:cNvPr id="57" name="Kuva 5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D925B4D-874C-474B-8C28-0E2DBFF9E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04" y="3715333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8</xdr:row>
      <xdr:rowOff>75214</xdr:rowOff>
    </xdr:from>
    <xdr:ext cx="360000" cy="360000"/>
    <xdr:pic>
      <xdr:nvPicPr>
        <xdr:cNvPr id="58" name="Kuva 5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D919E59-062D-4999-AE36-7EFC522D2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696810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211221</xdr:colOff>
      <xdr:row>13</xdr:row>
      <xdr:rowOff>84223</xdr:rowOff>
    </xdr:from>
    <xdr:ext cx="373090" cy="360000"/>
    <xdr:pic>
      <xdr:nvPicPr>
        <xdr:cNvPr id="59" name="Kuva 58">
          <a:extLst>
            <a:ext uri="{FF2B5EF4-FFF2-40B4-BE49-F238E27FC236}">
              <a16:creationId xmlns:a16="http://schemas.microsoft.com/office/drawing/2014/main" id="{93EBB33B-C495-45E0-8EA5-26DE582F5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221" y="2507072"/>
          <a:ext cx="373090" cy="360000"/>
        </a:xfrm>
        <a:prstGeom prst="rect">
          <a:avLst/>
        </a:prstGeom>
      </xdr:spPr>
    </xdr:pic>
    <xdr:clientData/>
  </xdr:oneCellAnchor>
  <xdr:twoCellAnchor>
    <xdr:from>
      <xdr:col>0</xdr:col>
      <xdr:colOff>223552</xdr:colOff>
      <xdr:row>28</xdr:row>
      <xdr:rowOff>112388</xdr:rowOff>
    </xdr:from>
    <xdr:to>
      <xdr:col>0</xdr:col>
      <xdr:colOff>583552</xdr:colOff>
      <xdr:row>30</xdr:row>
      <xdr:rowOff>158043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7D4A36C-0A70-4242-A2BC-4F7152BC347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52" y="4914543"/>
          <a:ext cx="360000" cy="362896"/>
        </a:xfrm>
        <a:prstGeom prst="rect">
          <a:avLst/>
        </a:prstGeom>
      </xdr:spPr>
    </xdr:pic>
    <xdr:clientData/>
  </xdr:twoCellAnchor>
  <xdr:oneCellAnchor>
    <xdr:from>
      <xdr:col>0</xdr:col>
      <xdr:colOff>192216</xdr:colOff>
      <xdr:row>31</xdr:row>
      <xdr:rowOff>17454</xdr:rowOff>
    </xdr:from>
    <xdr:ext cx="415158" cy="417431"/>
    <xdr:pic>
      <xdr:nvPicPr>
        <xdr:cNvPr id="63" name="Kuva 62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9055F567-F01E-4B73-9D99-154B9E21B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2216" y="5295471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218686</xdr:colOff>
      <xdr:row>23</xdr:row>
      <xdr:rowOff>110413</xdr:rowOff>
    </xdr:from>
    <xdr:to>
      <xdr:col>0</xdr:col>
      <xdr:colOff>578686</xdr:colOff>
      <xdr:row>25</xdr:row>
      <xdr:rowOff>155102</xdr:rowOff>
    </xdr:to>
    <xdr:pic>
      <xdr:nvPicPr>
        <xdr:cNvPr id="28" name="Kuva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06157D-3CC8-4501-9CE6-F310D84C2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86" y="4119466"/>
          <a:ext cx="360000" cy="361930"/>
        </a:xfrm>
        <a:prstGeom prst="rect">
          <a:avLst/>
        </a:prstGeom>
      </xdr:spPr>
    </xdr:pic>
    <xdr:clientData/>
  </xdr:twoCellAnchor>
  <xdr:oneCellAnchor>
    <xdr:from>
      <xdr:col>0</xdr:col>
      <xdr:colOff>225028</xdr:colOff>
      <xdr:row>61</xdr:row>
      <xdr:rowOff>18487</xdr:rowOff>
    </xdr:from>
    <xdr:ext cx="406703" cy="396000"/>
    <xdr:pic>
      <xdr:nvPicPr>
        <xdr:cNvPr id="31" name="Kuva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895E8A-FF5E-489D-AA38-94569CF43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806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69</xdr:row>
      <xdr:rowOff>9271</xdr:rowOff>
    </xdr:from>
    <xdr:ext cx="406703" cy="396000"/>
    <xdr:pic>
      <xdr:nvPicPr>
        <xdr:cNvPr id="37" name="Kuva 3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2E2740A-63A6-4E03-94AD-495B6E935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3466846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66</xdr:row>
      <xdr:rowOff>67962</xdr:rowOff>
    </xdr:from>
    <xdr:ext cx="406703" cy="396000"/>
    <xdr:pic>
      <xdr:nvPicPr>
        <xdr:cNvPr id="38" name="Kuva 3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596B10C-1F76-4D47-AB41-9E7295C9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0397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207168</xdr:colOff>
      <xdr:row>71</xdr:row>
      <xdr:rowOff>121648</xdr:rowOff>
    </xdr:from>
    <xdr:ext cx="406703" cy="393619"/>
    <xdr:pic>
      <xdr:nvPicPr>
        <xdr:cNvPr id="39" name="Kuva 3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07D7771-A0EA-4A95-BB1E-C3E14CE5B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68" y="1241842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58</xdr:row>
      <xdr:rowOff>75214</xdr:rowOff>
    </xdr:from>
    <xdr:ext cx="406703" cy="393701"/>
    <xdr:pic>
      <xdr:nvPicPr>
        <xdr:cNvPr id="40" name="Kuva 39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022A64A-CD30-4232-84CA-ED2511AEF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751614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63</xdr:row>
      <xdr:rowOff>127766</xdr:rowOff>
    </xdr:from>
    <xdr:ext cx="408016" cy="393700"/>
    <xdr:pic>
      <xdr:nvPicPr>
        <xdr:cNvPr id="41" name="Kuva 40">
          <a:extLst>
            <a:ext uri="{FF2B5EF4-FFF2-40B4-BE49-F238E27FC236}">
              <a16:creationId xmlns:a16="http://schemas.microsoft.com/office/drawing/2014/main" id="{4D70EBEB-2908-4DCB-9495-0CF11E683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2613791"/>
          <a:ext cx="408016" cy="393700"/>
        </a:xfrm>
        <a:prstGeom prst="rect">
          <a:avLst/>
        </a:prstGeom>
      </xdr:spPr>
    </xdr:pic>
    <xdr:clientData/>
  </xdr:oneCellAnchor>
  <xdr:twoCellAnchor>
    <xdr:from>
      <xdr:col>0</xdr:col>
      <xdr:colOff>184325</xdr:colOff>
      <xdr:row>79</xdr:row>
      <xdr:rowOff>134860</xdr:rowOff>
    </xdr:from>
    <xdr:to>
      <xdr:col>0</xdr:col>
      <xdr:colOff>584135</xdr:colOff>
      <xdr:row>81</xdr:row>
      <xdr:rowOff>161925</xdr:rowOff>
    </xdr:to>
    <xdr:pic>
      <xdr:nvPicPr>
        <xdr:cNvPr id="42" name="Kuva 4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1E5F61E-61CE-4BFA-BA66-8174B4DF2D9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25" y="13803235"/>
          <a:ext cx="399810" cy="369965"/>
        </a:xfrm>
        <a:prstGeom prst="rect">
          <a:avLst/>
        </a:prstGeom>
      </xdr:spPr>
    </xdr:pic>
    <xdr:clientData/>
  </xdr:twoCellAnchor>
  <xdr:oneCellAnchor>
    <xdr:from>
      <xdr:col>0</xdr:col>
      <xdr:colOff>176705</xdr:colOff>
      <xdr:row>82</xdr:row>
      <xdr:rowOff>80470</xdr:rowOff>
    </xdr:from>
    <xdr:ext cx="413522" cy="398991"/>
    <xdr:pic>
      <xdr:nvPicPr>
        <xdr:cNvPr id="43" name="Kuva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92CFE77-7205-4C81-A50A-321DA3573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05" y="5643070"/>
          <a:ext cx="413522" cy="398991"/>
        </a:xfrm>
        <a:prstGeom prst="rect">
          <a:avLst/>
        </a:prstGeom>
      </xdr:spPr>
    </xdr:pic>
    <xdr:clientData/>
  </xdr:oneCellAnchor>
  <xdr:oneCellAnchor>
    <xdr:from>
      <xdr:col>0</xdr:col>
      <xdr:colOff>196609</xdr:colOff>
      <xdr:row>85</xdr:row>
      <xdr:rowOff>75149</xdr:rowOff>
    </xdr:from>
    <xdr:ext cx="415158" cy="417431"/>
    <xdr:pic>
      <xdr:nvPicPr>
        <xdr:cNvPr id="44" name="Kuva 43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D88231E-D06B-417B-B115-7F0B9A968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6609" y="15057974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192403</xdr:colOff>
      <xdr:row>77</xdr:row>
      <xdr:rowOff>1903</xdr:rowOff>
    </xdr:from>
    <xdr:to>
      <xdr:col>0</xdr:col>
      <xdr:colOff>592213</xdr:colOff>
      <xdr:row>79</xdr:row>
      <xdr:rowOff>55003</xdr:rowOff>
    </xdr:to>
    <xdr:pic>
      <xdr:nvPicPr>
        <xdr:cNvPr id="45" name="Kuva 44">
          <a:extLst>
            <a:ext uri="{FF2B5EF4-FFF2-40B4-BE49-F238E27FC236}">
              <a16:creationId xmlns:a16="http://schemas.microsoft.com/office/drawing/2014/main" id="{80843596-1DA4-4820-B8F5-7164F2EE8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3" y="13327378"/>
          <a:ext cx="399810" cy="396000"/>
        </a:xfrm>
        <a:prstGeom prst="rect">
          <a:avLst/>
        </a:prstGeom>
      </xdr:spPr>
    </xdr:pic>
    <xdr:clientData/>
  </xdr:twoCellAnchor>
  <xdr:twoCellAnchor>
    <xdr:from>
      <xdr:col>0</xdr:col>
      <xdr:colOff>207646</xdr:colOff>
      <xdr:row>74</xdr:row>
      <xdr:rowOff>59054</xdr:rowOff>
    </xdr:from>
    <xdr:to>
      <xdr:col>0</xdr:col>
      <xdr:colOff>601431</xdr:colOff>
      <xdr:row>76</xdr:row>
      <xdr:rowOff>108554</xdr:rowOff>
    </xdr:to>
    <xdr:pic>
      <xdr:nvPicPr>
        <xdr:cNvPr id="46" name="Kuva 4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38B001-025C-4DAE-A005-D23F0CB0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6" y="12870179"/>
          <a:ext cx="393785" cy="392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26</xdr:row>
      <xdr:rowOff>53340</xdr:rowOff>
    </xdr:from>
    <xdr:to>
      <xdr:col>0</xdr:col>
      <xdr:colOff>585788</xdr:colOff>
      <xdr:row>28</xdr:row>
      <xdr:rowOff>51967</xdr:rowOff>
    </xdr:to>
    <xdr:pic>
      <xdr:nvPicPr>
        <xdr:cNvPr id="2" name="Kuva 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2C340B6E-1139-4EFC-90B5-05D014B210D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4762500"/>
          <a:ext cx="368164" cy="3508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404948</xdr:colOff>
      <xdr:row>1</xdr:row>
      <xdr:rowOff>61233</xdr:rowOff>
    </xdr:from>
    <xdr:to>
      <xdr:col>16</xdr:col>
      <xdr:colOff>580352</xdr:colOff>
      <xdr:row>3</xdr:row>
      <xdr:rowOff>110610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EFE689D6-59EB-4AF2-8530-85BA141E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2408" y="228873"/>
          <a:ext cx="787545" cy="305917"/>
        </a:xfrm>
        <a:prstGeom prst="rect">
          <a:avLst/>
        </a:prstGeom>
      </xdr:spPr>
    </xdr:pic>
    <xdr:clientData/>
  </xdr:twoCellAnchor>
  <xdr:twoCellAnchor>
    <xdr:from>
      <xdr:col>0</xdr:col>
      <xdr:colOff>67937</xdr:colOff>
      <xdr:row>14</xdr:row>
      <xdr:rowOff>151355</xdr:rowOff>
    </xdr:from>
    <xdr:to>
      <xdr:col>0</xdr:col>
      <xdr:colOff>444936</xdr:colOff>
      <xdr:row>36</xdr:row>
      <xdr:rowOff>62263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EFAA7D64-E4EC-D956-7DA9-514E4499C0A7}"/>
            </a:ext>
          </a:extLst>
        </xdr:cNvPr>
        <xdr:cNvGrpSpPr/>
      </xdr:nvGrpSpPr>
      <xdr:grpSpPr>
        <a:xfrm>
          <a:off x="67937" y="2497969"/>
          <a:ext cx="376999" cy="3599680"/>
          <a:chOff x="157691" y="2942912"/>
          <a:chExt cx="376999" cy="3698928"/>
        </a:xfrm>
      </xdr:grpSpPr>
      <xdr:pic>
        <xdr:nvPicPr>
          <xdr:cNvPr id="48" name="Kuva 47" descr="Tulostin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2F009E7E-719B-472F-B652-BAAED12604B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57691" y="6279747"/>
            <a:ext cx="360000" cy="362093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BAC397E2-3280-4EF3-9754-56F113DEB692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3288" y="5882919"/>
            <a:ext cx="360000" cy="360000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6137E18-BD96-4B55-A88B-9657413E98F8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858" y="5508173"/>
            <a:ext cx="360000" cy="361256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7F6A351D-0846-441B-9FFA-F8CA90E69D1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729" y="5119677"/>
            <a:ext cx="360000" cy="371882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27AA2B1D-594A-44F7-B56E-EBEE1FB24D57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130" y="4749310"/>
            <a:ext cx="360000" cy="370990"/>
          </a:xfrm>
          <a:prstGeom prst="rect">
            <a:avLst/>
          </a:prstGeom>
        </xdr:spPr>
      </xdr:pic>
      <xdr:pic>
        <xdr:nvPicPr>
          <xdr:cNvPr id="20" name="Kuva 1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D5F7C226-326B-4A7B-BFD1-31D94F169EDF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869" y="4376973"/>
            <a:ext cx="360000" cy="366909"/>
          </a:xfrm>
          <a:prstGeom prst="rect">
            <a:avLst/>
          </a:prstGeom>
        </xdr:spPr>
      </xdr:pic>
      <xdr:pic>
        <xdr:nvPicPr>
          <xdr:cNvPr id="21" name="Kuva 20">
            <a:extLst>
              <a:ext uri="{FF2B5EF4-FFF2-40B4-BE49-F238E27FC236}">
                <a16:creationId xmlns:a16="http://schemas.microsoft.com/office/drawing/2014/main" id="{4F51FA2E-D15D-4BA5-9BA1-417237CCC496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880" y="4008142"/>
            <a:ext cx="360000" cy="367325"/>
          </a:xfrm>
          <a:prstGeom prst="rect">
            <a:avLst/>
          </a:prstGeom>
        </xdr:spPr>
      </xdr:pic>
      <xdr:pic>
        <xdr:nvPicPr>
          <xdr:cNvPr id="22" name="Kuva 21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D053A9F9-8B3A-48FC-8F45-8D368E88DF4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8983" y="3648834"/>
            <a:ext cx="360000" cy="355186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C4F05256-763C-4865-A9AE-7597F0923B1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370" y="3280868"/>
            <a:ext cx="360000" cy="358534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2A3B2C25-BF65-4ACF-B6B8-1B063C34230E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4690" y="2942912"/>
            <a:ext cx="360000" cy="330692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2609851</xdr:colOff>
      <xdr:row>11</xdr:row>
      <xdr:rowOff>27215</xdr:rowOff>
    </xdr:from>
    <xdr:to>
      <xdr:col>4</xdr:col>
      <xdr:colOff>420461</xdr:colOff>
      <xdr:row>44</xdr:row>
      <xdr:rowOff>4353</xdr:rowOff>
    </xdr:to>
    <xdr:sp macro="" textlink="">
      <xdr:nvSpPr>
        <xdr:cNvPr id="3" name="Tekstiruutu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3518808" y="2106386"/>
          <a:ext cx="1141639" cy="5724796"/>
        </a:xfrm>
        <a:prstGeom prst="rect">
          <a:avLst/>
        </a:prstGeom>
        <a:solidFill>
          <a:srgbClr val="FFC000">
            <a:alpha val="70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bIns="0" rtlCol="0" anchor="ctr"/>
        <a:lstStyle/>
        <a:p>
          <a:r>
            <a:rPr lang="fi-FI"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Toteutuneen tilikauden henkilöstökuluja ei tarvitse eritellä. Henkilöstökulut ovat yhtenä</a:t>
          </a: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summana taulukossa</a:t>
          </a:r>
          <a:b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2. T2 TULOSSUUN-NITELMA.</a:t>
          </a:r>
          <a:endParaRPr lang="fi-FI" sz="9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 fPrintsWithSheet="0"/>
  </xdr:twoCellAnchor>
  <xdr:twoCellAnchor>
    <xdr:from>
      <xdr:col>0</xdr:col>
      <xdr:colOff>703398</xdr:colOff>
      <xdr:row>125</xdr:row>
      <xdr:rowOff>79919</xdr:rowOff>
    </xdr:from>
    <xdr:to>
      <xdr:col>5</xdr:col>
      <xdr:colOff>511628</xdr:colOff>
      <xdr:row>126</xdr:row>
      <xdr:rowOff>127272</xdr:rowOff>
    </xdr:to>
    <xdr:sp macro="" textlink="">
      <xdr:nvSpPr>
        <xdr:cNvPr id="4" name="Pyöristetty suorakulmi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3398" y="22123490"/>
          <a:ext cx="4478201" cy="265068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D125 = SOLU 2. T2 TULOSSUUNNITELMA G18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148921</xdr:colOff>
      <xdr:row>109</xdr:row>
      <xdr:rowOff>19752</xdr:rowOff>
    </xdr:from>
    <xdr:to>
      <xdr:col>0</xdr:col>
      <xdr:colOff>564079</xdr:colOff>
      <xdr:row>111</xdr:row>
      <xdr:rowOff>148968</xdr:rowOff>
    </xdr:to>
    <xdr:pic>
      <xdr:nvPicPr>
        <xdr:cNvPr id="48" name="Kuva 47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3830F7-E08E-462B-AB4F-9F2E73EC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48921" y="19000057"/>
          <a:ext cx="415158" cy="473045"/>
        </a:xfrm>
        <a:prstGeom prst="rect">
          <a:avLst/>
        </a:prstGeom>
      </xdr:spPr>
    </xdr:pic>
    <xdr:clientData/>
  </xdr:twoCellAnchor>
  <xdr:twoCellAnchor>
    <xdr:from>
      <xdr:col>0</xdr:col>
      <xdr:colOff>135553</xdr:colOff>
      <xdr:row>52</xdr:row>
      <xdr:rowOff>74468</xdr:rowOff>
    </xdr:from>
    <xdr:to>
      <xdr:col>0</xdr:col>
      <xdr:colOff>550711</xdr:colOff>
      <xdr:row>55</xdr:row>
      <xdr:rowOff>473</xdr:rowOff>
    </xdr:to>
    <xdr:pic>
      <xdr:nvPicPr>
        <xdr:cNvPr id="60" name="Kuva 59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126744-7D8D-4866-A58D-D6AF8D093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5553" y="9229729"/>
          <a:ext cx="415158" cy="444015"/>
        </a:xfrm>
        <a:prstGeom prst="rect">
          <a:avLst/>
        </a:prstGeom>
      </xdr:spPr>
    </xdr:pic>
    <xdr:clientData/>
  </xdr:twoCellAnchor>
  <xdr:twoCellAnchor>
    <xdr:from>
      <xdr:col>0</xdr:col>
      <xdr:colOff>177691</xdr:colOff>
      <xdr:row>50</xdr:row>
      <xdr:rowOff>50260</xdr:rowOff>
    </xdr:from>
    <xdr:to>
      <xdr:col>0</xdr:col>
      <xdr:colOff>537691</xdr:colOff>
      <xdr:row>52</xdr:row>
      <xdr:rowOff>60416</xdr:rowOff>
    </xdr:to>
    <xdr:pic>
      <xdr:nvPicPr>
        <xdr:cNvPr id="62" name="Kuva 6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6C49982-BE68-4003-B1C5-395E73F8D3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91" y="8860181"/>
          <a:ext cx="360000" cy="355496"/>
        </a:xfrm>
        <a:prstGeom prst="rect">
          <a:avLst/>
        </a:prstGeom>
      </xdr:spPr>
    </xdr:pic>
    <xdr:clientData/>
  </xdr:twoCellAnchor>
  <xdr:twoCellAnchor>
    <xdr:from>
      <xdr:col>0</xdr:col>
      <xdr:colOff>173659</xdr:colOff>
      <xdr:row>48</xdr:row>
      <xdr:rowOff>4045</xdr:rowOff>
    </xdr:from>
    <xdr:to>
      <xdr:col>0</xdr:col>
      <xdr:colOff>533659</xdr:colOff>
      <xdr:row>50</xdr:row>
      <xdr:rowOff>15701</xdr:rowOff>
    </xdr:to>
    <xdr:pic>
      <xdr:nvPicPr>
        <xdr:cNvPr id="63" name="Kuva 6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6547DC0-3736-4071-8345-819B3613F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59" y="8468626"/>
          <a:ext cx="360000" cy="356996"/>
        </a:xfrm>
        <a:prstGeom prst="rect">
          <a:avLst/>
        </a:prstGeom>
      </xdr:spPr>
    </xdr:pic>
    <xdr:clientData/>
  </xdr:twoCellAnchor>
  <xdr:twoCellAnchor>
    <xdr:from>
      <xdr:col>0</xdr:col>
      <xdr:colOff>177495</xdr:colOff>
      <xdr:row>45</xdr:row>
      <xdr:rowOff>122592</xdr:rowOff>
    </xdr:from>
    <xdr:to>
      <xdr:col>0</xdr:col>
      <xdr:colOff>537495</xdr:colOff>
      <xdr:row>47</xdr:row>
      <xdr:rowOff>134250</xdr:rowOff>
    </xdr:to>
    <xdr:pic>
      <xdr:nvPicPr>
        <xdr:cNvPr id="64" name="Kuva 6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3F1EACF-90C3-4943-89C2-7D3055E89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95" y="8069164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171776</xdr:colOff>
      <xdr:row>43</xdr:row>
      <xdr:rowOff>78158</xdr:rowOff>
    </xdr:from>
    <xdr:to>
      <xdr:col>0</xdr:col>
      <xdr:colOff>531776</xdr:colOff>
      <xdr:row>45</xdr:row>
      <xdr:rowOff>89815</xdr:rowOff>
    </xdr:to>
    <xdr:pic>
      <xdr:nvPicPr>
        <xdr:cNvPr id="65" name="Kuva 6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6CEC3E7-FDAC-4A88-9075-92DF367F4C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76" y="767939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167939</xdr:colOff>
      <xdr:row>41</xdr:row>
      <xdr:rowOff>38116</xdr:rowOff>
    </xdr:from>
    <xdr:to>
      <xdr:col>0</xdr:col>
      <xdr:colOff>527939</xdr:colOff>
      <xdr:row>43</xdr:row>
      <xdr:rowOff>49773</xdr:rowOff>
    </xdr:to>
    <xdr:pic>
      <xdr:nvPicPr>
        <xdr:cNvPr id="66" name="Kuva 65">
          <a:extLst>
            <a:ext uri="{FF2B5EF4-FFF2-40B4-BE49-F238E27FC236}">
              <a16:creationId xmlns:a16="http://schemas.microsoft.com/office/drawing/2014/main" id="{64E990D2-62FE-40A3-9237-D5FC83444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9" y="7294008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171581</xdr:colOff>
      <xdr:row>38</xdr:row>
      <xdr:rowOff>165418</xdr:rowOff>
    </xdr:from>
    <xdr:to>
      <xdr:col>0</xdr:col>
      <xdr:colOff>531581</xdr:colOff>
      <xdr:row>41</xdr:row>
      <xdr:rowOff>4405</xdr:rowOff>
    </xdr:to>
    <xdr:pic>
      <xdr:nvPicPr>
        <xdr:cNvPr id="67" name="Kuva 6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73AFC70-A66D-4DD1-90C0-65A7DC842B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581" y="690330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173160</xdr:colOff>
      <xdr:row>36</xdr:row>
      <xdr:rowOff>118319</xdr:rowOff>
    </xdr:from>
    <xdr:to>
      <xdr:col>0</xdr:col>
      <xdr:colOff>533160</xdr:colOff>
      <xdr:row>38</xdr:row>
      <xdr:rowOff>129976</xdr:rowOff>
    </xdr:to>
    <xdr:pic>
      <xdr:nvPicPr>
        <xdr:cNvPr id="68" name="Kuva 6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8ECAD20-0D0F-4E6E-A38D-9A3CB6454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60" y="6510861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174946</xdr:colOff>
      <xdr:row>34</xdr:row>
      <xdr:rowOff>76140</xdr:rowOff>
    </xdr:from>
    <xdr:to>
      <xdr:col>0</xdr:col>
      <xdr:colOff>534946</xdr:colOff>
      <xdr:row>36</xdr:row>
      <xdr:rowOff>87797</xdr:rowOff>
    </xdr:to>
    <xdr:pic>
      <xdr:nvPicPr>
        <xdr:cNvPr id="69" name="Kuva 6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9A75043-33A4-4CD7-A5AD-B3E101E27F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946" y="6123342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180600</xdr:colOff>
      <xdr:row>32</xdr:row>
      <xdr:rowOff>32281</xdr:rowOff>
    </xdr:from>
    <xdr:to>
      <xdr:col>0</xdr:col>
      <xdr:colOff>540600</xdr:colOff>
      <xdr:row>34</xdr:row>
      <xdr:rowOff>43939</xdr:rowOff>
    </xdr:to>
    <xdr:pic>
      <xdr:nvPicPr>
        <xdr:cNvPr id="70" name="Kuva 6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BE8E66D-3B87-4AEF-BA64-F267068C8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600" y="5734143"/>
          <a:ext cx="360000" cy="356998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106</xdr:row>
      <xdr:rowOff>86133</xdr:rowOff>
    </xdr:from>
    <xdr:to>
      <xdr:col>0</xdr:col>
      <xdr:colOff>574209</xdr:colOff>
      <xdr:row>108</xdr:row>
      <xdr:rowOff>140804</xdr:rowOff>
    </xdr:to>
    <xdr:pic>
      <xdr:nvPicPr>
        <xdr:cNvPr id="72" name="Kuva 7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D854FF75-A676-4FB2-BE2B-D8BD018F8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8755133"/>
          <a:ext cx="412284" cy="402541"/>
        </a:xfrm>
        <a:prstGeom prst="rect">
          <a:avLst/>
        </a:prstGeom>
      </xdr:spPr>
    </xdr:pic>
    <xdr:clientData/>
  </xdr:twoCellAnchor>
  <xdr:twoCellAnchor>
    <xdr:from>
      <xdr:col>0</xdr:col>
      <xdr:colOff>163712</xdr:colOff>
      <xdr:row>103</xdr:row>
      <xdr:rowOff>142930</xdr:rowOff>
    </xdr:from>
    <xdr:to>
      <xdr:col>0</xdr:col>
      <xdr:colOff>568949</xdr:colOff>
      <xdr:row>106</xdr:row>
      <xdr:rowOff>41413</xdr:rowOff>
    </xdr:to>
    <xdr:pic>
      <xdr:nvPicPr>
        <xdr:cNvPr id="73" name="Kuva 7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F60D83D5-4445-4B2D-B493-B591626E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12" y="18290126"/>
          <a:ext cx="405237" cy="420287"/>
        </a:xfrm>
        <a:prstGeom prst="rect">
          <a:avLst/>
        </a:prstGeom>
      </xdr:spPr>
    </xdr:pic>
    <xdr:clientData/>
  </xdr:twoCellAnchor>
  <xdr:twoCellAnchor>
    <xdr:from>
      <xdr:col>0</xdr:col>
      <xdr:colOff>167172</xdr:colOff>
      <xdr:row>101</xdr:row>
      <xdr:rowOff>49395</xdr:rowOff>
    </xdr:from>
    <xdr:to>
      <xdr:col>0</xdr:col>
      <xdr:colOff>579033</xdr:colOff>
      <xdr:row>103</xdr:row>
      <xdr:rowOff>143586</xdr:rowOff>
    </xdr:to>
    <xdr:pic>
      <xdr:nvPicPr>
        <xdr:cNvPr id="74" name="Kuva 7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3B0D67C-C6B3-439C-8E93-25742ADFD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72" y="69359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174404</xdr:colOff>
      <xdr:row>98</xdr:row>
      <xdr:rowOff>103308</xdr:rowOff>
    </xdr:from>
    <xdr:to>
      <xdr:col>0</xdr:col>
      <xdr:colOff>579641</xdr:colOff>
      <xdr:row>101</xdr:row>
      <xdr:rowOff>47760</xdr:rowOff>
    </xdr:to>
    <xdr:pic>
      <xdr:nvPicPr>
        <xdr:cNvPr id="75" name="Kuva 7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B9B7F61-CC47-4563-9664-796F28B4A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04" y="6504108"/>
          <a:ext cx="405237" cy="430227"/>
        </a:xfrm>
        <a:prstGeom prst="rect">
          <a:avLst/>
        </a:prstGeom>
      </xdr:spPr>
    </xdr:pic>
    <xdr:clientData/>
  </xdr:twoCellAnchor>
  <xdr:twoCellAnchor>
    <xdr:from>
      <xdr:col>0</xdr:col>
      <xdr:colOff>172632</xdr:colOff>
      <xdr:row>96</xdr:row>
      <xdr:rowOff>3018</xdr:rowOff>
    </xdr:from>
    <xdr:to>
      <xdr:col>0</xdr:col>
      <xdr:colOff>581846</xdr:colOff>
      <xdr:row>98</xdr:row>
      <xdr:rowOff>96663</xdr:rowOff>
    </xdr:to>
    <xdr:pic>
      <xdr:nvPicPr>
        <xdr:cNvPr id="76" name="Kuva 75">
          <a:extLst>
            <a:ext uri="{FF2B5EF4-FFF2-40B4-BE49-F238E27FC236}">
              <a16:creationId xmlns:a16="http://schemas.microsoft.com/office/drawing/2014/main" id="{1AA15EC3-4D39-429C-B959-361AD20F5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32" y="6099018"/>
          <a:ext cx="409214" cy="398445"/>
        </a:xfrm>
        <a:prstGeom prst="rect">
          <a:avLst/>
        </a:prstGeom>
      </xdr:spPr>
    </xdr:pic>
    <xdr:clientData/>
  </xdr:twoCellAnchor>
  <xdr:twoCellAnchor>
    <xdr:from>
      <xdr:col>0</xdr:col>
      <xdr:colOff>168766</xdr:colOff>
      <xdr:row>93</xdr:row>
      <xdr:rowOff>69136</xdr:rowOff>
    </xdr:from>
    <xdr:to>
      <xdr:col>0</xdr:col>
      <xdr:colOff>585250</xdr:colOff>
      <xdr:row>96</xdr:row>
      <xdr:rowOff>7642</xdr:rowOff>
    </xdr:to>
    <xdr:pic>
      <xdr:nvPicPr>
        <xdr:cNvPr id="77" name="Kuva 7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9C2B0764-9AC3-4497-BA41-A7D1CBE0F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66" y="5698411"/>
          <a:ext cx="416484" cy="405231"/>
        </a:xfrm>
        <a:prstGeom prst="rect">
          <a:avLst/>
        </a:prstGeom>
      </xdr:spPr>
    </xdr:pic>
    <xdr:clientData/>
  </xdr:twoCellAnchor>
  <xdr:twoCellAnchor>
    <xdr:from>
      <xdr:col>0</xdr:col>
      <xdr:colOff>170344</xdr:colOff>
      <xdr:row>90</xdr:row>
      <xdr:rowOff>111187</xdr:rowOff>
    </xdr:from>
    <xdr:to>
      <xdr:col>0</xdr:col>
      <xdr:colOff>578818</xdr:colOff>
      <xdr:row>93</xdr:row>
      <xdr:rowOff>51711</xdr:rowOff>
    </xdr:to>
    <xdr:pic>
      <xdr:nvPicPr>
        <xdr:cNvPr id="78" name="Kuva 77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79679A0D-2C4C-461D-942E-4F854C2F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44" y="5283262"/>
          <a:ext cx="408474" cy="397724"/>
        </a:xfrm>
        <a:prstGeom prst="rect">
          <a:avLst/>
        </a:prstGeom>
      </xdr:spPr>
    </xdr:pic>
    <xdr:clientData/>
  </xdr:twoCellAnchor>
  <xdr:twoCellAnchor>
    <xdr:from>
      <xdr:col>0</xdr:col>
      <xdr:colOff>177574</xdr:colOff>
      <xdr:row>88</xdr:row>
      <xdr:rowOff>3693</xdr:rowOff>
    </xdr:from>
    <xdr:to>
      <xdr:col>0</xdr:col>
      <xdr:colOff>589858</xdr:colOff>
      <xdr:row>90</xdr:row>
      <xdr:rowOff>97325</xdr:rowOff>
    </xdr:to>
    <xdr:pic>
      <xdr:nvPicPr>
        <xdr:cNvPr id="79" name="Kuva 7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5612D0-5321-4AE8-9270-53A29D517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74" y="48709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178772</xdr:colOff>
      <xdr:row>85</xdr:row>
      <xdr:rowOff>66675</xdr:rowOff>
    </xdr:from>
    <xdr:to>
      <xdr:col>0</xdr:col>
      <xdr:colOff>585475</xdr:colOff>
      <xdr:row>88</xdr:row>
      <xdr:rowOff>9046</xdr:rowOff>
    </xdr:to>
    <xdr:pic>
      <xdr:nvPicPr>
        <xdr:cNvPr id="80" name="Kuva 79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6F34F0-3284-4A91-937C-F89A1780A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72" y="4457700"/>
          <a:ext cx="406703" cy="418621"/>
        </a:xfrm>
        <a:prstGeom prst="rect">
          <a:avLst/>
        </a:prstGeom>
      </xdr:spPr>
    </xdr:pic>
    <xdr:clientData/>
  </xdr:twoCellAnchor>
  <xdr:twoCellAnchor editAs="oneCell">
    <xdr:from>
      <xdr:col>11</xdr:col>
      <xdr:colOff>204788</xdr:colOff>
      <xdr:row>1</xdr:row>
      <xdr:rowOff>90487</xdr:rowOff>
    </xdr:from>
    <xdr:to>
      <xdr:col>12</xdr:col>
      <xdr:colOff>349109</xdr:colOff>
      <xdr:row>3</xdr:row>
      <xdr:rowOff>44449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6DA64880-862F-4EEA-BC07-F692F927C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9638" y="252412"/>
          <a:ext cx="887271" cy="3381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630367</xdr:colOff>
      <xdr:row>85</xdr:row>
      <xdr:rowOff>59221</xdr:rowOff>
    </xdr:from>
    <xdr:to>
      <xdr:col>6</xdr:col>
      <xdr:colOff>750569</xdr:colOff>
      <xdr:row>87</xdr:row>
      <xdr:rowOff>28574</xdr:rowOff>
    </xdr:to>
    <xdr:sp macro="" textlink="">
      <xdr:nvSpPr>
        <xdr:cNvPr id="33" name="Pyöristetty suorakulmio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630367" y="13117996"/>
          <a:ext cx="4997002" cy="312253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D10=SOLU G11 '2. T2 TULOSSUUNNITELMA TAULUKOSSA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157893</xdr:colOff>
      <xdr:row>57</xdr:row>
      <xdr:rowOff>77396</xdr:rowOff>
    </xdr:from>
    <xdr:to>
      <xdr:col>0</xdr:col>
      <xdr:colOff>517893</xdr:colOff>
      <xdr:row>59</xdr:row>
      <xdr:rowOff>92396</xdr:rowOff>
    </xdr:to>
    <xdr:pic>
      <xdr:nvPicPr>
        <xdr:cNvPr id="47" name="Kuva 46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56D6ED-4667-4CF5-B1F3-DB5D5240A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57893" y="8307943"/>
          <a:ext cx="360000" cy="317906"/>
        </a:xfrm>
        <a:prstGeom prst="rect">
          <a:avLst/>
        </a:prstGeom>
      </xdr:spPr>
    </xdr:pic>
    <xdr:clientData/>
  </xdr:twoCellAnchor>
  <xdr:twoCellAnchor>
    <xdr:from>
      <xdr:col>0</xdr:col>
      <xdr:colOff>153417</xdr:colOff>
      <xdr:row>54</xdr:row>
      <xdr:rowOff>44048</xdr:rowOff>
    </xdr:from>
    <xdr:to>
      <xdr:col>0</xdr:col>
      <xdr:colOff>513417</xdr:colOff>
      <xdr:row>57</xdr:row>
      <xdr:rowOff>23048</xdr:rowOff>
    </xdr:to>
    <xdr:pic>
      <xdr:nvPicPr>
        <xdr:cNvPr id="17" name="Kuva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B20AF1-B756-4A99-A140-60E47BF1A06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417" y="7895961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145448</xdr:colOff>
      <xdr:row>51</xdr:row>
      <xdr:rowOff>119146</xdr:rowOff>
    </xdr:from>
    <xdr:to>
      <xdr:col>0</xdr:col>
      <xdr:colOff>505448</xdr:colOff>
      <xdr:row>54</xdr:row>
      <xdr:rowOff>19846</xdr:rowOff>
    </xdr:to>
    <xdr:pic>
      <xdr:nvPicPr>
        <xdr:cNvPr id="18" name="Kuva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F203AD6-8779-4DAB-A4F5-CC119F819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48" y="7516699"/>
          <a:ext cx="360000" cy="355060"/>
        </a:xfrm>
        <a:prstGeom prst="rect">
          <a:avLst/>
        </a:prstGeom>
      </xdr:spPr>
    </xdr:pic>
    <xdr:clientData/>
  </xdr:twoCellAnchor>
  <xdr:twoCellAnchor>
    <xdr:from>
      <xdr:col>0</xdr:col>
      <xdr:colOff>150862</xdr:colOff>
      <xdr:row>48</xdr:row>
      <xdr:rowOff>120133</xdr:rowOff>
    </xdr:from>
    <xdr:to>
      <xdr:col>0</xdr:col>
      <xdr:colOff>510862</xdr:colOff>
      <xdr:row>51</xdr:row>
      <xdr:rowOff>99133</xdr:rowOff>
    </xdr:to>
    <xdr:pic>
      <xdr:nvPicPr>
        <xdr:cNvPr id="19" name="Kuva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12917B-B9B9-4E4C-B994-EAA1D0E175F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62" y="7139052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132921</xdr:colOff>
      <xdr:row>46</xdr:row>
      <xdr:rowOff>40134</xdr:rowOff>
    </xdr:from>
    <xdr:to>
      <xdr:col>0</xdr:col>
      <xdr:colOff>528921</xdr:colOff>
      <xdr:row>48</xdr:row>
      <xdr:rowOff>95334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5C1DCA4E-009E-4DA9-A630-CE966DBD0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21" y="6844794"/>
          <a:ext cx="396000" cy="360000"/>
        </a:xfrm>
        <a:prstGeom prst="rect">
          <a:avLst/>
        </a:prstGeom>
      </xdr:spPr>
    </xdr:pic>
    <xdr:clientData/>
  </xdr:twoCellAnchor>
  <xdr:twoCellAnchor>
    <xdr:from>
      <xdr:col>0</xdr:col>
      <xdr:colOff>161390</xdr:colOff>
      <xdr:row>43</xdr:row>
      <xdr:rowOff>119796</xdr:rowOff>
    </xdr:from>
    <xdr:to>
      <xdr:col>0</xdr:col>
      <xdr:colOff>521390</xdr:colOff>
      <xdr:row>46</xdr:row>
      <xdr:rowOff>25435</xdr:rowOff>
    </xdr:to>
    <xdr:pic>
      <xdr:nvPicPr>
        <xdr:cNvPr id="21" name="Kuva 2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18AB3B1-F4E8-4986-AF80-72B6DE7B4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90" y="6467256"/>
          <a:ext cx="360000" cy="362839"/>
        </a:xfrm>
        <a:prstGeom prst="rect">
          <a:avLst/>
        </a:prstGeom>
      </xdr:spPr>
    </xdr:pic>
    <xdr:clientData/>
  </xdr:twoCellAnchor>
  <xdr:twoCellAnchor>
    <xdr:from>
      <xdr:col>0</xdr:col>
      <xdr:colOff>154566</xdr:colOff>
      <xdr:row>40</xdr:row>
      <xdr:rowOff>129871</xdr:rowOff>
    </xdr:from>
    <xdr:to>
      <xdr:col>0</xdr:col>
      <xdr:colOff>514566</xdr:colOff>
      <xdr:row>43</xdr:row>
      <xdr:rowOff>108871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0A3A462-7EC4-4DEE-B341-4BB7ED80A87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66" y="609633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149566</xdr:colOff>
      <xdr:row>38</xdr:row>
      <xdr:rowOff>52976</xdr:rowOff>
    </xdr:from>
    <xdr:to>
      <xdr:col>0</xdr:col>
      <xdr:colOff>509566</xdr:colOff>
      <xdr:row>40</xdr:row>
      <xdr:rowOff>106076</xdr:rowOff>
    </xdr:to>
    <xdr:pic>
      <xdr:nvPicPr>
        <xdr:cNvPr id="23" name="Kuva 2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49AA96EC-89D9-455D-8688-24C3A7B9D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66" y="5633088"/>
          <a:ext cx="360000" cy="356006"/>
        </a:xfrm>
        <a:prstGeom prst="rect">
          <a:avLst/>
        </a:prstGeom>
      </xdr:spPr>
    </xdr:pic>
    <xdr:clientData/>
  </xdr:twoCellAnchor>
  <xdr:twoCellAnchor>
    <xdr:from>
      <xdr:col>0</xdr:col>
      <xdr:colOff>159682</xdr:colOff>
      <xdr:row>35</xdr:row>
      <xdr:rowOff>52881</xdr:rowOff>
    </xdr:from>
    <xdr:to>
      <xdr:col>0</xdr:col>
      <xdr:colOff>519682</xdr:colOff>
      <xdr:row>38</xdr:row>
      <xdr:rowOff>31881</xdr:rowOff>
    </xdr:to>
    <xdr:pic>
      <xdr:nvPicPr>
        <xdr:cNvPr id="24" name="Kuva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14B7EF-76A0-472B-9FC5-7D387F55964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682" y="5254359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150772</xdr:colOff>
      <xdr:row>32</xdr:row>
      <xdr:rowOff>107437</xdr:rowOff>
    </xdr:from>
    <xdr:to>
      <xdr:col>0</xdr:col>
      <xdr:colOff>522014</xdr:colOff>
      <xdr:row>35</xdr:row>
      <xdr:rowOff>8181</xdr:rowOff>
    </xdr:to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D55026C-EA09-4F3A-8254-8F69E7F25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772" y="4854555"/>
          <a:ext cx="371242" cy="355104"/>
        </a:xfrm>
        <a:prstGeom prst="rect">
          <a:avLst/>
        </a:prstGeom>
      </xdr:spPr>
    </xdr:pic>
    <xdr:clientData/>
  </xdr:twoCellAnchor>
  <xdr:twoCellAnchor editAs="oneCell">
    <xdr:from>
      <xdr:col>7</xdr:col>
      <xdr:colOff>770282</xdr:colOff>
      <xdr:row>1</xdr:row>
      <xdr:rowOff>54403</xdr:rowOff>
    </xdr:from>
    <xdr:to>
      <xdr:col>8</xdr:col>
      <xdr:colOff>820252</xdr:colOff>
      <xdr:row>3</xdr:row>
      <xdr:rowOff>54112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F459E67-8351-4314-B104-96A3C092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4967" y="215914"/>
          <a:ext cx="993913" cy="3787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538163</xdr:colOff>
      <xdr:row>1</xdr:row>
      <xdr:rowOff>73106</xdr:rowOff>
    </xdr:from>
    <xdr:to>
      <xdr:col>10</xdr:col>
      <xdr:colOff>704215</xdr:colOff>
      <xdr:row>4</xdr:row>
      <xdr:rowOff>93661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8AB390A5-B2EF-4A99-A0D7-6CBF2ECB7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6613" y="235031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19</xdr:col>
      <xdr:colOff>557212</xdr:colOff>
      <xdr:row>1</xdr:row>
      <xdr:rowOff>128587</xdr:rowOff>
    </xdr:from>
    <xdr:to>
      <xdr:col>20</xdr:col>
      <xdr:colOff>743584</xdr:colOff>
      <xdr:row>5</xdr:row>
      <xdr:rowOff>41192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3F84929A-AAB3-475B-8271-3BDF09E8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7" y="290512"/>
          <a:ext cx="995362" cy="379330"/>
        </a:xfrm>
        <a:prstGeom prst="rect">
          <a:avLst/>
        </a:prstGeom>
      </xdr:spPr>
    </xdr:pic>
    <xdr:clientData/>
  </xdr:twoCellAnchor>
  <xdr:twoCellAnchor>
    <xdr:from>
      <xdr:col>0</xdr:col>
      <xdr:colOff>95768</xdr:colOff>
      <xdr:row>20</xdr:row>
      <xdr:rowOff>163286</xdr:rowOff>
    </xdr:from>
    <xdr:to>
      <xdr:col>0</xdr:col>
      <xdr:colOff>455768</xdr:colOff>
      <xdr:row>23</xdr:row>
      <xdr:rowOff>27611</xdr:rowOff>
    </xdr:to>
    <xdr:pic>
      <xdr:nvPicPr>
        <xdr:cNvPr id="101" name="Kuva 10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05C7E7D-7134-486F-83CF-CD27B9A71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68" y="3401786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56539</xdr:colOff>
      <xdr:row>43</xdr:row>
      <xdr:rowOff>82258</xdr:rowOff>
    </xdr:from>
    <xdr:to>
      <xdr:col>0</xdr:col>
      <xdr:colOff>471697</xdr:colOff>
      <xdr:row>46</xdr:row>
      <xdr:rowOff>24544</xdr:rowOff>
    </xdr:to>
    <xdr:pic>
      <xdr:nvPicPr>
        <xdr:cNvPr id="91" name="Kuva 90" descr="Tulosti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3FAFA4F-0F94-48C2-8F06-33262F9F1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56539" y="6972915"/>
          <a:ext cx="415158" cy="475686"/>
        </a:xfrm>
        <a:prstGeom prst="rect">
          <a:avLst/>
        </a:prstGeom>
      </xdr:spPr>
    </xdr:pic>
    <xdr:clientData/>
  </xdr:twoCellAnchor>
  <xdr:twoCellAnchor>
    <xdr:from>
      <xdr:col>0</xdr:col>
      <xdr:colOff>99558</xdr:colOff>
      <xdr:row>36</xdr:row>
      <xdr:rowOff>25184</xdr:rowOff>
    </xdr:from>
    <xdr:to>
      <xdr:col>0</xdr:col>
      <xdr:colOff>459558</xdr:colOff>
      <xdr:row>38</xdr:row>
      <xdr:rowOff>69873</xdr:rowOff>
    </xdr:to>
    <xdr:pic>
      <xdr:nvPicPr>
        <xdr:cNvPr id="95" name="Kuva 9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4ABFE14-8321-4E51-815A-925DA0388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58" y="5810941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99578</xdr:colOff>
      <xdr:row>31</xdr:row>
      <xdr:rowOff>12081</xdr:rowOff>
    </xdr:from>
    <xdr:to>
      <xdr:col>0</xdr:col>
      <xdr:colOff>459578</xdr:colOff>
      <xdr:row>33</xdr:row>
      <xdr:rowOff>56770</xdr:rowOff>
    </xdr:to>
    <xdr:pic>
      <xdr:nvPicPr>
        <xdr:cNvPr id="97" name="Kuva 9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FC43C9E-8D3F-4DC4-BC7D-E5606F245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78" y="5008624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102841</xdr:colOff>
      <xdr:row>28</xdr:row>
      <xdr:rowOff>82742</xdr:rowOff>
    </xdr:from>
    <xdr:to>
      <xdr:col>0</xdr:col>
      <xdr:colOff>462841</xdr:colOff>
      <xdr:row>30</xdr:row>
      <xdr:rowOff>127620</xdr:rowOff>
    </xdr:to>
    <xdr:pic>
      <xdr:nvPicPr>
        <xdr:cNvPr id="98" name="Kuva 9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B9F1BF6C-A806-442A-88D3-EB340EDDD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41" y="4605756"/>
          <a:ext cx="360000" cy="360564"/>
        </a:xfrm>
        <a:prstGeom prst="rect">
          <a:avLst/>
        </a:prstGeom>
      </xdr:spPr>
    </xdr:pic>
    <xdr:clientData/>
  </xdr:twoCellAnchor>
  <xdr:twoCellAnchor>
    <xdr:from>
      <xdr:col>0</xdr:col>
      <xdr:colOff>96912</xdr:colOff>
      <xdr:row>25</xdr:row>
      <xdr:rowOff>148630</xdr:rowOff>
    </xdr:from>
    <xdr:to>
      <xdr:col>0</xdr:col>
      <xdr:colOff>456912</xdr:colOff>
      <xdr:row>28</xdr:row>
      <xdr:rowOff>35477</xdr:rowOff>
    </xdr:to>
    <xdr:pic>
      <xdr:nvPicPr>
        <xdr:cNvPr id="99" name="Kuva 9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F71669D-44FA-47FA-8B2D-738D14E13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12" y="4198116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104142</xdr:colOff>
      <xdr:row>23</xdr:row>
      <xdr:rowOff>66568</xdr:rowOff>
    </xdr:from>
    <xdr:to>
      <xdr:col>0</xdr:col>
      <xdr:colOff>464142</xdr:colOff>
      <xdr:row>25</xdr:row>
      <xdr:rowOff>111445</xdr:rowOff>
    </xdr:to>
    <xdr:pic>
      <xdr:nvPicPr>
        <xdr:cNvPr id="100" name="Kuva 9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BA8DD8A-1617-4717-9E73-F85107061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2" y="3800368"/>
          <a:ext cx="360000" cy="360563"/>
        </a:xfrm>
        <a:prstGeom prst="rect">
          <a:avLst/>
        </a:prstGeom>
      </xdr:spPr>
    </xdr:pic>
    <xdr:clientData/>
  </xdr:twoCellAnchor>
  <xdr:twoCellAnchor>
    <xdr:from>
      <xdr:col>0</xdr:col>
      <xdr:colOff>100409</xdr:colOff>
      <xdr:row>33</xdr:row>
      <xdr:rowOff>97737</xdr:rowOff>
    </xdr:from>
    <xdr:to>
      <xdr:col>0</xdr:col>
      <xdr:colOff>460409</xdr:colOff>
      <xdr:row>35</xdr:row>
      <xdr:rowOff>142427</xdr:rowOff>
    </xdr:to>
    <xdr:pic>
      <xdr:nvPicPr>
        <xdr:cNvPr id="102" name="Kuva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A02CA0AF-F1BD-4356-AAB3-1FC349C755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09" y="5409966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94030</xdr:colOff>
      <xdr:row>38</xdr:row>
      <xdr:rowOff>98346</xdr:rowOff>
    </xdr:from>
    <xdr:to>
      <xdr:col>0</xdr:col>
      <xdr:colOff>457840</xdr:colOff>
      <xdr:row>40</xdr:row>
      <xdr:rowOff>146846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D9B919A-D441-DEB1-62ED-62F95349C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30" y="6199789"/>
          <a:ext cx="363810" cy="364186"/>
        </a:xfrm>
        <a:prstGeom prst="rect">
          <a:avLst/>
        </a:prstGeom>
      </xdr:spPr>
    </xdr:pic>
    <xdr:clientData/>
  </xdr:twoCellAnchor>
  <xdr:twoCellAnchor>
    <xdr:from>
      <xdr:col>0</xdr:col>
      <xdr:colOff>86532</xdr:colOff>
      <xdr:row>41</xdr:row>
      <xdr:rowOff>11825</xdr:rowOff>
    </xdr:from>
    <xdr:to>
      <xdr:col>0</xdr:col>
      <xdr:colOff>452451</xdr:colOff>
      <xdr:row>43</xdr:row>
      <xdr:rowOff>60324</xdr:rowOff>
    </xdr:to>
    <xdr:pic>
      <xdr:nvPicPr>
        <xdr:cNvPr id="9" name="Kuva 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D7C53E2-A07C-4DC5-B003-1E9F6BAC5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32" y="6586796"/>
          <a:ext cx="365919" cy="364185"/>
        </a:xfrm>
        <a:prstGeom prst="rect">
          <a:avLst/>
        </a:prstGeom>
      </xdr:spPr>
    </xdr:pic>
    <xdr:clientData/>
  </xdr:twoCellAnchor>
  <xdr:twoCellAnchor>
    <xdr:from>
      <xdr:col>5</xdr:col>
      <xdr:colOff>114364</xdr:colOff>
      <xdr:row>1</xdr:row>
      <xdr:rowOff>80</xdr:rowOff>
    </xdr:from>
    <xdr:to>
      <xdr:col>16</xdr:col>
      <xdr:colOff>295275</xdr:colOff>
      <xdr:row>7</xdr:row>
      <xdr:rowOff>89647</xdr:rowOff>
    </xdr:to>
    <xdr:sp macro="" textlink="">
      <xdr:nvSpPr>
        <xdr:cNvPr id="2" name="AutoShape 189">
          <a:extLst>
            <a:ext uri="{FF2B5EF4-FFF2-40B4-BE49-F238E27FC236}">
              <a16:creationId xmlns:a16="http://schemas.microsoft.com/office/drawing/2014/main" id="{8083E763-4228-4125-AB9A-9063E1367B8D}"/>
            </a:ext>
          </a:extLst>
        </xdr:cNvPr>
        <xdr:cNvSpPr>
          <a:spLocks noChangeArrowheads="1"/>
        </xdr:cNvSpPr>
      </xdr:nvSpPr>
      <xdr:spPr bwMode="auto">
        <a:xfrm>
          <a:off x="3124264" y="162005"/>
          <a:ext cx="7905686" cy="946817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</xdr:spPr>
      <xdr:txBody>
        <a:bodyPr vertOverflow="clip" wrap="square" lIns="72000" tIns="0" rIns="36000" bIns="0" anchor="ctr" upright="1"/>
        <a:lstStyle/>
        <a:p>
          <a:pPr algn="l" rtl="0">
            <a:lnSpc>
              <a:spcPts val="16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Tarkista erityisesti alareunan kohdat 28 - 34! </a:t>
          </a:r>
          <a:r>
            <a:rPr lang="fi-FI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Lisää puuttuvat tiedot.</a:t>
          </a:r>
          <a:br>
            <a:rPr lang="fi-FI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fi-FI" sz="12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Solu H50 Vaihto-omaisuuden</a:t>
          </a:r>
          <a:r>
            <a:rPr lang="fi-FI" sz="1200" b="0" i="0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määrä liikevaihdosta (%) vaikuttaa oleellisesti rahan riittävyyteen, lue ohje solusta. </a:t>
          </a:r>
          <a:endParaRPr lang="fi-FI" sz="900" b="0" i="0" strike="noStrik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 fPrintsWithSheet="0"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">
    <tabColor rgb="FFFFC000"/>
  </sheetPr>
  <dimension ref="B1:R61"/>
  <sheetViews>
    <sheetView showGridLines="0" tabSelected="1" zoomScale="110" zoomScaleNormal="110" workbookViewId="0">
      <selection activeCell="J29" sqref="J29"/>
    </sheetView>
  </sheetViews>
  <sheetFormatPr defaultRowHeight="12.75" x14ac:dyDescent="0.2"/>
  <cols>
    <col min="1" max="1" width="32.85546875" customWidth="1"/>
    <col min="2" max="2" width="9.140625" style="33" customWidth="1"/>
    <col min="3" max="3" width="2.5703125" style="33" customWidth="1"/>
    <col min="4" max="4" width="36.5703125" customWidth="1"/>
    <col min="5" max="5" width="2.85546875" customWidth="1"/>
    <col min="6" max="6" width="41.85546875" customWidth="1"/>
    <col min="7" max="7" width="4.28515625" customWidth="1"/>
    <col min="8" max="8" width="7.28515625" customWidth="1"/>
    <col min="9" max="9" width="48.85546875" customWidth="1"/>
    <col min="12" max="12" width="10" customWidth="1"/>
  </cols>
  <sheetData>
    <row r="1" spans="2:14" ht="12.75" customHeight="1" x14ac:dyDescent="0.2">
      <c r="I1" s="77"/>
    </row>
    <row r="2" spans="2:14" ht="12.75" customHeight="1" x14ac:dyDescent="0.2">
      <c r="H2" s="1789"/>
      <c r="I2" s="1789"/>
    </row>
    <row r="3" spans="2:14" ht="15" x14ac:dyDescent="0.2">
      <c r="D3" s="1795" t="s">
        <v>341</v>
      </c>
      <c r="E3" s="1796"/>
      <c r="F3" s="1796"/>
      <c r="H3" s="1789"/>
      <c r="I3" s="1789"/>
    </row>
    <row r="4" spans="2:14" x14ac:dyDescent="0.2">
      <c r="B4" s="35"/>
      <c r="C4" s="35"/>
      <c r="D4" s="1"/>
    </row>
    <row r="5" spans="2:14" ht="33" customHeight="1" x14ac:dyDescent="0.2">
      <c r="F5" s="473"/>
      <c r="H5" s="905"/>
      <c r="I5" s="1798"/>
      <c r="J5" s="1798"/>
      <c r="K5" s="1798"/>
      <c r="L5" s="1798"/>
    </row>
    <row r="6" spans="2:14" ht="10.15" customHeight="1" x14ac:dyDescent="0.2">
      <c r="H6" s="1074"/>
      <c r="I6" s="404"/>
      <c r="J6" s="1074"/>
      <c r="K6" s="1074"/>
      <c r="L6" s="1074"/>
    </row>
    <row r="7" spans="2:14" ht="33" customHeight="1" x14ac:dyDescent="0.2">
      <c r="B7" s="35" t="s">
        <v>0</v>
      </c>
      <c r="F7" s="473"/>
      <c r="I7" s="1614"/>
      <c r="J7" s="1614"/>
      <c r="K7" s="1614"/>
      <c r="L7" s="1614"/>
    </row>
    <row r="8" spans="2:14" ht="10.15" customHeight="1" x14ac:dyDescent="0.2"/>
    <row r="9" spans="2:14" ht="33" customHeight="1" x14ac:dyDescent="0.2">
      <c r="F9" s="473"/>
      <c r="N9" s="231"/>
    </row>
    <row r="10" spans="2:14" ht="10.15" customHeight="1" x14ac:dyDescent="0.2"/>
    <row r="11" spans="2:14" ht="33" customHeight="1" x14ac:dyDescent="0.2">
      <c r="F11" s="473"/>
      <c r="I11" s="1787"/>
      <c r="J11" s="1788"/>
      <c r="L11" s="231"/>
    </row>
    <row r="12" spans="2:14" ht="10.15" customHeight="1" x14ac:dyDescent="0.2"/>
    <row r="13" spans="2:14" ht="33" customHeight="1" x14ac:dyDescent="0.2">
      <c r="F13" s="473"/>
    </row>
    <row r="14" spans="2:14" ht="10.15" customHeight="1" x14ac:dyDescent="0.2">
      <c r="I14" s="661"/>
      <c r="J14" s="661"/>
      <c r="K14" s="661"/>
      <c r="L14" s="661"/>
    </row>
    <row r="15" spans="2:14" ht="33" customHeight="1" x14ac:dyDescent="0.2">
      <c r="F15" s="473"/>
      <c r="I15" s="661"/>
      <c r="J15" s="661"/>
      <c r="K15" s="661"/>
      <c r="L15" s="661"/>
      <c r="N15" s="1"/>
    </row>
    <row r="16" spans="2:14" ht="10.15" customHeight="1" x14ac:dyDescent="0.2">
      <c r="H16" s="1"/>
      <c r="I16" s="661"/>
      <c r="J16" s="661"/>
      <c r="K16" s="661"/>
      <c r="L16" s="661"/>
    </row>
    <row r="17" spans="2:18" ht="33" customHeight="1" x14ac:dyDescent="0.2">
      <c r="F17" s="473"/>
      <c r="I17" s="661"/>
      <c r="J17" s="661"/>
      <c r="K17" s="661"/>
      <c r="L17" s="661"/>
      <c r="M17" s="231"/>
    </row>
    <row r="18" spans="2:18" ht="10.15" customHeight="1" x14ac:dyDescent="0.2">
      <c r="F18" s="402"/>
      <c r="J18" s="661"/>
      <c r="K18" s="661"/>
      <c r="L18" s="661"/>
      <c r="M18" s="231"/>
      <c r="R18" s="434"/>
    </row>
    <row r="19" spans="2:18" ht="33" customHeight="1" x14ac:dyDescent="0.2">
      <c r="F19" s="473"/>
      <c r="I19" s="661"/>
      <c r="J19" s="661"/>
      <c r="K19" s="661"/>
      <c r="L19" s="661"/>
    </row>
    <row r="20" spans="2:18" ht="10.15" customHeight="1" x14ac:dyDescent="0.2"/>
    <row r="21" spans="2:18" ht="33" customHeight="1" x14ac:dyDescent="0.2">
      <c r="F21" s="473"/>
      <c r="I21" s="1614" t="s">
        <v>760</v>
      </c>
      <c r="J21" s="1613"/>
    </row>
    <row r="22" spans="2:18" ht="10.15" customHeight="1" x14ac:dyDescent="0.2"/>
    <row r="23" spans="2:18" ht="18" customHeight="1" x14ac:dyDescent="0.2">
      <c r="F23" s="473"/>
      <c r="H23" s="451"/>
      <c r="I23" s="1799"/>
      <c r="J23" s="1800"/>
      <c r="K23" s="1800"/>
      <c r="L23" s="1800"/>
    </row>
    <row r="24" spans="2:18" ht="15.75" customHeight="1" x14ac:dyDescent="0.2">
      <c r="B24" s="35"/>
      <c r="C24" s="35"/>
      <c r="D24" s="2"/>
      <c r="G24" s="1797" t="s">
        <v>384</v>
      </c>
      <c r="H24" s="1797"/>
      <c r="I24" s="1797"/>
      <c r="J24" s="1797"/>
      <c r="K24" s="1797"/>
      <c r="L24" s="1797"/>
      <c r="M24" s="434"/>
    </row>
    <row r="25" spans="2:18" ht="12" customHeight="1" x14ac:dyDescent="0.2">
      <c r="F25" s="473"/>
      <c r="G25" s="179"/>
      <c r="H25" s="1615"/>
      <c r="I25" s="1793"/>
      <c r="J25" s="1794"/>
      <c r="K25" s="1794"/>
      <c r="L25" s="1794"/>
    </row>
    <row r="26" spans="2:18" ht="12" customHeight="1" x14ac:dyDescent="0.2">
      <c r="D26" s="69"/>
      <c r="E26" s="45"/>
      <c r="F26" s="79"/>
      <c r="G26" s="45"/>
      <c r="H26" s="45"/>
      <c r="I26" s="45"/>
      <c r="J26" s="1792"/>
      <c r="K26" s="1792"/>
      <c r="L26" s="1792"/>
    </row>
    <row r="27" spans="2:18" x14ac:dyDescent="0.2">
      <c r="D27" s="69"/>
      <c r="F27" s="1790"/>
    </row>
    <row r="28" spans="2:18" x14ac:dyDescent="0.2">
      <c r="F28" s="1790"/>
      <c r="Q28" s="434"/>
    </row>
    <row r="29" spans="2:18" x14ac:dyDescent="0.2">
      <c r="D29" s="1789"/>
      <c r="E29" s="1791"/>
      <c r="Q29" s="434"/>
    </row>
    <row r="40" spans="4:6" x14ac:dyDescent="0.2">
      <c r="D40" s="13"/>
      <c r="F40" s="13"/>
    </row>
    <row r="51" spans="4:4" x14ac:dyDescent="0.2">
      <c r="D51" s="13"/>
    </row>
    <row r="61" spans="4:4" x14ac:dyDescent="0.2">
      <c r="D61" s="446"/>
    </row>
  </sheetData>
  <sheetProtection algorithmName="SHA-512" hashValue="AKr2FzjVsPiJg6wcA4TBcJaPWc6z2uRquU12EG3KAuJMirGfbvmADagenULL3AbNCWcnIrv+tICbezJ0ZzaZJQ==" saltValue="qh+smy1TjJVbe5jsOA/1fw==" spinCount="100000" sheet="1" objects="1" scenarios="1" selectLockedCells="1" selectUnlockedCells="1"/>
  <mergeCells count="10">
    <mergeCell ref="I11:J11"/>
    <mergeCell ref="H2:I3"/>
    <mergeCell ref="F27:F28"/>
    <mergeCell ref="D29:E29"/>
    <mergeCell ref="J26:L26"/>
    <mergeCell ref="I25:L25"/>
    <mergeCell ref="D3:F3"/>
    <mergeCell ref="G24:L24"/>
    <mergeCell ref="I5:L5"/>
    <mergeCell ref="I23:L23"/>
  </mergeCells>
  <pageMargins left="0.25" right="0.25" top="0.75" bottom="0.75" header="0.3" footer="0.3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ul6">
    <tabColor rgb="FF0152A1"/>
  </sheetPr>
  <dimension ref="A1:GX195"/>
  <sheetViews>
    <sheetView showGridLines="0" showZeros="0" zoomScale="115" zoomScaleNormal="115" workbookViewId="0">
      <selection activeCell="F32" sqref="F32"/>
    </sheetView>
  </sheetViews>
  <sheetFormatPr defaultRowHeight="12.75" x14ac:dyDescent="0.2"/>
  <cols>
    <col min="1" max="1" width="8.28515625" customWidth="1"/>
    <col min="2" max="2" width="3.85546875" customWidth="1"/>
    <col min="3" max="3" width="4.28515625" customWidth="1"/>
    <col min="4" max="4" width="30.28515625" customWidth="1"/>
    <col min="5" max="5" width="8.42578125" customWidth="1"/>
    <col min="6" max="6" width="5.28515625" style="33" customWidth="1"/>
    <col min="7" max="19" width="9.85546875" customWidth="1"/>
    <col min="20" max="20" width="10.7109375" customWidth="1"/>
    <col min="21" max="21" width="10.28515625" style="229" customWidth="1"/>
    <col min="22" max="22" width="6.28515625" style="229" customWidth="1"/>
    <col min="23" max="41" width="9.28515625" customWidth="1"/>
    <col min="42" max="42" width="9.7109375" hidden="1" customWidth="1"/>
    <col min="43" max="67" width="8.85546875" hidden="1" customWidth="1"/>
  </cols>
  <sheetData>
    <row r="1" spans="1:38" ht="16.350000000000001" customHeight="1" x14ac:dyDescent="0.2"/>
    <row r="2" spans="1:38" ht="15" customHeight="1" x14ac:dyDescent="0.2"/>
    <row r="3" spans="1:38" ht="19.7" customHeight="1" x14ac:dyDescent="0.2">
      <c r="A3" s="1368" t="s">
        <v>535</v>
      </c>
    </row>
    <row r="4" spans="1:38" x14ac:dyDescent="0.2">
      <c r="I4" s="1809"/>
      <c r="J4" s="1809"/>
    </row>
    <row r="5" spans="1:38" ht="15.75" customHeight="1" x14ac:dyDescent="0.3">
      <c r="B5" s="83" t="s">
        <v>559</v>
      </c>
      <c r="C5" s="92"/>
      <c r="D5" s="93"/>
      <c r="E5" s="1470"/>
      <c r="F5" s="1469"/>
      <c r="G5" s="1469"/>
      <c r="H5" s="1468"/>
      <c r="I5" s="346"/>
      <c r="J5" s="2112" t="s">
        <v>597</v>
      </c>
      <c r="K5" s="2112"/>
      <c r="L5" s="2112"/>
      <c r="M5" s="1468">
        <f>'2. &amp; 7. T2 TULOSSUUN. '!I8</f>
        <v>2027</v>
      </c>
      <c r="P5" s="1517"/>
      <c r="Q5" s="1517"/>
      <c r="R5" s="92"/>
      <c r="S5" s="92"/>
      <c r="W5" s="1519" t="s">
        <v>123</v>
      </c>
      <c r="X5" s="1237"/>
      <c r="Y5" s="1237"/>
      <c r="Z5" s="120"/>
      <c r="AA5" s="120"/>
      <c r="AB5" s="2112" t="s">
        <v>597</v>
      </c>
      <c r="AC5" s="2112"/>
      <c r="AD5" s="2112"/>
      <c r="AE5" s="1518">
        <f>M5</f>
        <v>2027</v>
      </c>
      <c r="AF5" s="120"/>
      <c r="AG5" s="2167"/>
      <c r="AH5" s="2167"/>
      <c r="AI5" s="120"/>
      <c r="AJ5" s="120"/>
      <c r="AK5" s="120"/>
      <c r="AL5" s="120"/>
    </row>
    <row r="6" spans="1:38" ht="14.1" customHeight="1" x14ac:dyDescent="0.3">
      <c r="B6" s="1513"/>
      <c r="C6" s="1514"/>
      <c r="D6" s="1515"/>
      <c r="E6" s="93"/>
      <c r="F6" s="119"/>
      <c r="G6" s="119"/>
      <c r="H6" s="151"/>
      <c r="I6" s="94"/>
      <c r="J6" s="719"/>
      <c r="K6" s="720"/>
      <c r="L6" s="720"/>
      <c r="M6" s="720"/>
      <c r="O6" s="152"/>
      <c r="P6" s="152"/>
      <c r="Q6" s="152"/>
      <c r="R6" s="92"/>
      <c r="S6" s="92"/>
      <c r="U6" s="1522">
        <v>1</v>
      </c>
      <c r="W6" s="1237"/>
      <c r="X6" s="1237"/>
      <c r="Y6" s="1237"/>
      <c r="Z6" s="120"/>
      <c r="AA6" s="120"/>
      <c r="AF6" s="120"/>
      <c r="AG6" s="2167"/>
      <c r="AH6" s="2167"/>
      <c r="AI6" s="120"/>
      <c r="AJ6" s="120"/>
      <c r="AK6" s="120"/>
      <c r="AL6" s="120"/>
    </row>
    <row r="7" spans="1:38" ht="15.75" x14ac:dyDescent="0.25">
      <c r="B7" s="2102">
        <f>'1. T1 INVESTOINTISUUN.'!B7</f>
        <v>0</v>
      </c>
      <c r="C7" s="2102"/>
      <c r="D7" s="2102"/>
      <c r="E7" s="2102"/>
      <c r="G7" s="95"/>
      <c r="H7" s="95"/>
      <c r="I7" s="95"/>
      <c r="J7" s="2103"/>
      <c r="K7" s="2103"/>
      <c r="L7" s="2103"/>
      <c r="M7" s="2103"/>
      <c r="O7" s="2173">
        <v>0</v>
      </c>
      <c r="P7" s="2173"/>
      <c r="Q7" s="2173"/>
      <c r="R7" s="95"/>
      <c r="S7" s="96"/>
      <c r="U7" s="1068"/>
      <c r="V7" s="1068"/>
      <c r="W7" s="1516">
        <f>B6</f>
        <v>0</v>
      </c>
      <c r="X7" s="729"/>
      <c r="Y7" s="1237"/>
      <c r="Z7" s="120"/>
      <c r="AA7" s="728"/>
      <c r="AB7" s="120"/>
      <c r="AC7" s="120"/>
      <c r="AD7" s="120"/>
      <c r="AE7" s="120"/>
      <c r="AF7" s="120"/>
      <c r="AG7" s="728"/>
      <c r="AH7" s="120"/>
      <c r="AI7" s="120"/>
      <c r="AJ7" s="120"/>
      <c r="AK7" s="120"/>
      <c r="AL7" s="120"/>
    </row>
    <row r="8" spans="1:38" ht="10.15" customHeight="1" x14ac:dyDescent="0.2">
      <c r="B8" s="95"/>
      <c r="C8" s="95"/>
      <c r="G8" s="95"/>
      <c r="H8" s="95"/>
      <c r="I8" s="95"/>
      <c r="J8" s="95"/>
      <c r="K8" s="95"/>
      <c r="L8" s="95"/>
      <c r="M8" s="95"/>
      <c r="N8" s="1158"/>
      <c r="O8" s="1158"/>
      <c r="P8" s="1158"/>
      <c r="Q8" s="95"/>
      <c r="R8" s="95"/>
      <c r="S8" s="96"/>
      <c r="W8" s="1512">
        <f>B7</f>
        <v>0</v>
      </c>
      <c r="X8" s="120"/>
      <c r="Y8" s="126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</row>
    <row r="9" spans="1:38" ht="16.149999999999999" customHeight="1" x14ac:dyDescent="0.25">
      <c r="B9" s="2109" t="s">
        <v>513</v>
      </c>
      <c r="C9" s="2110"/>
      <c r="D9" s="2110"/>
      <c r="E9" s="2111"/>
      <c r="F9" s="1155" t="s">
        <v>114</v>
      </c>
      <c r="G9" s="1171">
        <v>46388</v>
      </c>
      <c r="H9" s="1156">
        <f>G9+31</f>
        <v>46419</v>
      </c>
      <c r="I9" s="1156">
        <f t="shared" ref="I9:R9" si="0">H9+31</f>
        <v>46450</v>
      </c>
      <c r="J9" s="1156">
        <f t="shared" si="0"/>
        <v>46481</v>
      </c>
      <c r="K9" s="1156">
        <f t="shared" si="0"/>
        <v>46512</v>
      </c>
      <c r="L9" s="1156">
        <f t="shared" si="0"/>
        <v>46543</v>
      </c>
      <c r="M9" s="1156">
        <f t="shared" si="0"/>
        <v>46574</v>
      </c>
      <c r="N9" s="1156">
        <f t="shared" si="0"/>
        <v>46605</v>
      </c>
      <c r="O9" s="1156">
        <f t="shared" si="0"/>
        <v>46636</v>
      </c>
      <c r="P9" s="1156">
        <f t="shared" si="0"/>
        <v>46667</v>
      </c>
      <c r="Q9" s="1156">
        <f t="shared" si="0"/>
        <v>46698</v>
      </c>
      <c r="R9" s="1156">
        <f t="shared" si="0"/>
        <v>46729</v>
      </c>
      <c r="S9" s="1161" t="s">
        <v>103</v>
      </c>
      <c r="W9" s="2"/>
      <c r="X9" s="154"/>
      <c r="Y9" s="1475"/>
      <c r="Z9" s="154"/>
      <c r="AC9" s="19"/>
      <c r="AD9" s="19"/>
      <c r="AE9" s="19"/>
      <c r="AF9" s="19"/>
      <c r="AH9" s="19"/>
      <c r="AI9" s="19"/>
      <c r="AJ9" s="154"/>
    </row>
    <row r="10" spans="1:38" ht="12.6" customHeight="1" x14ac:dyDescent="0.2">
      <c r="B10" s="2104" t="s">
        <v>2</v>
      </c>
      <c r="C10" s="2097" t="s">
        <v>524</v>
      </c>
      <c r="D10" s="2098"/>
      <c r="E10" s="2098"/>
      <c r="F10" s="2099"/>
      <c r="G10" s="1159">
        <f>'3. T3 TASE '!G47</f>
        <v>0</v>
      </c>
      <c r="H10" s="1160">
        <f>G57</f>
        <v>0</v>
      </c>
      <c r="I10" s="1160">
        <f t="shared" ref="I10:R10" si="1">H57</f>
        <v>0</v>
      </c>
      <c r="J10" s="1160">
        <f t="shared" si="1"/>
        <v>0</v>
      </c>
      <c r="K10" s="1160">
        <f t="shared" si="1"/>
        <v>0</v>
      </c>
      <c r="L10" s="1160">
        <f t="shared" si="1"/>
        <v>0</v>
      </c>
      <c r="M10" s="1160">
        <f t="shared" si="1"/>
        <v>0</v>
      </c>
      <c r="N10" s="1160">
        <f t="shared" si="1"/>
        <v>0</v>
      </c>
      <c r="O10" s="1160">
        <f t="shared" si="1"/>
        <v>0</v>
      </c>
      <c r="P10" s="1160">
        <f t="shared" si="1"/>
        <v>0</v>
      </c>
      <c r="Q10" s="1160">
        <f t="shared" si="1"/>
        <v>0</v>
      </c>
      <c r="R10" s="1160">
        <f t="shared" si="1"/>
        <v>0</v>
      </c>
      <c r="S10" s="1160"/>
      <c r="Y10" s="33"/>
    </row>
    <row r="11" spans="1:38" ht="12.6" customHeight="1" x14ac:dyDescent="0.2">
      <c r="B11" s="2105"/>
      <c r="C11" s="2106" t="s">
        <v>525</v>
      </c>
      <c r="D11" s="2107"/>
      <c r="E11" s="2107"/>
      <c r="F11" s="2108"/>
      <c r="G11" s="1321">
        <f>'AT T5 Kassa'!C11</f>
        <v>0</v>
      </c>
      <c r="H11" s="1321">
        <f>'AT T5 Kassa'!D11</f>
        <v>0</v>
      </c>
      <c r="I11" s="1321">
        <f>'AT T5 Kassa'!E11</f>
        <v>0</v>
      </c>
      <c r="J11" s="1321">
        <f>'AT T5 Kassa'!F11</f>
        <v>0</v>
      </c>
      <c r="K11" s="1321">
        <f>'AT T5 Kassa'!G11</f>
        <v>0</v>
      </c>
      <c r="L11" s="1321">
        <f>'AT T5 Kassa'!H11</f>
        <v>0</v>
      </c>
      <c r="M11" s="613"/>
      <c r="N11" s="613"/>
      <c r="O11" s="613"/>
      <c r="P11" s="613"/>
      <c r="Q11" s="613"/>
      <c r="R11" s="613"/>
      <c r="S11" s="614">
        <f>SUM(G11:R11)</f>
        <v>0</v>
      </c>
      <c r="U11" s="697"/>
      <c r="V11" s="697"/>
      <c r="Y11" s="33"/>
    </row>
    <row r="12" spans="1:38" ht="12.6" customHeight="1" x14ac:dyDescent="0.2">
      <c r="A12" s="46"/>
      <c r="B12" s="721" t="s">
        <v>3</v>
      </c>
      <c r="C12" s="2100" t="s">
        <v>604</v>
      </c>
      <c r="D12" s="2101"/>
      <c r="E12" s="331">
        <v>0</v>
      </c>
      <c r="F12" s="332">
        <v>25.5</v>
      </c>
      <c r="G12" s="615">
        <f t="shared" ref="G12:R12" si="2">G13*$S12</f>
        <v>0</v>
      </c>
      <c r="H12" s="615">
        <f t="shared" si="2"/>
        <v>0</v>
      </c>
      <c r="I12" s="615">
        <f t="shared" si="2"/>
        <v>0</v>
      </c>
      <c r="J12" s="615">
        <f t="shared" si="2"/>
        <v>0</v>
      </c>
      <c r="K12" s="615">
        <f t="shared" si="2"/>
        <v>0</v>
      </c>
      <c r="L12" s="615">
        <f t="shared" si="2"/>
        <v>0</v>
      </c>
      <c r="M12" s="615">
        <f>M13*$S12</f>
        <v>0</v>
      </c>
      <c r="N12" s="615">
        <f t="shared" si="2"/>
        <v>0</v>
      </c>
      <c r="O12" s="615">
        <f t="shared" si="2"/>
        <v>0</v>
      </c>
      <c r="P12" s="615">
        <f t="shared" si="2"/>
        <v>0</v>
      </c>
      <c r="Q12" s="615">
        <f t="shared" si="2"/>
        <v>0</v>
      </c>
      <c r="R12" s="615">
        <f t="shared" si="2"/>
        <v>0</v>
      </c>
      <c r="S12" s="616">
        <f>'6. E2 LIIKEVAIHTO '!F$10*E12+'6. E2 LIIKEVAIHTO '!F$10*E12*'9. T5 KASSABUDJETTI  '!F12/100</f>
        <v>0</v>
      </c>
      <c r="U12" s="134"/>
      <c r="V12" s="134"/>
      <c r="Y12" s="33"/>
    </row>
    <row r="13" spans="1:38" ht="12.6" customHeight="1" x14ac:dyDescent="0.2">
      <c r="B13" s="722"/>
      <c r="C13" s="333"/>
      <c r="D13" s="2143" t="s">
        <v>105</v>
      </c>
      <c r="E13" s="2143"/>
      <c r="F13" s="2144"/>
      <c r="G13" s="617">
        <v>0.09</v>
      </c>
      <c r="H13" s="617">
        <v>0.09</v>
      </c>
      <c r="I13" s="617">
        <v>0.09</v>
      </c>
      <c r="J13" s="617">
        <v>0.09</v>
      </c>
      <c r="K13" s="617">
        <v>0.09</v>
      </c>
      <c r="L13" s="617">
        <v>0.09</v>
      </c>
      <c r="M13" s="617">
        <v>0.04</v>
      </c>
      <c r="N13" s="617">
        <v>0.08</v>
      </c>
      <c r="O13" s="617">
        <v>0.09</v>
      </c>
      <c r="P13" s="617">
        <v>0.09</v>
      </c>
      <c r="Q13" s="617">
        <v>0.08</v>
      </c>
      <c r="R13" s="617">
        <v>0.08</v>
      </c>
      <c r="S13" s="618">
        <f>SUM(G13:R13)</f>
        <v>0.99999999999999978</v>
      </c>
      <c r="T13" s="205" t="str">
        <f>IF(E12=0," ",IF(S13=100%," ","VIRHE!"))</f>
        <v xml:space="preserve"> </v>
      </c>
      <c r="Y13" s="33"/>
    </row>
    <row r="14" spans="1:38" ht="12.6" customHeight="1" x14ac:dyDescent="0.2">
      <c r="A14" s="46"/>
      <c r="B14" s="722" t="s">
        <v>4</v>
      </c>
      <c r="C14" s="2100" t="s">
        <v>106</v>
      </c>
      <c r="D14" s="2143"/>
      <c r="E14" s="2144"/>
      <c r="F14" s="334">
        <v>25.5</v>
      </c>
      <c r="G14" s="615">
        <f>G15*$S14</f>
        <v>0</v>
      </c>
      <c r="H14" s="615">
        <f>H15*$S14</f>
        <v>0</v>
      </c>
      <c r="I14" s="615">
        <f t="shared" ref="I14:R14" si="3">I15*$S14</f>
        <v>0</v>
      </c>
      <c r="J14" s="615">
        <f t="shared" si="3"/>
        <v>0</v>
      </c>
      <c r="K14" s="615">
        <f t="shared" si="3"/>
        <v>0</v>
      </c>
      <c r="L14" s="615">
        <f t="shared" si="3"/>
        <v>0</v>
      </c>
      <c r="M14" s="615">
        <f t="shared" si="3"/>
        <v>0</v>
      </c>
      <c r="N14" s="615">
        <f t="shared" si="3"/>
        <v>0</v>
      </c>
      <c r="O14" s="615">
        <f t="shared" si="3"/>
        <v>0</v>
      </c>
      <c r="P14" s="615">
        <f t="shared" si="3"/>
        <v>0</v>
      </c>
      <c r="Q14" s="615">
        <f t="shared" si="3"/>
        <v>0</v>
      </c>
      <c r="R14" s="615">
        <f t="shared" si="3"/>
        <v>0</v>
      </c>
      <c r="S14" s="615">
        <f>'6. E2 LIIKEVAIHTO '!F$10+'6. E2 LIIKEVAIHTO '!F$10*F14/100-S12</f>
        <v>0</v>
      </c>
      <c r="U14" s="238"/>
      <c r="V14" s="238"/>
      <c r="Y14" s="33"/>
    </row>
    <row r="15" spans="1:38" ht="12.6" customHeight="1" x14ac:dyDescent="0.2">
      <c r="A15" s="2"/>
      <c r="B15" s="722"/>
      <c r="C15" s="333"/>
      <c r="D15" s="2143" t="s">
        <v>107</v>
      </c>
      <c r="E15" s="2143"/>
      <c r="F15" s="2144"/>
      <c r="G15" s="619">
        <v>0.09</v>
      </c>
      <c r="H15" s="617">
        <v>0.09</v>
      </c>
      <c r="I15" s="617">
        <v>0.09</v>
      </c>
      <c r="J15" s="617">
        <v>0.09</v>
      </c>
      <c r="K15" s="617">
        <v>0.09</v>
      </c>
      <c r="L15" s="617">
        <v>0.09</v>
      </c>
      <c r="M15" s="617">
        <v>0.04</v>
      </c>
      <c r="N15" s="617">
        <v>0.08</v>
      </c>
      <c r="O15" s="617">
        <v>0.09</v>
      </c>
      <c r="P15" s="617">
        <v>0.09</v>
      </c>
      <c r="Q15" s="617">
        <v>0.08</v>
      </c>
      <c r="R15" s="617">
        <v>0.08</v>
      </c>
      <c r="S15" s="618">
        <f>SUM(G15:R15)</f>
        <v>0.99999999999999978</v>
      </c>
      <c r="T15" s="205" t="str">
        <f>IF(E12=100%," ",IF(S15=100%," ","VIRHE!"))</f>
        <v xml:space="preserve"> </v>
      </c>
      <c r="Y15" s="33"/>
    </row>
    <row r="16" spans="1:38" ht="12.6" customHeight="1" thickBot="1" x14ac:dyDescent="0.25">
      <c r="A16" s="46"/>
      <c r="B16" s="722"/>
      <c r="C16" s="333"/>
      <c r="D16" s="335" t="s">
        <v>588</v>
      </c>
      <c r="E16" s="336">
        <v>30</v>
      </c>
      <c r="F16" s="337"/>
      <c r="G16" s="615">
        <f>'AT T5 Kassa'!C35</f>
        <v>0</v>
      </c>
      <c r="H16" s="615">
        <f>'AT T5 Kassa'!D35</f>
        <v>0</v>
      </c>
      <c r="I16" s="615">
        <f>'AT T5 Kassa'!E35</f>
        <v>0</v>
      </c>
      <c r="J16" s="615">
        <f>'AT T5 Kassa'!F35</f>
        <v>0</v>
      </c>
      <c r="K16" s="615">
        <f>'AT T5 Kassa'!G35</f>
        <v>0</v>
      </c>
      <c r="L16" s="615">
        <f>'AT T5 Kassa'!H35</f>
        <v>0</v>
      </c>
      <c r="M16" s="615">
        <f>'AT T5 Kassa'!I35</f>
        <v>0</v>
      </c>
      <c r="N16" s="615">
        <f>'AT T5 Kassa'!J35</f>
        <v>0</v>
      </c>
      <c r="O16" s="615">
        <f>'AT T5 Kassa'!K35</f>
        <v>0</v>
      </c>
      <c r="P16" s="615">
        <f>'AT T5 Kassa'!L35</f>
        <v>0</v>
      </c>
      <c r="Q16" s="615">
        <f>'AT T5 Kassa'!M35</f>
        <v>0</v>
      </c>
      <c r="R16" s="615">
        <f>'AT T5 Kassa'!N35</f>
        <v>0</v>
      </c>
      <c r="S16" s="616">
        <f>SUM(G16:R16)</f>
        <v>0</v>
      </c>
      <c r="Y16" s="33"/>
    </row>
    <row r="17" spans="1:67" ht="12.6" customHeight="1" x14ac:dyDescent="0.2">
      <c r="A17" s="46"/>
      <c r="B17" s="722" t="s">
        <v>5</v>
      </c>
      <c r="C17" s="2117" t="s">
        <v>605</v>
      </c>
      <c r="D17" s="2118"/>
      <c r="E17" s="2119"/>
      <c r="F17" s="334">
        <v>25.5</v>
      </c>
      <c r="G17" s="1322">
        <f>('2. &amp; 7. T2 TULOSSUUN. '!$I$12/12+'2. &amp; 7. T2 TULOSSUUN. '!$I$12/12*'9. T5 KASSABUDJETTI  '!$F$17/100)</f>
        <v>0</v>
      </c>
      <c r="H17" s="1322">
        <f>('2. &amp; 7. T2 TULOSSUUN. '!$I$12/12+'2. &amp; 7. T2 TULOSSUUN. '!$I$12/12*'9. T5 KASSABUDJETTI  '!$F$17/100)</f>
        <v>0</v>
      </c>
      <c r="I17" s="1322">
        <f>('2. &amp; 7. T2 TULOSSUUN. '!$I$12/12+'2. &amp; 7. T2 TULOSSUUN. '!$I$12/12*'9. T5 KASSABUDJETTI  '!$F$17/100)</f>
        <v>0</v>
      </c>
      <c r="J17" s="1322">
        <f>('2. &amp; 7. T2 TULOSSUUN. '!$I$12/12+'2. &amp; 7. T2 TULOSSUUN. '!$I$12/12*'9. T5 KASSABUDJETTI  '!$F$17/100)</f>
        <v>0</v>
      </c>
      <c r="K17" s="1322">
        <f>('2. &amp; 7. T2 TULOSSUUN. '!$I$12/12+'2. &amp; 7. T2 TULOSSUUN. '!$I$12/12*'9. T5 KASSABUDJETTI  '!$F$17/100)</f>
        <v>0</v>
      </c>
      <c r="L17" s="1322">
        <f>('2. &amp; 7. T2 TULOSSUUN. '!$I$12/12+'2. &amp; 7. T2 TULOSSUUN. '!$I$12/12*'9. T5 KASSABUDJETTI  '!$F$17/100)</f>
        <v>0</v>
      </c>
      <c r="M17" s="1322">
        <f>('2. &amp; 7. T2 TULOSSUUN. '!$I$12/12+'2. &amp; 7. T2 TULOSSUUN. '!$I$12/12*'9. T5 KASSABUDJETTI  '!$F$17/100)</f>
        <v>0</v>
      </c>
      <c r="N17" s="1322">
        <f>('2. &amp; 7. T2 TULOSSUUN. '!$I$12/12+'2. &amp; 7. T2 TULOSSUUN. '!$I$12/12*'9. T5 KASSABUDJETTI  '!$F$17/100)</f>
        <v>0</v>
      </c>
      <c r="O17" s="1322">
        <f>('2. &amp; 7. T2 TULOSSUUN. '!$I$12/12+'2. &amp; 7. T2 TULOSSUUN. '!$I$12/12*'9. T5 KASSABUDJETTI  '!$F$17/100)</f>
        <v>0</v>
      </c>
      <c r="P17" s="1322">
        <f>('2. &amp; 7. T2 TULOSSUUN. '!$I$12/12+'2. &amp; 7. T2 TULOSSUUN. '!$I$12/12*'9. T5 KASSABUDJETTI  '!$F$17/100)</f>
        <v>0</v>
      </c>
      <c r="Q17" s="1322">
        <f>('2. &amp; 7. T2 TULOSSUUN. '!$I$12/12+'2. &amp; 7. T2 TULOSSUUN. '!$I$12/12*'9. T5 KASSABUDJETTI  '!$F$17/100)</f>
        <v>0</v>
      </c>
      <c r="R17" s="1322">
        <f>('2. &amp; 7. T2 TULOSSUUN. '!$I$12/12+'2. &amp; 7. T2 TULOSSUUN. '!$I$12/12*'9. T5 KASSABUDJETTI  '!$F$17/100)</f>
        <v>0</v>
      </c>
      <c r="S17" s="616">
        <f>SUM(G17:R17)</f>
        <v>0</v>
      </c>
      <c r="U17" s="2084" t="s">
        <v>591</v>
      </c>
      <c r="V17" s="1068"/>
      <c r="Y17" s="33"/>
    </row>
    <row r="18" spans="1:67" ht="12.6" customHeight="1" thickBot="1" x14ac:dyDescent="0.25">
      <c r="B18" s="723" t="s">
        <v>6</v>
      </c>
      <c r="C18" s="2114" t="s">
        <v>606</v>
      </c>
      <c r="D18" s="2115"/>
      <c r="E18" s="2116"/>
      <c r="F18" s="338"/>
      <c r="G18" s="1323">
        <f>'5. E1 KUSTANNUKSET '!$F$30/12</f>
        <v>0</v>
      </c>
      <c r="H18" s="1323">
        <f>'5. E1 KUSTANNUKSET '!$F30/12</f>
        <v>0</v>
      </c>
      <c r="I18" s="1323">
        <f>'5. E1 KUSTANNUKSET '!$F30/12</f>
        <v>0</v>
      </c>
      <c r="J18" s="1323">
        <f>'5. E1 KUSTANNUKSET '!$F30/12</f>
        <v>0</v>
      </c>
      <c r="K18" s="1323">
        <f>'5. E1 KUSTANNUKSET '!$F30/12</f>
        <v>0</v>
      </c>
      <c r="L18" s="1323">
        <f>'5. E1 KUSTANNUKSET '!$F30/12</f>
        <v>0</v>
      </c>
      <c r="M18" s="1323">
        <f>'5. E1 KUSTANNUKSET '!$F30/12+'1. T1 INVESTOINTISUUN.'!$D$61</f>
        <v>0</v>
      </c>
      <c r="N18" s="1323">
        <f>'5. E1 KUSTANNUKSET '!$F30/12</f>
        <v>0</v>
      </c>
      <c r="O18" s="1323">
        <f>'5. E1 KUSTANNUKSET '!$F30/12</f>
        <v>0</v>
      </c>
      <c r="P18" s="1323">
        <f>'5. E1 KUSTANNUKSET '!$F30/12</f>
        <v>0</v>
      </c>
      <c r="Q18" s="1323">
        <f>'5. E1 KUSTANNUKSET '!$F30/12</f>
        <v>0</v>
      </c>
      <c r="R18" s="1323">
        <f>'5. E1 KUSTANNUKSET '!$F30/12</f>
        <v>0</v>
      </c>
      <c r="S18" s="616">
        <f>SUM(G18:R18)</f>
        <v>0</v>
      </c>
      <c r="U18" s="2085"/>
      <c r="V18" s="1068"/>
      <c r="Y18" s="33"/>
    </row>
    <row r="19" spans="1:67" ht="16.149999999999999" customHeight="1" thickTop="1" thickBot="1" x14ac:dyDescent="0.25">
      <c r="A19" s="46"/>
      <c r="B19" s="709"/>
      <c r="C19" s="2157" t="s">
        <v>512</v>
      </c>
      <c r="D19" s="2158"/>
      <c r="E19" s="2158"/>
      <c r="F19" s="710"/>
      <c r="G19" s="711">
        <f>G12+G16+G18+G17</f>
        <v>0</v>
      </c>
      <c r="H19" s="711">
        <f t="shared" ref="H19:R19" si="4">H12+H16+H18+H17</f>
        <v>0</v>
      </c>
      <c r="I19" s="711">
        <f t="shared" si="4"/>
        <v>0</v>
      </c>
      <c r="J19" s="711">
        <f t="shared" si="4"/>
        <v>0</v>
      </c>
      <c r="K19" s="711">
        <f t="shared" si="4"/>
        <v>0</v>
      </c>
      <c r="L19" s="711">
        <f t="shared" si="4"/>
        <v>0</v>
      </c>
      <c r="M19" s="711">
        <f t="shared" si="4"/>
        <v>0</v>
      </c>
      <c r="N19" s="711">
        <f t="shared" si="4"/>
        <v>0</v>
      </c>
      <c r="O19" s="711">
        <f t="shared" si="4"/>
        <v>0</v>
      </c>
      <c r="P19" s="711">
        <f t="shared" si="4"/>
        <v>0</v>
      </c>
      <c r="Q19" s="711">
        <f t="shared" si="4"/>
        <v>0</v>
      </c>
      <c r="R19" s="711">
        <f t="shared" si="4"/>
        <v>0</v>
      </c>
      <c r="S19" s="712">
        <f>SUM(G19:R19)</f>
        <v>0</v>
      </c>
      <c r="U19" s="2085"/>
      <c r="V19" s="1068"/>
      <c r="Y19" s="33"/>
      <c r="AP19" s="2090" t="s">
        <v>133</v>
      </c>
      <c r="AQ19" s="2090"/>
      <c r="AR19" s="2090"/>
      <c r="AS19" s="2090"/>
      <c r="AT19" s="2090"/>
      <c r="AU19" s="2090"/>
      <c r="AV19" s="2090"/>
      <c r="AW19" s="2090"/>
      <c r="AX19" s="2090"/>
      <c r="AY19" s="2090" t="s">
        <v>493</v>
      </c>
      <c r="AZ19" s="2090"/>
      <c r="BA19" s="2090"/>
      <c r="BB19" s="2090"/>
      <c r="BC19" s="2090"/>
      <c r="BD19" s="2090"/>
      <c r="BE19" s="2090"/>
      <c r="BF19" s="2090" t="s">
        <v>494</v>
      </c>
      <c r="BG19" s="2090"/>
      <c r="BH19" s="2090"/>
      <c r="BI19" s="2090"/>
      <c r="BJ19" s="2090"/>
      <c r="BK19" s="2090"/>
      <c r="BL19" s="2090"/>
      <c r="BM19" s="2087" t="s">
        <v>17</v>
      </c>
      <c r="BN19" s="2087"/>
      <c r="BO19" s="2087"/>
    </row>
    <row r="20" spans="1:67" ht="4.1500000000000004" customHeight="1" thickTop="1" x14ac:dyDescent="0.2">
      <c r="B20" s="724"/>
      <c r="C20" s="314"/>
      <c r="D20" s="314"/>
      <c r="E20" s="314"/>
      <c r="F20" s="315"/>
      <c r="G20" s="620"/>
      <c r="H20" s="620"/>
      <c r="I20" s="620"/>
      <c r="J20" s="620"/>
      <c r="K20" s="620"/>
      <c r="L20" s="620"/>
      <c r="M20" s="620"/>
      <c r="N20" s="620"/>
      <c r="O20" s="620"/>
      <c r="P20" s="620"/>
      <c r="Q20" s="620"/>
      <c r="R20" s="620"/>
      <c r="S20" s="621" t="s">
        <v>0</v>
      </c>
      <c r="U20" s="2085"/>
      <c r="V20" s="1068"/>
      <c r="Y20" s="33"/>
      <c r="AP20" s="495"/>
      <c r="AQ20" s="495"/>
      <c r="AR20" s="495"/>
      <c r="AS20" s="495"/>
      <c r="AT20" s="495"/>
      <c r="AU20" s="495"/>
      <c r="AV20" s="1028"/>
      <c r="AW20" s="1028"/>
      <c r="AX20" s="1028"/>
      <c r="AY20" s="495"/>
      <c r="AZ20" s="495"/>
      <c r="BA20" s="495"/>
      <c r="BB20" s="495"/>
      <c r="BC20" s="1028"/>
      <c r="BD20" s="1028"/>
      <c r="BE20" s="1028"/>
      <c r="BF20" s="495"/>
      <c r="BG20" s="495"/>
      <c r="BH20" s="495"/>
      <c r="BI20" s="495"/>
      <c r="BJ20" s="1028"/>
      <c r="BK20" s="1028"/>
      <c r="BL20" s="1028"/>
    </row>
    <row r="21" spans="1:67" ht="16.149999999999999" customHeight="1" x14ac:dyDescent="0.2">
      <c r="B21" s="2154" t="s">
        <v>514</v>
      </c>
      <c r="C21" s="2155"/>
      <c r="D21" s="2155"/>
      <c r="E21" s="2156"/>
      <c r="F21" s="1162" t="s">
        <v>113</v>
      </c>
      <c r="G21" s="1163">
        <f>G9</f>
        <v>46388</v>
      </c>
      <c r="H21" s="1163">
        <f t="shared" ref="H21:S21" si="5">+H9</f>
        <v>46419</v>
      </c>
      <c r="I21" s="1163">
        <f t="shared" si="5"/>
        <v>46450</v>
      </c>
      <c r="J21" s="1163">
        <f t="shared" si="5"/>
        <v>46481</v>
      </c>
      <c r="K21" s="1163">
        <f t="shared" si="5"/>
        <v>46512</v>
      </c>
      <c r="L21" s="1163">
        <f t="shared" si="5"/>
        <v>46543</v>
      </c>
      <c r="M21" s="1163">
        <f t="shared" si="5"/>
        <v>46574</v>
      </c>
      <c r="N21" s="1163">
        <f t="shared" si="5"/>
        <v>46605</v>
      </c>
      <c r="O21" s="1163">
        <f t="shared" si="5"/>
        <v>46636</v>
      </c>
      <c r="P21" s="1163">
        <f t="shared" si="5"/>
        <v>46667</v>
      </c>
      <c r="Q21" s="1163">
        <f t="shared" si="5"/>
        <v>46698</v>
      </c>
      <c r="R21" s="1163">
        <f t="shared" si="5"/>
        <v>46729</v>
      </c>
      <c r="S21" s="1164" t="str">
        <f t="shared" si="5"/>
        <v>YHT</v>
      </c>
      <c r="T21" s="1154" t="s">
        <v>479</v>
      </c>
      <c r="U21" s="2086"/>
      <c r="V21" s="1068"/>
      <c r="Y21" s="33"/>
      <c r="AP21" s="1030"/>
      <c r="AQ21" s="1031"/>
      <c r="AR21" s="1032" t="s">
        <v>126</v>
      </c>
      <c r="AS21" s="1033" t="s">
        <v>495</v>
      </c>
      <c r="AT21" s="1033" t="s">
        <v>134</v>
      </c>
      <c r="AU21" s="2088" t="s">
        <v>112</v>
      </c>
      <c r="AV21" s="1034" t="s">
        <v>127</v>
      </c>
      <c r="AW21" s="1034" t="s">
        <v>526</v>
      </c>
      <c r="AX21" s="1035" t="s">
        <v>128</v>
      </c>
      <c r="AY21" s="1032" t="s">
        <v>126</v>
      </c>
      <c r="AZ21" s="1033" t="s">
        <v>495</v>
      </c>
      <c r="BA21" s="1033" t="s">
        <v>134</v>
      </c>
      <c r="BB21" s="2088" t="s">
        <v>112</v>
      </c>
      <c r="BC21" s="1034" t="s">
        <v>127</v>
      </c>
      <c r="BD21" s="1034" t="s">
        <v>526</v>
      </c>
      <c r="BE21" s="1035" t="s">
        <v>128</v>
      </c>
      <c r="BF21" s="1036" t="s">
        <v>126</v>
      </c>
      <c r="BG21" s="1033" t="s">
        <v>495</v>
      </c>
      <c r="BH21" s="1033" t="s">
        <v>134</v>
      </c>
      <c r="BI21" s="2088" t="s">
        <v>112</v>
      </c>
      <c r="BJ21" s="1034" t="s">
        <v>127</v>
      </c>
      <c r="BK21" s="1034" t="s">
        <v>526</v>
      </c>
      <c r="BL21" s="1037" t="s">
        <v>128</v>
      </c>
      <c r="BM21" s="1038" t="s">
        <v>127</v>
      </c>
      <c r="BN21" s="1034" t="s">
        <v>526</v>
      </c>
      <c r="BO21" s="1035" t="s">
        <v>128</v>
      </c>
    </row>
    <row r="22" spans="1:67" ht="12.6" customHeight="1" x14ac:dyDescent="0.2">
      <c r="B22" s="2132" t="s">
        <v>7</v>
      </c>
      <c r="C22" s="2159" t="s">
        <v>543</v>
      </c>
      <c r="D22" s="2160"/>
      <c r="E22" s="2161"/>
      <c r="F22" s="1157">
        <v>25.5</v>
      </c>
      <c r="G22" s="1324">
        <f>IF(($S12+$S14)*$U22=0,0,(G12+G14)/($S12+$S14)*'9. T5 KASSABUDJETTI  '!$U22)</f>
        <v>0</v>
      </c>
      <c r="H22" s="1324">
        <f>IF(($S12+$S14)*$U22=0,0,(H12+H14)/($S12+$S14)*'9. T5 KASSABUDJETTI  '!$U22)</f>
        <v>0</v>
      </c>
      <c r="I22" s="1324">
        <f>IF(($S12+$S14)*$U22=0,0,(I12+I14)/($S12+$S14)*'9. T5 KASSABUDJETTI  '!$U22)</f>
        <v>0</v>
      </c>
      <c r="J22" s="1324">
        <f>IF(($S12+$S14)*$U22=0,0,(J12+J14)/($S12+$S14)*'9. T5 KASSABUDJETTI  '!$U22)</f>
        <v>0</v>
      </c>
      <c r="K22" s="1324">
        <f>IF(($S12+$S14)*$U22=0,0,(K12+K14)/($S12+$S14)*'9. T5 KASSABUDJETTI  '!$U22)</f>
        <v>0</v>
      </c>
      <c r="L22" s="1324">
        <f>IF(($S12+$S14)*$U22=0,0,(L12+L14)/($S12+$S14)*'9. T5 KASSABUDJETTI  '!$U22)</f>
        <v>0</v>
      </c>
      <c r="M22" s="1324">
        <f>IF(($S12+$S14)*$U22=0,0,(M12+M14)/($S12+$S14)*'9. T5 KASSABUDJETTI  '!$U22)</f>
        <v>0</v>
      </c>
      <c r="N22" s="1324">
        <f>IF(($S12+$S14)*$U22=0,0,(N12+N14)/($S12+$S14)*'9. T5 KASSABUDJETTI  '!$U22)</f>
        <v>0</v>
      </c>
      <c r="O22" s="1324">
        <f>IF(($S12+$S14)*$U22=0,0,(O12+O14)/($S12+$S14)*'9. T5 KASSABUDJETTI  '!$U22)</f>
        <v>0</v>
      </c>
      <c r="P22" s="1324">
        <f>IF(($S12+$S14)*$U22=0,0,(P12+P14)/($S12+$S14)*'9. T5 KASSABUDJETTI  '!$U22)</f>
        <v>0</v>
      </c>
      <c r="Q22" s="1324">
        <f>IF(($S12+$S14)*$U22=0,0,(Q12+Q14)/($S12+$S14)*'9. T5 KASSABUDJETTI  '!$U22)</f>
        <v>0</v>
      </c>
      <c r="R22" s="1324">
        <f>IF(($S12+$S14)*$U22=0,0,(R12+R14)/($S12+$S14)*'9. T5 KASSABUDJETTI  '!$U22)</f>
        <v>0</v>
      </c>
      <c r="S22" s="626">
        <f t="shared" ref="S22:S28" si="6">SUM(G22:R22)</f>
        <v>0</v>
      </c>
      <c r="T22" s="1002">
        <f>U22-S22</f>
        <v>0</v>
      </c>
      <c r="U22" s="616">
        <f>-'2. &amp; 7. T2 TULOSSUUN. '!I15-'2. &amp; 7. T2 TULOSSUUN. '!I15*'9. T5 KASSABUDJETTI  '!F22/100-'1. T1 INVESTOINTISUUN.'!D40</f>
        <v>0</v>
      </c>
      <c r="V22" s="1007"/>
      <c r="Y22" s="33"/>
      <c r="AP22" s="1039"/>
      <c r="AQ22" s="1040"/>
      <c r="AR22" s="1041" t="s">
        <v>129</v>
      </c>
      <c r="AS22" s="1042" t="s">
        <v>130</v>
      </c>
      <c r="AT22" s="1042" t="s">
        <v>135</v>
      </c>
      <c r="AU22" s="2089"/>
      <c r="AV22" s="1043" t="s">
        <v>131</v>
      </c>
      <c r="AW22" s="1043" t="s">
        <v>527</v>
      </c>
      <c r="AX22" s="1044" t="s">
        <v>129</v>
      </c>
      <c r="AY22" s="1041" t="s">
        <v>129</v>
      </c>
      <c r="AZ22" s="1042" t="s">
        <v>130</v>
      </c>
      <c r="BA22" s="1042" t="s">
        <v>135</v>
      </c>
      <c r="BB22" s="2089"/>
      <c r="BC22" s="1043" t="s">
        <v>131</v>
      </c>
      <c r="BD22" s="1043" t="s">
        <v>527</v>
      </c>
      <c r="BE22" s="1044" t="s">
        <v>129</v>
      </c>
      <c r="BF22" s="1045" t="s">
        <v>129</v>
      </c>
      <c r="BG22" s="1042" t="s">
        <v>130</v>
      </c>
      <c r="BH22" s="1042" t="s">
        <v>135</v>
      </c>
      <c r="BI22" s="2089"/>
      <c r="BJ22" s="1043" t="s">
        <v>131</v>
      </c>
      <c r="BK22" s="1043" t="s">
        <v>527</v>
      </c>
      <c r="BL22" s="360" t="s">
        <v>129</v>
      </c>
      <c r="BM22" s="1046" t="s">
        <v>131</v>
      </c>
      <c r="BN22" s="1043" t="s">
        <v>527</v>
      </c>
      <c r="BO22" s="1044" t="s">
        <v>129</v>
      </c>
    </row>
    <row r="23" spans="1:67" ht="12.6" customHeight="1" x14ac:dyDescent="0.2">
      <c r="B23" s="2105"/>
      <c r="C23" s="1190" t="s">
        <v>549</v>
      </c>
      <c r="D23" s="1448"/>
      <c r="E23" s="332">
        <f>'8. T4 RAHOITUSSUUN. '!H57</f>
        <v>0</v>
      </c>
      <c r="F23" s="1348"/>
      <c r="G23" s="1451">
        <f>'AT T5 Kassa'!Q8</f>
        <v>0</v>
      </c>
      <c r="H23" s="1451">
        <f>'AT T5 Kassa'!R8</f>
        <v>0</v>
      </c>
      <c r="I23" s="1451">
        <f>'AT T5 Kassa'!S8</f>
        <v>0</v>
      </c>
      <c r="J23" s="614"/>
      <c r="K23" s="614"/>
      <c r="L23" s="614"/>
      <c r="M23" s="614"/>
      <c r="N23" s="614"/>
      <c r="O23" s="614"/>
      <c r="P23" s="614"/>
      <c r="Q23" s="614"/>
      <c r="R23" s="614"/>
      <c r="S23" s="626">
        <f t="shared" si="6"/>
        <v>0</v>
      </c>
      <c r="T23" s="1459"/>
      <c r="U23" s="1358"/>
      <c r="V23" s="1007"/>
      <c r="Y23" s="33"/>
      <c r="AP23" s="1039"/>
      <c r="AQ23" s="1040"/>
      <c r="AR23" s="1041"/>
      <c r="AS23" s="1042"/>
      <c r="AT23" s="1042"/>
      <c r="AU23" s="1449"/>
      <c r="AV23" s="1450"/>
      <c r="AW23" s="1450"/>
      <c r="AX23" s="1044"/>
      <c r="AY23" s="1041"/>
      <c r="AZ23" s="1042"/>
      <c r="BA23" s="1042"/>
      <c r="BB23" s="1447"/>
      <c r="BC23" s="1043"/>
      <c r="BD23" s="1043"/>
      <c r="BE23" s="1044"/>
      <c r="BF23" s="1045"/>
      <c r="BG23" s="1042"/>
      <c r="BH23" s="1042"/>
      <c r="BI23" s="1447"/>
      <c r="BJ23" s="1043"/>
      <c r="BK23" s="1043"/>
      <c r="BL23" s="360"/>
      <c r="BM23" s="1046"/>
      <c r="BN23" s="1043"/>
      <c r="BO23" s="1044"/>
    </row>
    <row r="24" spans="1:67" ht="12.6" hidden="1" customHeight="1" x14ac:dyDescent="0.2">
      <c r="B24" s="725" t="s">
        <v>8</v>
      </c>
      <c r="C24" s="2151" t="s">
        <v>546</v>
      </c>
      <c r="D24" s="2152"/>
      <c r="E24" s="2153"/>
      <c r="F24" s="1593">
        <v>0</v>
      </c>
      <c r="G24" s="622"/>
      <c r="H24" s="622"/>
      <c r="I24" s="622"/>
      <c r="J24" s="622"/>
      <c r="K24" s="622"/>
      <c r="L24" s="622"/>
      <c r="M24" s="622"/>
      <c r="N24" s="622"/>
      <c r="O24" s="622"/>
      <c r="P24" s="622"/>
      <c r="Q24" s="622"/>
      <c r="R24" s="622"/>
      <c r="S24" s="614"/>
      <c r="T24" s="1457" t="s">
        <v>0</v>
      </c>
      <c r="U24" s="1458"/>
      <c r="V24" s="1007"/>
      <c r="Y24" s="33"/>
    </row>
    <row r="25" spans="1:67" ht="12.6" customHeight="1" x14ac:dyDescent="0.2">
      <c r="B25" s="725" t="s">
        <v>8</v>
      </c>
      <c r="C25" s="475" t="s">
        <v>125</v>
      </c>
      <c r="D25" s="476"/>
      <c r="E25" s="477"/>
      <c r="F25" s="1594">
        <v>25.5</v>
      </c>
      <c r="G25" s="622">
        <f>$U25/12</f>
        <v>0</v>
      </c>
      <c r="H25" s="622">
        <f t="shared" ref="H25:R25" si="7">$U25/12</f>
        <v>0</v>
      </c>
      <c r="I25" s="622">
        <f t="shared" si="7"/>
        <v>0</v>
      </c>
      <c r="J25" s="622">
        <f t="shared" si="7"/>
        <v>0</v>
      </c>
      <c r="K25" s="622">
        <f t="shared" si="7"/>
        <v>0</v>
      </c>
      <c r="L25" s="622">
        <f t="shared" si="7"/>
        <v>0</v>
      </c>
      <c r="M25" s="622">
        <f t="shared" si="7"/>
        <v>0</v>
      </c>
      <c r="N25" s="622">
        <f t="shared" si="7"/>
        <v>0</v>
      </c>
      <c r="O25" s="622">
        <f t="shared" si="7"/>
        <v>0</v>
      </c>
      <c r="P25" s="622">
        <f t="shared" si="7"/>
        <v>0</v>
      </c>
      <c r="Q25" s="622">
        <f t="shared" si="7"/>
        <v>0</v>
      </c>
      <c r="R25" s="622">
        <f t="shared" si="7"/>
        <v>0</v>
      </c>
      <c r="S25" s="614">
        <f t="shared" si="6"/>
        <v>0</v>
      </c>
      <c r="T25" s="1002">
        <f t="shared" ref="T25:T42" si="8">U25-S25</f>
        <v>0</v>
      </c>
      <c r="U25" s="913">
        <f>-('2. &amp; 7. T2 TULOSSUUN. '!I16+'2. &amp; 7. T2 TULOSSUUN. '!I16*'9. T5 KASSABUDJETTI  '!F25/100)</f>
        <v>0</v>
      </c>
      <c r="V25" s="1007"/>
      <c r="Y25" s="33"/>
      <c r="AK25" s="33"/>
      <c r="AP25" s="1047"/>
      <c r="AQ25" s="1048"/>
      <c r="AR25" s="2093" t="s">
        <v>0</v>
      </c>
      <c r="AS25" s="2094"/>
      <c r="AT25" s="1049"/>
      <c r="AU25" s="1050"/>
      <c r="AV25" s="1051">
        <v>1.9099999999999999E-2</v>
      </c>
      <c r="AW25" s="1052">
        <v>0</v>
      </c>
      <c r="AX25" s="1053"/>
      <c r="AY25" s="2093" t="s">
        <v>0</v>
      </c>
      <c r="AZ25" s="2094"/>
      <c r="BA25" s="1049">
        <v>0</v>
      </c>
      <c r="BB25" s="1049"/>
      <c r="BC25" s="1054">
        <f>AV25</f>
        <v>1.9099999999999999E-2</v>
      </c>
      <c r="BD25" s="1055">
        <v>8.1900000000000001E-2</v>
      </c>
      <c r="BE25" s="1053"/>
      <c r="BF25" s="2095" t="s">
        <v>0</v>
      </c>
      <c r="BG25" s="2094"/>
      <c r="BH25" s="1049" t="s">
        <v>0</v>
      </c>
      <c r="BI25" s="1049"/>
      <c r="BJ25" s="1054">
        <f>AV25</f>
        <v>1.9099999999999999E-2</v>
      </c>
      <c r="BK25" s="1054">
        <f>BD25</f>
        <v>8.1900000000000001E-2</v>
      </c>
      <c r="BL25" s="1056"/>
      <c r="BM25" s="1057"/>
      <c r="BN25" s="1058">
        <f>BK25</f>
        <v>8.1900000000000001E-2</v>
      </c>
      <c r="BO25" s="1059"/>
    </row>
    <row r="26" spans="1:67" ht="12.6" customHeight="1" x14ac:dyDescent="0.2">
      <c r="B26" s="725" t="s">
        <v>9</v>
      </c>
      <c r="C26" s="2121" t="s">
        <v>351</v>
      </c>
      <c r="D26" s="2122"/>
      <c r="E26" s="2123"/>
      <c r="F26" s="1594">
        <v>25.5</v>
      </c>
      <c r="G26" s="622">
        <f>'1. T1 INVESTOINTISUUN.'!D20+'1. T1 INVESTOINTISUUN.'!D27+'1. T1 INVESTOINTISUUN.'!D32+IF('1. T1 INVESTOINTISUUN.'!D36=0,0,'1. T1 INVESTOINTISUUN.'!D35)</f>
        <v>0</v>
      </c>
      <c r="H26" s="622">
        <v>0</v>
      </c>
      <c r="I26" s="622">
        <v>0</v>
      </c>
      <c r="J26" s="622">
        <v>0</v>
      </c>
      <c r="K26" s="622">
        <v>0</v>
      </c>
      <c r="L26" s="622">
        <v>0</v>
      </c>
      <c r="M26" s="622">
        <v>0</v>
      </c>
      <c r="N26" s="622">
        <v>0</v>
      </c>
      <c r="O26" s="622">
        <v>0</v>
      </c>
      <c r="P26" s="622">
        <v>0</v>
      </c>
      <c r="Q26" s="622">
        <v>0</v>
      </c>
      <c r="R26" s="622"/>
      <c r="S26" s="614">
        <f t="shared" si="6"/>
        <v>0</v>
      </c>
      <c r="T26" s="1003" t="s">
        <v>0</v>
      </c>
      <c r="U26" s="1356"/>
      <c r="V26" s="1007"/>
      <c r="Y26" s="33"/>
      <c r="AP26" s="2091" t="s">
        <v>496</v>
      </c>
      <c r="AQ26" s="2092"/>
      <c r="AR26" s="815">
        <f>'5. E1 KUSTANNUKSET '!F12</f>
        <v>0</v>
      </c>
      <c r="AS26" s="1060">
        <f>'5. E1 KUSTANNUKSET '!F14*'5. E1 KUSTANNUKSET '!F15</f>
        <v>0</v>
      </c>
      <c r="AT26" s="1060">
        <f>AS26+AR26</f>
        <v>0</v>
      </c>
      <c r="AU26" s="1061">
        <f>'5. E1 KUSTANNUKSET '!F16</f>
        <v>0.28999999999999998</v>
      </c>
      <c r="AV26" s="1062">
        <f>(AU26+AV$25)*AT26</f>
        <v>0</v>
      </c>
      <c r="AW26" s="1052">
        <v>0</v>
      </c>
      <c r="AX26" s="1063">
        <f>AR26-AT26*AU26</f>
        <v>0</v>
      </c>
      <c r="AY26" s="815">
        <f>'5. E1 KUSTANNUKSET '!F17</f>
        <v>0</v>
      </c>
      <c r="AZ26" s="1060">
        <f>'5. E1 KUSTANNUKSET '!F22</f>
        <v>0</v>
      </c>
      <c r="BA26" s="1060">
        <f>AZ26+AY26</f>
        <v>0</v>
      </c>
      <c r="BB26" s="1061">
        <f>'5. E1 KUSTANNUKSET '!F23</f>
        <v>0.2</v>
      </c>
      <c r="BC26" s="1062">
        <f>(BB26+BC$25)*BA26</f>
        <v>0</v>
      </c>
      <c r="BD26" s="1064">
        <f>BD25*BA26</f>
        <v>0</v>
      </c>
      <c r="BE26" s="1063">
        <f>AY26-BA26*BB26-BD26</f>
        <v>0</v>
      </c>
      <c r="BF26" s="1016">
        <f>'5. E1 KUSTANNUKSET '!F24</f>
        <v>0</v>
      </c>
      <c r="BG26" s="1060">
        <f>'5. E1 KUSTANNUKSET '!F28</f>
        <v>0</v>
      </c>
      <c r="BH26" s="1060">
        <f>BG26+BF26</f>
        <v>0</v>
      </c>
      <c r="BI26" s="1061">
        <f>'5. E1 KUSTANNUKSET '!F29</f>
        <v>0.25</v>
      </c>
      <c r="BJ26" s="1062">
        <f>(BI26+BJ$25)*BH26</f>
        <v>0</v>
      </c>
      <c r="BK26" s="1064">
        <f>BK25*BH26</f>
        <v>0</v>
      </c>
      <c r="BL26" s="1063">
        <f>BF26-BH26*BI26-BK26</f>
        <v>0</v>
      </c>
      <c r="BM26" s="574">
        <f t="shared" ref="BM26:BO27" si="9">BJ26+BC26+AV26</f>
        <v>0</v>
      </c>
      <c r="BN26" s="1065">
        <f t="shared" si="9"/>
        <v>0</v>
      </c>
      <c r="BO26" s="1066">
        <f t="shared" si="9"/>
        <v>0</v>
      </c>
    </row>
    <row r="27" spans="1:67" ht="12.6" customHeight="1" x14ac:dyDescent="0.2">
      <c r="B27" s="725" t="s">
        <v>10</v>
      </c>
      <c r="C27" s="2148" t="s">
        <v>378</v>
      </c>
      <c r="D27" s="2149"/>
      <c r="E27" s="2150"/>
      <c r="F27" s="1594">
        <v>25.5</v>
      </c>
      <c r="G27" s="622">
        <f>$U27/12</f>
        <v>0</v>
      </c>
      <c r="H27" s="622">
        <f>$U27/12</f>
        <v>0</v>
      </c>
      <c r="I27" s="622">
        <f t="shared" ref="H27:R28" si="10">$U27/12</f>
        <v>0</v>
      </c>
      <c r="J27" s="622">
        <f t="shared" si="10"/>
        <v>0</v>
      </c>
      <c r="K27" s="622">
        <f t="shared" si="10"/>
        <v>0</v>
      </c>
      <c r="L27" s="622">
        <f t="shared" si="10"/>
        <v>0</v>
      </c>
      <c r="M27" s="622">
        <f t="shared" si="10"/>
        <v>0</v>
      </c>
      <c r="N27" s="622">
        <f t="shared" si="10"/>
        <v>0</v>
      </c>
      <c r="O27" s="622">
        <f t="shared" si="10"/>
        <v>0</v>
      </c>
      <c r="P27" s="622">
        <f t="shared" si="10"/>
        <v>0</v>
      </c>
      <c r="Q27" s="622">
        <f t="shared" si="10"/>
        <v>0</v>
      </c>
      <c r="R27" s="622">
        <f t="shared" si="10"/>
        <v>0</v>
      </c>
      <c r="S27" s="614">
        <f t="shared" si="6"/>
        <v>0</v>
      </c>
      <c r="T27" s="1002">
        <f t="shared" si="8"/>
        <v>0</v>
      </c>
      <c r="U27" s="913">
        <f>'5. E1 KUSTANNUKSET '!F53+'5. E1 KUSTANNUKSET '!F53*'9. T5 KASSABUDJETTI  '!F27/100</f>
        <v>0</v>
      </c>
      <c r="V27" s="1007"/>
      <c r="Y27" s="33"/>
      <c r="AP27" s="2091" t="s">
        <v>497</v>
      </c>
      <c r="AQ27" s="2092"/>
      <c r="AR27" s="815">
        <f>'5. E1 KUSTANNUKSET '!H12</f>
        <v>0</v>
      </c>
      <c r="AS27" s="1060">
        <f>'5. E1 KUSTANNUKSET '!H14*'5. E1 KUSTANNUKSET '!H15</f>
        <v>0</v>
      </c>
      <c r="AT27" s="1060">
        <f>AS27+AR27</f>
        <v>0</v>
      </c>
      <c r="AU27" s="1061">
        <f>'5. E1 KUSTANNUKSET '!H16</f>
        <v>0.28999999999999998</v>
      </c>
      <c r="AV27" s="1067">
        <f>(AU27+AV$25)*AT27</f>
        <v>0</v>
      </c>
      <c r="AW27" s="1054">
        <v>0</v>
      </c>
      <c r="AX27" s="1063">
        <f>AR27-AT27*AU27</f>
        <v>0</v>
      </c>
      <c r="AY27" s="815">
        <f>'5. E1 KUSTANNUKSET '!H17</f>
        <v>0</v>
      </c>
      <c r="AZ27" s="1060">
        <f>'5. E1 KUSTANNUKSET '!H22</f>
        <v>0</v>
      </c>
      <c r="BA27" s="1060">
        <f>AZ27+AY27</f>
        <v>0</v>
      </c>
      <c r="BB27" s="1061">
        <f>'5. E1 KUSTANNUKSET '!H23</f>
        <v>0.2</v>
      </c>
      <c r="BC27" s="1067">
        <f>(BB27+BC$25)*BA27</f>
        <v>0</v>
      </c>
      <c r="BD27" s="1064">
        <f>BA27*BD25</f>
        <v>0</v>
      </c>
      <c r="BE27" s="1063">
        <f>AY27-BA27*BB27-BD27</f>
        <v>0</v>
      </c>
      <c r="BF27" s="1016">
        <f>'5. E1 KUSTANNUKSET '!H24</f>
        <v>0</v>
      </c>
      <c r="BG27" s="1060">
        <f>'5. E1 KUSTANNUKSET '!H28</f>
        <v>0</v>
      </c>
      <c r="BH27" s="1060">
        <f>BG27+BF27</f>
        <v>0</v>
      </c>
      <c r="BI27" s="1061">
        <f>'5. E1 KUSTANNUKSET '!H29</f>
        <v>0.25</v>
      </c>
      <c r="BJ27" s="1067">
        <f>(BI27+BJ$25)*BH27</f>
        <v>0</v>
      </c>
      <c r="BK27" s="1064">
        <f>BH27*BK25</f>
        <v>0</v>
      </c>
      <c r="BL27" s="1063">
        <f>BF27-BH27*BI27-BK27</f>
        <v>0</v>
      </c>
      <c r="BM27" s="574">
        <f t="shared" si="9"/>
        <v>0</v>
      </c>
      <c r="BN27" s="1065">
        <f t="shared" si="9"/>
        <v>0</v>
      </c>
      <c r="BO27" s="1066">
        <f t="shared" si="9"/>
        <v>0</v>
      </c>
    </row>
    <row r="28" spans="1:67" ht="12.6" customHeight="1" x14ac:dyDescent="0.2">
      <c r="B28" s="725" t="s">
        <v>11</v>
      </c>
      <c r="C28" s="2121" t="s">
        <v>533</v>
      </c>
      <c r="D28" s="2122"/>
      <c r="E28" s="2123"/>
      <c r="F28" s="1594">
        <v>25.5</v>
      </c>
      <c r="G28" s="622">
        <f>$U28/12</f>
        <v>0</v>
      </c>
      <c r="H28" s="622">
        <f t="shared" si="10"/>
        <v>0</v>
      </c>
      <c r="I28" s="622">
        <f t="shared" si="10"/>
        <v>0</v>
      </c>
      <c r="J28" s="622">
        <f t="shared" si="10"/>
        <v>0</v>
      </c>
      <c r="K28" s="622">
        <f t="shared" si="10"/>
        <v>0</v>
      </c>
      <c r="L28" s="622">
        <f t="shared" si="10"/>
        <v>0</v>
      </c>
      <c r="M28" s="622">
        <f t="shared" si="10"/>
        <v>0</v>
      </c>
      <c r="N28" s="622">
        <f t="shared" si="10"/>
        <v>0</v>
      </c>
      <c r="O28" s="622">
        <f t="shared" si="10"/>
        <v>0</v>
      </c>
      <c r="P28" s="622">
        <f t="shared" si="10"/>
        <v>0</v>
      </c>
      <c r="Q28" s="622">
        <f t="shared" si="10"/>
        <v>0</v>
      </c>
      <c r="R28" s="622">
        <f t="shared" si="10"/>
        <v>0</v>
      </c>
      <c r="S28" s="614">
        <f t="shared" si="6"/>
        <v>0</v>
      </c>
      <c r="T28" s="1002">
        <f t="shared" si="8"/>
        <v>0</v>
      </c>
      <c r="U28" s="913">
        <f>'5. E1 KUSTANNUKSET '!F64+'5. E1 KUSTANNUKSET '!F64*'9. T5 KASSABUDJETTI  '!F28/100</f>
        <v>0</v>
      </c>
      <c r="V28" s="1007"/>
      <c r="Y28" s="33"/>
    </row>
    <row r="29" spans="1:67" ht="12.6" customHeight="1" x14ac:dyDescent="0.2">
      <c r="B29" s="725" t="s">
        <v>115</v>
      </c>
      <c r="C29" s="2121" t="s">
        <v>477</v>
      </c>
      <c r="D29" s="2122"/>
      <c r="E29" s="2123"/>
      <c r="F29" s="1604">
        <f>'AT2 Lainat,sotum., alv-osto'!D81*100</f>
        <v>0</v>
      </c>
      <c r="G29" s="622">
        <f>$U29/12</f>
        <v>0</v>
      </c>
      <c r="H29" s="622">
        <f t="shared" ref="H29:Q29" si="11">$U29/12</f>
        <v>0</v>
      </c>
      <c r="I29" s="622">
        <f t="shared" si="11"/>
        <v>0</v>
      </c>
      <c r="J29" s="622">
        <f t="shared" si="11"/>
        <v>0</v>
      </c>
      <c r="K29" s="622">
        <f t="shared" si="11"/>
        <v>0</v>
      </c>
      <c r="L29" s="622">
        <f t="shared" si="11"/>
        <v>0</v>
      </c>
      <c r="M29" s="622">
        <f t="shared" si="11"/>
        <v>0</v>
      </c>
      <c r="N29" s="622">
        <f t="shared" si="11"/>
        <v>0</v>
      </c>
      <c r="O29" s="622">
        <f t="shared" si="11"/>
        <v>0</v>
      </c>
      <c r="P29" s="622">
        <f t="shared" si="11"/>
        <v>0</v>
      </c>
      <c r="Q29" s="622">
        <f t="shared" si="11"/>
        <v>0</v>
      </c>
      <c r="R29" s="622">
        <f>$U29/12</f>
        <v>0</v>
      </c>
      <c r="S29" s="614">
        <f t="shared" ref="S29:S38" si="12">SUM(G29:R29)</f>
        <v>0</v>
      </c>
      <c r="T29" s="1002">
        <f t="shared" si="8"/>
        <v>0</v>
      </c>
      <c r="U29" s="1357">
        <f>'AT2 Lainat,sotum., alv-osto'!D79</f>
        <v>0</v>
      </c>
      <c r="V29" s="1069"/>
      <c r="Y29" s="33"/>
    </row>
    <row r="30" spans="1:67" ht="12.6" customHeight="1" x14ac:dyDescent="0.2">
      <c r="B30" s="725" t="s">
        <v>116</v>
      </c>
      <c r="C30" s="2121" t="s">
        <v>631</v>
      </c>
      <c r="D30" s="2130"/>
      <c r="E30" s="2131"/>
      <c r="F30" s="1348"/>
      <c r="G30" s="623">
        <f>'3. T3 TASE '!G86/2</f>
        <v>0</v>
      </c>
      <c r="H30" s="623">
        <f>G30</f>
        <v>0</v>
      </c>
      <c r="I30" s="623">
        <f>'AT1 Avustus, alv-laskenta '!K26</f>
        <v>0</v>
      </c>
      <c r="J30" s="623">
        <f>'AT1 Avustus, alv-laskenta '!L26</f>
        <v>0</v>
      </c>
      <c r="K30" s="623">
        <f>'AT1 Avustus, alv-laskenta '!M26</f>
        <v>0</v>
      </c>
      <c r="L30" s="623">
        <f>'AT1 Avustus, alv-laskenta '!N26</f>
        <v>0</v>
      </c>
      <c r="M30" s="623">
        <f>'AT1 Avustus, alv-laskenta '!O26</f>
        <v>0</v>
      </c>
      <c r="N30" s="623">
        <f>'AT1 Avustus, alv-laskenta '!P26</f>
        <v>0</v>
      </c>
      <c r="O30" s="623">
        <f>'AT1 Avustus, alv-laskenta '!Q26</f>
        <v>0</v>
      </c>
      <c r="P30" s="623">
        <f>'AT1 Avustus, alv-laskenta '!R26</f>
        <v>0</v>
      </c>
      <c r="Q30" s="623">
        <f>'AT1 Avustus, alv-laskenta '!S26</f>
        <v>0</v>
      </c>
      <c r="R30" s="623">
        <f>'AT1 Avustus, alv-laskenta '!T$26</f>
        <v>0</v>
      </c>
      <c r="S30" s="614">
        <f t="shared" si="12"/>
        <v>0</v>
      </c>
      <c r="T30" s="1004" t="s">
        <v>0</v>
      </c>
      <c r="U30" s="1358"/>
      <c r="V30" s="1007"/>
      <c r="Y30" s="33"/>
    </row>
    <row r="31" spans="1:67" ht="12.6" customHeight="1" x14ac:dyDescent="0.2">
      <c r="B31" s="2165">
        <v>13</v>
      </c>
      <c r="C31" s="2162" t="s">
        <v>750</v>
      </c>
      <c r="D31" s="2163"/>
      <c r="E31" s="2164"/>
      <c r="F31" s="1772"/>
      <c r="G31" s="1773">
        <f>U31/'5. E1 KUSTANNUKSET '!F15</f>
        <v>0</v>
      </c>
      <c r="H31" s="1773">
        <f>G31</f>
        <v>0</v>
      </c>
      <c r="I31" s="1773">
        <f t="shared" ref="I31:R31" si="13">H31</f>
        <v>0</v>
      </c>
      <c r="J31" s="1773">
        <f t="shared" si="13"/>
        <v>0</v>
      </c>
      <c r="K31" s="1773">
        <f t="shared" si="13"/>
        <v>0</v>
      </c>
      <c r="L31" s="1773">
        <f t="shared" si="13"/>
        <v>0</v>
      </c>
      <c r="M31" s="1773">
        <f>1.5*L31</f>
        <v>0</v>
      </c>
      <c r="N31" s="1773">
        <f>L31</f>
        <v>0</v>
      </c>
      <c r="O31" s="1773">
        <f t="shared" si="13"/>
        <v>0</v>
      </c>
      <c r="P31" s="1773">
        <f t="shared" si="13"/>
        <v>0</v>
      </c>
      <c r="Q31" s="1773">
        <f t="shared" si="13"/>
        <v>0</v>
      </c>
      <c r="R31" s="1773">
        <f t="shared" si="13"/>
        <v>0</v>
      </c>
      <c r="S31" s="614">
        <f t="shared" si="12"/>
        <v>0</v>
      </c>
      <c r="T31" s="1775">
        <f t="shared" ref="T31" si="14">U31-S31</f>
        <v>0</v>
      </c>
      <c r="U31" s="1776">
        <f>'5. E1 KUSTANNUKSET '!F12</f>
        <v>0</v>
      </c>
      <c r="V31" s="1006"/>
      <c r="Y31" s="33"/>
    </row>
    <row r="32" spans="1:67" ht="12.6" customHeight="1" x14ac:dyDescent="0.2">
      <c r="B32" s="2166"/>
      <c r="C32" s="2162" t="s">
        <v>751</v>
      </c>
      <c r="D32" s="2163"/>
      <c r="E32" s="2164"/>
      <c r="F32" s="1234">
        <v>26.1</v>
      </c>
      <c r="G32" s="1778">
        <f>$F32/100*G31</f>
        <v>0</v>
      </c>
      <c r="H32" s="1778">
        <f t="shared" ref="H32:R32" si="15">$F32/100*H31</f>
        <v>0</v>
      </c>
      <c r="I32" s="1778">
        <f t="shared" si="15"/>
        <v>0</v>
      </c>
      <c r="J32" s="1778">
        <f t="shared" si="15"/>
        <v>0</v>
      </c>
      <c r="K32" s="1778">
        <f t="shared" si="15"/>
        <v>0</v>
      </c>
      <c r="L32" s="1778">
        <f t="shared" si="15"/>
        <v>0</v>
      </c>
      <c r="M32" s="1778">
        <f t="shared" si="15"/>
        <v>0</v>
      </c>
      <c r="N32" s="1778">
        <f t="shared" si="15"/>
        <v>0</v>
      </c>
      <c r="O32" s="1778">
        <f t="shared" si="15"/>
        <v>0</v>
      </c>
      <c r="P32" s="1778">
        <f t="shared" si="15"/>
        <v>0</v>
      </c>
      <c r="Q32" s="1778">
        <f t="shared" si="15"/>
        <v>0</v>
      </c>
      <c r="R32" s="1778">
        <f t="shared" si="15"/>
        <v>0</v>
      </c>
      <c r="S32" s="614">
        <f t="shared" si="12"/>
        <v>0</v>
      </c>
      <c r="T32" s="1779"/>
      <c r="U32" s="1780"/>
      <c r="V32" s="1006"/>
      <c r="Y32" s="33"/>
    </row>
    <row r="33" spans="2:56" ht="12.6" customHeight="1" x14ac:dyDescent="0.2">
      <c r="B33" s="1768">
        <v>14</v>
      </c>
      <c r="C33" s="1769" t="s">
        <v>752</v>
      </c>
      <c r="D33" s="1770"/>
      <c r="E33" s="1771"/>
      <c r="F33" s="1781"/>
      <c r="G33" s="1773">
        <f>U33/'5. E1 KUSTANNUKSET '!F21</f>
        <v>0</v>
      </c>
      <c r="H33" s="1773">
        <f>G33</f>
        <v>0</v>
      </c>
      <c r="I33" s="1773">
        <f t="shared" ref="I33:L33" si="16">H33</f>
        <v>0</v>
      </c>
      <c r="J33" s="1773">
        <f t="shared" si="16"/>
        <v>0</v>
      </c>
      <c r="K33" s="1773">
        <f t="shared" si="16"/>
        <v>0</v>
      </c>
      <c r="L33" s="1773">
        <f t="shared" si="16"/>
        <v>0</v>
      </c>
      <c r="M33" s="1773">
        <f>1.5*L33</f>
        <v>0</v>
      </c>
      <c r="N33" s="1773">
        <f>L33</f>
        <v>0</v>
      </c>
      <c r="O33" s="1773">
        <f>N33</f>
        <v>0</v>
      </c>
      <c r="P33" s="1773">
        <f t="shared" ref="P33:R33" si="17">O33</f>
        <v>0</v>
      </c>
      <c r="Q33" s="1773">
        <f t="shared" si="17"/>
        <v>0</v>
      </c>
      <c r="R33" s="1773">
        <f t="shared" si="17"/>
        <v>0</v>
      </c>
      <c r="S33" s="614">
        <f t="shared" si="12"/>
        <v>0</v>
      </c>
      <c r="T33" s="1782">
        <f>U33-S33-S34</f>
        <v>0</v>
      </c>
      <c r="U33" s="1776">
        <f>'5. E1 KUSTANNUKSET '!F17+'5. E1 KUSTANNUKSET '!F24</f>
        <v>0</v>
      </c>
      <c r="V33" s="1006"/>
      <c r="Y33" s="33"/>
    </row>
    <row r="34" spans="2:56" ht="12.6" customHeight="1" x14ac:dyDescent="0.2">
      <c r="B34" s="1783">
        <v>15</v>
      </c>
      <c r="C34" s="1769" t="s">
        <v>753</v>
      </c>
      <c r="D34" s="1770"/>
      <c r="E34" s="1771"/>
      <c r="F34" s="1781"/>
      <c r="G34" s="1773"/>
      <c r="H34" s="1773"/>
      <c r="I34" s="1773"/>
      <c r="J34" s="1773"/>
      <c r="K34" s="1773"/>
      <c r="L34" s="1773"/>
      <c r="M34" s="1773"/>
      <c r="N34" s="1773"/>
      <c r="O34" s="1773"/>
      <c r="P34" s="1773"/>
      <c r="Q34" s="1773"/>
      <c r="R34" s="1773"/>
      <c r="S34" s="614">
        <f t="shared" si="12"/>
        <v>0</v>
      </c>
      <c r="T34" s="1005" t="s">
        <v>0</v>
      </c>
      <c r="U34" s="1006"/>
      <c r="V34" s="1006"/>
      <c r="Y34" s="33"/>
    </row>
    <row r="35" spans="2:56" ht="12.6" customHeight="1" x14ac:dyDescent="0.2">
      <c r="B35" s="1777">
        <v>16</v>
      </c>
      <c r="C35" s="1769" t="s">
        <v>754</v>
      </c>
      <c r="D35" s="1770"/>
      <c r="E35" s="1771"/>
      <c r="F35" s="1235">
        <v>19</v>
      </c>
      <c r="G35" s="1778">
        <f>$F35/100*(G33+G34)</f>
        <v>0</v>
      </c>
      <c r="H35" s="1778">
        <f>$F35/100*(H33+H34)</f>
        <v>0</v>
      </c>
      <c r="I35" s="1778">
        <f>$F35/100*(I33+I34)</f>
        <v>0</v>
      </c>
      <c r="J35" s="1778">
        <f>$F35/100*(J33+J34)</f>
        <v>0</v>
      </c>
      <c r="K35" s="1778">
        <f t="shared" ref="K35:R35" si="18">$F35/100*(K33+K34)</f>
        <v>0</v>
      </c>
      <c r="L35" s="1778">
        <f t="shared" si="18"/>
        <v>0</v>
      </c>
      <c r="M35" s="1778">
        <f t="shared" si="18"/>
        <v>0</v>
      </c>
      <c r="N35" s="1778">
        <f t="shared" si="18"/>
        <v>0</v>
      </c>
      <c r="O35" s="1778">
        <f t="shared" si="18"/>
        <v>0</v>
      </c>
      <c r="P35" s="1778">
        <f t="shared" si="18"/>
        <v>0</v>
      </c>
      <c r="Q35" s="1778">
        <f t="shared" si="18"/>
        <v>0</v>
      </c>
      <c r="R35" s="1778">
        <f t="shared" si="18"/>
        <v>0</v>
      </c>
      <c r="S35" s="614">
        <f t="shared" si="12"/>
        <v>0</v>
      </c>
      <c r="T35" s="1005"/>
      <c r="U35" s="1006"/>
      <c r="V35" s="1007"/>
      <c r="Y35" s="33"/>
    </row>
    <row r="36" spans="2:56" x14ac:dyDescent="0.2">
      <c r="B36" s="1777">
        <v>17</v>
      </c>
      <c r="C36" s="2162" t="s">
        <v>757</v>
      </c>
      <c r="D36" s="2163"/>
      <c r="E36" s="2163"/>
      <c r="F36" s="1785"/>
      <c r="G36" s="1786">
        <f>$U36/12</f>
        <v>0</v>
      </c>
      <c r="H36" s="1786">
        <f t="shared" ref="H36:R36" si="19">$U36/12</f>
        <v>0</v>
      </c>
      <c r="I36" s="1786">
        <f t="shared" si="19"/>
        <v>0</v>
      </c>
      <c r="J36" s="1786">
        <f t="shared" si="19"/>
        <v>0</v>
      </c>
      <c r="K36" s="1786">
        <f t="shared" si="19"/>
        <v>0</v>
      </c>
      <c r="L36" s="1786">
        <f t="shared" si="19"/>
        <v>0</v>
      </c>
      <c r="M36" s="1786">
        <f t="shared" si="19"/>
        <v>0</v>
      </c>
      <c r="N36" s="1786">
        <f t="shared" si="19"/>
        <v>0</v>
      </c>
      <c r="O36" s="1786">
        <f t="shared" si="19"/>
        <v>0</v>
      </c>
      <c r="P36" s="1786">
        <f t="shared" si="19"/>
        <v>0</v>
      </c>
      <c r="Q36" s="1786">
        <f t="shared" si="19"/>
        <v>0</v>
      </c>
      <c r="R36" s="1786">
        <f t="shared" si="19"/>
        <v>0</v>
      </c>
      <c r="S36" s="1774">
        <f t="shared" si="12"/>
        <v>0</v>
      </c>
      <c r="T36" s="1002">
        <f>U36-S36</f>
        <v>0</v>
      </c>
      <c r="U36" s="696">
        <f>'5. E1 KUSTANNUKSET '!F$38+'5. E1 KUSTANNUKSET '!F$43+'5. E1 KUSTANNUKSET '!F$42</f>
        <v>0</v>
      </c>
      <c r="V36" s="1007"/>
      <c r="W36" s="46"/>
      <c r="BD36" s="33"/>
    </row>
    <row r="37" spans="2:56" ht="12.6" customHeight="1" x14ac:dyDescent="0.2">
      <c r="B37" s="725">
        <v>18</v>
      </c>
      <c r="C37" s="1192" t="s">
        <v>376</v>
      </c>
      <c r="D37" s="1229"/>
      <c r="E37" s="1229"/>
      <c r="F37" s="1348"/>
      <c r="G37" s="622">
        <f>$U37/12</f>
        <v>0</v>
      </c>
      <c r="H37" s="622">
        <f t="shared" ref="H37:R37" si="20">$U37/12</f>
        <v>0</v>
      </c>
      <c r="I37" s="622">
        <f t="shared" si="20"/>
        <v>0</v>
      </c>
      <c r="J37" s="622">
        <f t="shared" si="20"/>
        <v>0</v>
      </c>
      <c r="K37" s="622">
        <f t="shared" si="20"/>
        <v>0</v>
      </c>
      <c r="L37" s="622">
        <f t="shared" si="20"/>
        <v>0</v>
      </c>
      <c r="M37" s="622">
        <f t="shared" si="20"/>
        <v>0</v>
      </c>
      <c r="N37" s="622">
        <f t="shared" si="20"/>
        <v>0</v>
      </c>
      <c r="O37" s="622">
        <f t="shared" si="20"/>
        <v>0</v>
      </c>
      <c r="P37" s="622">
        <f t="shared" si="20"/>
        <v>0</v>
      </c>
      <c r="Q37" s="622">
        <f t="shared" si="20"/>
        <v>0</v>
      </c>
      <c r="R37" s="622">
        <f t="shared" si="20"/>
        <v>0</v>
      </c>
      <c r="S37" s="614">
        <f t="shared" si="12"/>
        <v>0</v>
      </c>
      <c r="T37" s="1002">
        <f t="shared" si="8"/>
        <v>0</v>
      </c>
      <c r="U37" s="913">
        <f>'5. E1 KUSTANNUKSET '!F122</f>
        <v>0</v>
      </c>
      <c r="V37" s="1007"/>
      <c r="Y37" s="33"/>
    </row>
    <row r="38" spans="2:56" ht="12.6" customHeight="1" x14ac:dyDescent="0.2">
      <c r="B38" s="725">
        <f t="shared" ref="B38:B44" si="21">B37+1</f>
        <v>19</v>
      </c>
      <c r="C38" s="475" t="s">
        <v>377</v>
      </c>
      <c r="D38" s="1191"/>
      <c r="E38" s="1191"/>
      <c r="F38" s="1348"/>
      <c r="G38" s="622">
        <f>$U38/12</f>
        <v>0</v>
      </c>
      <c r="H38" s="622">
        <f t="shared" ref="H38:R40" si="22">$U38/12</f>
        <v>0</v>
      </c>
      <c r="I38" s="622">
        <f t="shared" si="22"/>
        <v>0</v>
      </c>
      <c r="J38" s="622">
        <f t="shared" si="22"/>
        <v>0</v>
      </c>
      <c r="K38" s="622">
        <f t="shared" si="22"/>
        <v>0</v>
      </c>
      <c r="L38" s="622">
        <f t="shared" si="22"/>
        <v>0</v>
      </c>
      <c r="M38" s="622">
        <f t="shared" si="22"/>
        <v>0</v>
      </c>
      <c r="N38" s="622">
        <f t="shared" si="22"/>
        <v>0</v>
      </c>
      <c r="O38" s="622">
        <f t="shared" si="22"/>
        <v>0</v>
      </c>
      <c r="P38" s="622">
        <f t="shared" si="22"/>
        <v>0</v>
      </c>
      <c r="Q38" s="622">
        <f t="shared" si="22"/>
        <v>0</v>
      </c>
      <c r="R38" s="622">
        <f t="shared" si="22"/>
        <v>0</v>
      </c>
      <c r="S38" s="614">
        <f t="shared" si="12"/>
        <v>0</v>
      </c>
      <c r="T38" s="1002">
        <f t="shared" si="8"/>
        <v>0</v>
      </c>
      <c r="U38" s="913">
        <f>'AT2 Lainat,sotum., alv-osto'!D84</f>
        <v>0</v>
      </c>
      <c r="V38" s="1007"/>
      <c r="Y38" s="33"/>
    </row>
    <row r="39" spans="2:56" ht="12.6" customHeight="1" x14ac:dyDescent="0.2">
      <c r="B39" s="725">
        <f t="shared" si="21"/>
        <v>20</v>
      </c>
      <c r="C39" s="2121" t="s">
        <v>557</v>
      </c>
      <c r="D39" s="2130"/>
      <c r="E39" s="2131"/>
      <c r="F39" s="1348"/>
      <c r="G39" s="622">
        <f>$U39/12</f>
        <v>0</v>
      </c>
      <c r="H39" s="622">
        <f t="shared" si="22"/>
        <v>0</v>
      </c>
      <c r="I39" s="622">
        <f t="shared" si="22"/>
        <v>0</v>
      </c>
      <c r="J39" s="622">
        <f t="shared" si="22"/>
        <v>0</v>
      </c>
      <c r="K39" s="622">
        <f t="shared" si="22"/>
        <v>0</v>
      </c>
      <c r="L39" s="622">
        <f t="shared" si="22"/>
        <v>0</v>
      </c>
      <c r="M39" s="622">
        <f t="shared" si="22"/>
        <v>0</v>
      </c>
      <c r="N39" s="622">
        <f t="shared" si="22"/>
        <v>0</v>
      </c>
      <c r="O39" s="622">
        <f t="shared" si="22"/>
        <v>0</v>
      </c>
      <c r="P39" s="622">
        <f t="shared" si="22"/>
        <v>0</v>
      </c>
      <c r="Q39" s="622">
        <f t="shared" si="22"/>
        <v>0</v>
      </c>
      <c r="R39" s="622">
        <f t="shared" si="22"/>
        <v>0</v>
      </c>
      <c r="S39" s="614">
        <f t="shared" ref="S39:S44" si="23">SUM(G39:R39)</f>
        <v>0</v>
      </c>
      <c r="T39" s="1002">
        <f t="shared" si="8"/>
        <v>0</v>
      </c>
      <c r="U39" s="913">
        <f>'4. T7 LAINAT '!H18+'4. T7 LAINAT '!H39</f>
        <v>0</v>
      </c>
      <c r="V39" s="1007"/>
      <c r="Y39" s="33"/>
    </row>
    <row r="40" spans="2:56" ht="12.6" customHeight="1" thickBot="1" x14ac:dyDescent="0.25">
      <c r="B40" s="725">
        <f t="shared" si="21"/>
        <v>21</v>
      </c>
      <c r="C40" s="1467" t="s">
        <v>558</v>
      </c>
      <c r="D40" s="1191"/>
      <c r="E40" s="1191"/>
      <c r="F40" s="1348"/>
      <c r="G40" s="622">
        <f>$U40/12</f>
        <v>0</v>
      </c>
      <c r="H40" s="622">
        <f t="shared" si="22"/>
        <v>0</v>
      </c>
      <c r="I40" s="622">
        <f t="shared" si="22"/>
        <v>0</v>
      </c>
      <c r="J40" s="622">
        <f t="shared" si="22"/>
        <v>0</v>
      </c>
      <c r="K40" s="622">
        <f t="shared" si="22"/>
        <v>0</v>
      </c>
      <c r="L40" s="622">
        <f t="shared" si="22"/>
        <v>0</v>
      </c>
      <c r="M40" s="622">
        <f t="shared" si="22"/>
        <v>0</v>
      </c>
      <c r="N40" s="622">
        <f t="shared" si="22"/>
        <v>0</v>
      </c>
      <c r="O40" s="622">
        <f t="shared" si="22"/>
        <v>0</v>
      </c>
      <c r="P40" s="622">
        <f t="shared" si="22"/>
        <v>0</v>
      </c>
      <c r="Q40" s="622">
        <f t="shared" si="22"/>
        <v>0</v>
      </c>
      <c r="R40" s="622">
        <f t="shared" si="22"/>
        <v>0</v>
      </c>
      <c r="S40" s="614">
        <f t="shared" si="23"/>
        <v>0</v>
      </c>
      <c r="T40" s="1002">
        <f t="shared" si="8"/>
        <v>0</v>
      </c>
      <c r="U40" s="913">
        <f>-'2. &amp; 7. T2 TULOSSUUN. '!I27</f>
        <v>0</v>
      </c>
      <c r="V40" s="1007"/>
      <c r="Y40" s="33"/>
    </row>
    <row r="41" spans="2:56" ht="12.6" customHeight="1" thickBot="1" x14ac:dyDescent="0.25">
      <c r="B41" s="725">
        <f t="shared" si="21"/>
        <v>22</v>
      </c>
      <c r="C41" s="475" t="s">
        <v>746</v>
      </c>
      <c r="D41" s="1191"/>
      <c r="E41" s="1191"/>
      <c r="F41" s="1348"/>
      <c r="G41" s="622">
        <f>IF('1. T1 INVESTOINTISUUN.'!D36=0,'1. T1 INVESTOINTISUUN.'!D35)+'1. T1 INVESTOINTISUUN.'!D30+'1. T1 INVESTOINTISUUN.'!D24+'1. T1 INVESTOINTISUUN.'!D17</f>
        <v>0</v>
      </c>
      <c r="H41" s="622"/>
      <c r="I41" s="622"/>
      <c r="J41" s="622"/>
      <c r="K41" s="622"/>
      <c r="L41" s="622"/>
      <c r="M41" s="622"/>
      <c r="N41" s="622"/>
      <c r="O41" s="622"/>
      <c r="P41" s="622"/>
      <c r="Q41" s="622"/>
      <c r="R41" s="622"/>
      <c r="S41" s="614">
        <f>SUM(G41:R41)</f>
        <v>0</v>
      </c>
      <c r="T41" s="1003" t="s">
        <v>0</v>
      </c>
      <c r="U41" s="1358"/>
      <c r="V41" s="1007"/>
      <c r="W41" s="2176"/>
      <c r="X41" s="2176"/>
      <c r="Y41" s="1226"/>
      <c r="Z41" s="1436">
        <f t="shared" ref="Z41:AK41" si="24">G9</f>
        <v>46388</v>
      </c>
      <c r="AA41" s="1436">
        <f t="shared" si="24"/>
        <v>46419</v>
      </c>
      <c r="AB41" s="1436">
        <f t="shared" si="24"/>
        <v>46450</v>
      </c>
      <c r="AC41" s="1436">
        <f t="shared" si="24"/>
        <v>46481</v>
      </c>
      <c r="AD41" s="1436">
        <f t="shared" si="24"/>
        <v>46512</v>
      </c>
      <c r="AE41" s="1436">
        <f t="shared" si="24"/>
        <v>46543</v>
      </c>
      <c r="AF41" s="1436">
        <f t="shared" si="24"/>
        <v>46574</v>
      </c>
      <c r="AG41" s="1436">
        <f t="shared" si="24"/>
        <v>46605</v>
      </c>
      <c r="AH41" s="1436">
        <f t="shared" si="24"/>
        <v>46636</v>
      </c>
      <c r="AI41" s="1436">
        <f t="shared" si="24"/>
        <v>46667</v>
      </c>
      <c r="AJ41" s="1436">
        <f t="shared" si="24"/>
        <v>46698</v>
      </c>
      <c r="AK41" s="1436">
        <f t="shared" si="24"/>
        <v>46729</v>
      </c>
      <c r="AL41" s="1437" t="s">
        <v>103</v>
      </c>
    </row>
    <row r="42" spans="2:56" ht="12.6" customHeight="1" x14ac:dyDescent="0.2">
      <c r="B42" s="725">
        <f t="shared" si="21"/>
        <v>23</v>
      </c>
      <c r="C42" s="475" t="s">
        <v>380</v>
      </c>
      <c r="D42" s="1191"/>
      <c r="E42" s="1191"/>
      <c r="F42" s="1348"/>
      <c r="G42" s="622">
        <f>$U42/12</f>
        <v>0</v>
      </c>
      <c r="H42" s="622">
        <f t="shared" ref="H42:R42" si="25">$U42/12</f>
        <v>0</v>
      </c>
      <c r="I42" s="622">
        <f t="shared" si="25"/>
        <v>0</v>
      </c>
      <c r="J42" s="622">
        <f t="shared" si="25"/>
        <v>0</v>
      </c>
      <c r="K42" s="622">
        <f t="shared" si="25"/>
        <v>0</v>
      </c>
      <c r="L42" s="622">
        <f t="shared" si="25"/>
        <v>0</v>
      </c>
      <c r="M42" s="622">
        <f t="shared" si="25"/>
        <v>0</v>
      </c>
      <c r="N42" s="622">
        <f>$U42/12</f>
        <v>0</v>
      </c>
      <c r="O42" s="622">
        <f t="shared" si="25"/>
        <v>0</v>
      </c>
      <c r="P42" s="622">
        <f t="shared" si="25"/>
        <v>0</v>
      </c>
      <c r="Q42" s="622">
        <f t="shared" si="25"/>
        <v>0</v>
      </c>
      <c r="R42" s="622">
        <f t="shared" si="25"/>
        <v>0</v>
      </c>
      <c r="S42" s="614">
        <f>SUM(G42:R42)</f>
        <v>0</v>
      </c>
      <c r="T42" s="1002">
        <f t="shared" si="8"/>
        <v>0</v>
      </c>
      <c r="U42" s="913">
        <f>'5. E1 KUSTANNUKSET '!D120</f>
        <v>0</v>
      </c>
      <c r="V42" s="1007"/>
      <c r="W42" s="2177" t="s">
        <v>344</v>
      </c>
      <c r="X42" s="2177"/>
      <c r="Y42" s="2178"/>
      <c r="Z42" s="628">
        <f t="shared" ref="Z42:AK43" si="26">G56</f>
        <v>0</v>
      </c>
      <c r="AA42" s="628">
        <f t="shared" si="26"/>
        <v>0</v>
      </c>
      <c r="AB42" s="628">
        <f t="shared" si="26"/>
        <v>0</v>
      </c>
      <c r="AC42" s="628">
        <f t="shared" si="26"/>
        <v>0</v>
      </c>
      <c r="AD42" s="628">
        <f t="shared" si="26"/>
        <v>0</v>
      </c>
      <c r="AE42" s="628">
        <f t="shared" si="26"/>
        <v>0</v>
      </c>
      <c r="AF42" s="628">
        <f t="shared" si="26"/>
        <v>0</v>
      </c>
      <c r="AG42" s="628">
        <f t="shared" si="26"/>
        <v>0</v>
      </c>
      <c r="AH42" s="628">
        <f t="shared" si="26"/>
        <v>0</v>
      </c>
      <c r="AI42" s="628">
        <f t="shared" si="26"/>
        <v>0</v>
      </c>
      <c r="AJ42" s="628">
        <f t="shared" si="26"/>
        <v>0</v>
      </c>
      <c r="AK42" s="628">
        <f t="shared" si="26"/>
        <v>0</v>
      </c>
      <c r="AL42" s="730">
        <f>SUM(Z42:AK42)</f>
        <v>0</v>
      </c>
    </row>
    <row r="43" spans="2:56" ht="12.6" customHeight="1" x14ac:dyDescent="0.2">
      <c r="B43" s="725">
        <f t="shared" si="21"/>
        <v>24</v>
      </c>
      <c r="C43" s="2136" t="s">
        <v>596</v>
      </c>
      <c r="D43" s="2137"/>
      <c r="E43" s="2138"/>
      <c r="F43" s="1348"/>
      <c r="G43" s="622">
        <f>'1. T1 INVESTOINTISUUN.'!D38</f>
        <v>0</v>
      </c>
      <c r="H43" s="622"/>
      <c r="I43" s="622"/>
      <c r="J43" s="622"/>
      <c r="K43" s="622"/>
      <c r="L43" s="622"/>
      <c r="M43" s="622"/>
      <c r="N43" s="622"/>
      <c r="O43" s="622"/>
      <c r="P43" s="622"/>
      <c r="Q43" s="622">
        <v>0</v>
      </c>
      <c r="R43" s="622"/>
      <c r="S43" s="614">
        <f t="shared" si="23"/>
        <v>0</v>
      </c>
      <c r="T43" s="1004" t="s">
        <v>0</v>
      </c>
      <c r="U43" s="915"/>
      <c r="V43" s="1007"/>
      <c r="W43" s="2171" t="s">
        <v>570</v>
      </c>
      <c r="X43" s="2171"/>
      <c r="Y43" s="2172"/>
      <c r="Z43" s="628">
        <f t="shared" si="26"/>
        <v>0</v>
      </c>
      <c r="AA43" s="628">
        <f t="shared" si="26"/>
        <v>0</v>
      </c>
      <c r="AB43" s="628">
        <f t="shared" si="26"/>
        <v>0</v>
      </c>
      <c r="AC43" s="628">
        <f t="shared" si="26"/>
        <v>0</v>
      </c>
      <c r="AD43" s="628">
        <f t="shared" si="26"/>
        <v>0</v>
      </c>
      <c r="AE43" s="628">
        <f t="shared" si="26"/>
        <v>0</v>
      </c>
      <c r="AF43" s="628">
        <f t="shared" si="26"/>
        <v>0</v>
      </c>
      <c r="AG43" s="628">
        <f t="shared" si="26"/>
        <v>0</v>
      </c>
      <c r="AH43" s="628">
        <f t="shared" si="26"/>
        <v>0</v>
      </c>
      <c r="AI43" s="628">
        <f t="shared" si="26"/>
        <v>0</v>
      </c>
      <c r="AJ43" s="628">
        <f t="shared" si="26"/>
        <v>0</v>
      </c>
      <c r="AK43" s="628">
        <f t="shared" si="26"/>
        <v>0</v>
      </c>
      <c r="AL43" s="731"/>
    </row>
    <row r="44" spans="2:56" ht="12.6" customHeight="1" thickBot="1" x14ac:dyDescent="0.25">
      <c r="B44" s="725">
        <f t="shared" si="21"/>
        <v>25</v>
      </c>
      <c r="C44" s="2139" t="s">
        <v>532</v>
      </c>
      <c r="D44" s="2140"/>
      <c r="E44" s="2141"/>
      <c r="F44" s="1348"/>
      <c r="G44" s="622">
        <v>0</v>
      </c>
      <c r="H44" s="622"/>
      <c r="I44" s="622"/>
      <c r="J44" s="622"/>
      <c r="K44" s="622"/>
      <c r="L44" s="622"/>
      <c r="M44" s="622"/>
      <c r="N44" s="622"/>
      <c r="O44" s="622"/>
      <c r="P44" s="622"/>
      <c r="Q44" s="622"/>
      <c r="R44" s="622"/>
      <c r="S44" s="624">
        <f t="shared" si="23"/>
        <v>0</v>
      </c>
      <c r="T44" s="1005" t="s">
        <v>0</v>
      </c>
      <c r="U44" s="157"/>
      <c r="V44" s="1010"/>
      <c r="W44" s="132"/>
      <c r="X44" s="132"/>
      <c r="Y44" s="134"/>
      <c r="Z44" s="241"/>
      <c r="AA44" s="241"/>
      <c r="AB44" s="241"/>
      <c r="AC44" s="241"/>
      <c r="AD44" s="241"/>
      <c r="AE44" s="241"/>
      <c r="AF44" s="241"/>
      <c r="AG44" s="241"/>
      <c r="AH44" s="241"/>
      <c r="AI44" s="241"/>
      <c r="AJ44" s="241"/>
      <c r="AK44" s="241"/>
      <c r="AL44" s="326"/>
    </row>
    <row r="45" spans="2:56" ht="16.149999999999999" customHeight="1" thickTop="1" thickBot="1" x14ac:dyDescent="0.25">
      <c r="B45" s="713"/>
      <c r="C45" s="1227" t="s">
        <v>511</v>
      </c>
      <c r="D45" s="1228"/>
      <c r="E45" s="1228"/>
      <c r="F45" s="1236"/>
      <c r="G45" s="714">
        <f>SUM(G22:G44)</f>
        <v>0</v>
      </c>
      <c r="H45" s="714">
        <f t="shared" ref="H45:R45" si="27">SUM(H22:H44)</f>
        <v>0</v>
      </c>
      <c r="I45" s="714">
        <f t="shared" si="27"/>
        <v>0</v>
      </c>
      <c r="J45" s="714">
        <f t="shared" si="27"/>
        <v>0</v>
      </c>
      <c r="K45" s="714">
        <f t="shared" si="27"/>
        <v>0</v>
      </c>
      <c r="L45" s="714">
        <f t="shared" si="27"/>
        <v>0</v>
      </c>
      <c r="M45" s="714">
        <f t="shared" si="27"/>
        <v>0</v>
      </c>
      <c r="N45" s="714">
        <f t="shared" si="27"/>
        <v>0</v>
      </c>
      <c r="O45" s="714">
        <f t="shared" si="27"/>
        <v>0</v>
      </c>
      <c r="P45" s="714">
        <f t="shared" si="27"/>
        <v>0</v>
      </c>
      <c r="Q45" s="714">
        <f t="shared" si="27"/>
        <v>0</v>
      </c>
      <c r="R45" s="714">
        <f t="shared" si="27"/>
        <v>0</v>
      </c>
      <c r="S45" s="714">
        <f>SUM(G45:R45)</f>
        <v>0</v>
      </c>
      <c r="T45" s="229"/>
      <c r="U45" s="2084" t="s">
        <v>509</v>
      </c>
      <c r="V45" s="1068"/>
      <c r="W45" s="145">
        <f>'1. T1 INVESTOINTISUUN.'!B66</f>
        <v>0</v>
      </c>
      <c r="X45" s="147"/>
      <c r="Y45" s="148"/>
      <c r="Z45" s="48"/>
      <c r="AA45" s="48"/>
      <c r="AB45" s="48"/>
      <c r="AC45" s="99"/>
      <c r="AD45" s="48"/>
      <c r="AE45" s="48"/>
      <c r="AF45" s="48"/>
      <c r="AG45" s="48"/>
      <c r="AH45" s="48"/>
      <c r="AI45" s="48"/>
      <c r="AJ45" s="2174">
        <f>OHJE!I5</f>
        <v>0</v>
      </c>
      <c r="AK45" s="2175"/>
      <c r="AL45" s="2175"/>
    </row>
    <row r="46" spans="2:56" ht="11.1" customHeight="1" thickTop="1" x14ac:dyDescent="0.2">
      <c r="B46" s="1165"/>
      <c r="C46" s="1166"/>
      <c r="D46" s="506"/>
      <c r="E46" s="506"/>
      <c r="F46" s="1167"/>
      <c r="G46" s="1168"/>
      <c r="H46" s="1168"/>
      <c r="I46" s="1168"/>
      <c r="J46" s="1168"/>
      <c r="K46" s="1168"/>
      <c r="L46" s="1168"/>
      <c r="M46" s="1168"/>
      <c r="N46" s="1168"/>
      <c r="O46" s="1168"/>
      <c r="P46" s="1168"/>
      <c r="Q46" s="1168"/>
      <c r="R46" s="1168"/>
      <c r="S46" s="1007"/>
      <c r="T46" s="229"/>
      <c r="U46" s="2085"/>
      <c r="V46" s="1068"/>
      <c r="W46" s="2169" t="str">
        <f>'1. T1 INVESTOINTISUUN.'!B67</f>
        <v>YT22 Toimivan yrityksen tulossuunnitelma</v>
      </c>
      <c r="X46" s="2169"/>
      <c r="Y46" s="2169"/>
      <c r="Z46" s="2169"/>
      <c r="AA46" s="97"/>
      <c r="AB46" s="97"/>
      <c r="AC46" s="100"/>
      <c r="AD46" s="97"/>
      <c r="AE46" s="97"/>
      <c r="AF46" s="2168" t="str">
        <f>M60</f>
        <v>Kehittämisyhtiö Witas Oy</v>
      </c>
      <c r="AG46" s="2168"/>
      <c r="AH46" s="2168"/>
      <c r="AI46" s="2168"/>
      <c r="AJ46" s="2168"/>
      <c r="AK46" s="2168"/>
      <c r="AL46" s="2168"/>
    </row>
    <row r="47" spans="2:56" ht="16.149999999999999" customHeight="1" x14ac:dyDescent="0.2">
      <c r="B47" s="2124" t="s">
        <v>515</v>
      </c>
      <c r="C47" s="2125"/>
      <c r="D47" s="2125"/>
      <c r="E47" s="2125"/>
      <c r="F47" s="2126"/>
      <c r="G47" s="1169">
        <f>G21</f>
        <v>46388</v>
      </c>
      <c r="H47" s="1169">
        <f>H21</f>
        <v>46419</v>
      </c>
      <c r="I47" s="1169">
        <f t="shared" ref="I47:R47" si="28">I21</f>
        <v>46450</v>
      </c>
      <c r="J47" s="1169">
        <f t="shared" si="28"/>
        <v>46481</v>
      </c>
      <c r="K47" s="1169">
        <f t="shared" si="28"/>
        <v>46512</v>
      </c>
      <c r="L47" s="1169">
        <f t="shared" si="28"/>
        <v>46543</v>
      </c>
      <c r="M47" s="1169">
        <f t="shared" si="28"/>
        <v>46574</v>
      </c>
      <c r="N47" s="1169">
        <f t="shared" si="28"/>
        <v>46605</v>
      </c>
      <c r="O47" s="1169">
        <f t="shared" si="28"/>
        <v>46636</v>
      </c>
      <c r="P47" s="1169">
        <f t="shared" si="28"/>
        <v>46667</v>
      </c>
      <c r="Q47" s="1169">
        <f t="shared" si="28"/>
        <v>46698</v>
      </c>
      <c r="R47" s="1169">
        <f t="shared" si="28"/>
        <v>46729</v>
      </c>
      <c r="S47" s="1170" t="str">
        <f>S21</f>
        <v>YHT</v>
      </c>
      <c r="T47" s="1154" t="s">
        <v>479</v>
      </c>
      <c r="U47" s="2086"/>
      <c r="V47" s="1068"/>
      <c r="W47" s="2169"/>
      <c r="X47" s="2169"/>
      <c r="Y47" s="2169"/>
      <c r="Z47" s="2169"/>
      <c r="AF47" s="2168"/>
      <c r="AG47" s="2168"/>
      <c r="AH47" s="2168"/>
      <c r="AI47" s="2168"/>
      <c r="AJ47" s="2168"/>
      <c r="AK47" s="2168"/>
      <c r="AL47" s="2168"/>
    </row>
    <row r="48" spans="2:56" ht="12.6" customHeight="1" x14ac:dyDescent="0.2">
      <c r="B48" s="726">
        <v>26</v>
      </c>
      <c r="C48" s="1230" t="s">
        <v>379</v>
      </c>
      <c r="D48" s="1231"/>
      <c r="E48" s="1231"/>
      <c r="F48" s="1348"/>
      <c r="G48" s="625">
        <f>$U48/12</f>
        <v>0</v>
      </c>
      <c r="H48" s="625">
        <f t="shared" ref="H48:R48" si="29">$U48/12</f>
        <v>0</v>
      </c>
      <c r="I48" s="625">
        <f t="shared" si="29"/>
        <v>0</v>
      </c>
      <c r="J48" s="625">
        <f t="shared" si="29"/>
        <v>0</v>
      </c>
      <c r="K48" s="625">
        <f t="shared" si="29"/>
        <v>0</v>
      </c>
      <c r="L48" s="625">
        <f t="shared" si="29"/>
        <v>0</v>
      </c>
      <c r="M48" s="625">
        <f t="shared" si="29"/>
        <v>0</v>
      </c>
      <c r="N48" s="625">
        <f t="shared" si="29"/>
        <v>0</v>
      </c>
      <c r="O48" s="625">
        <f t="shared" si="29"/>
        <v>0</v>
      </c>
      <c r="P48" s="625">
        <f t="shared" si="29"/>
        <v>0</v>
      </c>
      <c r="Q48" s="625">
        <f t="shared" si="29"/>
        <v>0</v>
      </c>
      <c r="R48" s="625">
        <f t="shared" si="29"/>
        <v>0</v>
      </c>
      <c r="S48" s="626">
        <f t="shared" ref="S48:S53" si="30">SUM(G48:R48)</f>
        <v>0</v>
      </c>
      <c r="T48" s="1008">
        <f t="shared" ref="T48:T53" si="31">U48-S48</f>
        <v>0</v>
      </c>
      <c r="U48" s="913">
        <f>'4. T7 LAINAT '!F19+'4. T7 LAINAT '!H19+'4. T7 LAINAT '!G45+'4. T7 LAINAT '!H45</f>
        <v>0</v>
      </c>
      <c r="V48" s="1007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</row>
    <row r="49" spans="1:38" ht="12.6" customHeight="1" x14ac:dyDescent="0.2">
      <c r="B49" s="725">
        <f t="shared" ref="B49:B53" si="32">B48+1</f>
        <v>27</v>
      </c>
      <c r="C49" s="1336" t="s">
        <v>247</v>
      </c>
      <c r="D49" s="283"/>
      <c r="E49" s="283"/>
      <c r="F49" s="1348"/>
      <c r="G49" s="625">
        <f>U49</f>
        <v>0</v>
      </c>
      <c r="H49" s="625"/>
      <c r="I49" s="625"/>
      <c r="J49" s="625">
        <v>0</v>
      </c>
      <c r="K49" s="625">
        <v>0</v>
      </c>
      <c r="L49" s="625"/>
      <c r="M49" s="625"/>
      <c r="N49" s="625"/>
      <c r="O49" s="625"/>
      <c r="P49" s="625">
        <v>0</v>
      </c>
      <c r="Q49" s="625"/>
      <c r="R49" s="625">
        <v>0</v>
      </c>
      <c r="S49" s="626">
        <f t="shared" si="30"/>
        <v>0</v>
      </c>
      <c r="T49" s="1008">
        <f t="shared" si="31"/>
        <v>0</v>
      </c>
      <c r="U49" s="913">
        <f>'4. T7 LAINAT '!F39+'4. T7 LAINAT '!F45</f>
        <v>0</v>
      </c>
      <c r="V49" s="1007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</row>
    <row r="50" spans="1:38" ht="12.6" customHeight="1" x14ac:dyDescent="0.2">
      <c r="B50" s="725">
        <f t="shared" si="32"/>
        <v>28</v>
      </c>
      <c r="C50" s="475" t="s">
        <v>263</v>
      </c>
      <c r="D50" s="1191"/>
      <c r="E50" s="1191"/>
      <c r="F50" s="1348"/>
      <c r="G50" s="622"/>
      <c r="H50" s="622"/>
      <c r="I50" s="622"/>
      <c r="J50" s="622"/>
      <c r="K50" s="622"/>
      <c r="L50" s="622">
        <f>$U50/2</f>
        <v>0</v>
      </c>
      <c r="M50" s="622">
        <v>0</v>
      </c>
      <c r="N50" s="622"/>
      <c r="O50" s="622"/>
      <c r="P50" s="622"/>
      <c r="Q50" s="622"/>
      <c r="R50" s="622">
        <f>$U50/2</f>
        <v>0</v>
      </c>
      <c r="S50" s="614">
        <f t="shared" si="30"/>
        <v>0</v>
      </c>
      <c r="T50" s="1008">
        <f t="shared" si="31"/>
        <v>0</v>
      </c>
      <c r="U50" s="913">
        <f>'4. T7 LAINAT '!F18+'4. T7 LAINAT '!G39</f>
        <v>0</v>
      </c>
      <c r="V50" s="1007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</row>
    <row r="51" spans="1:38" ht="12.6" customHeight="1" x14ac:dyDescent="0.2">
      <c r="B51" s="725">
        <f t="shared" si="32"/>
        <v>29</v>
      </c>
      <c r="C51" s="475" t="s">
        <v>108</v>
      </c>
      <c r="D51" s="1191"/>
      <c r="E51" s="1191"/>
      <c r="F51" s="1348"/>
      <c r="G51" s="622">
        <f>'3. T3 TASE '!H57</f>
        <v>0</v>
      </c>
      <c r="H51" s="622"/>
      <c r="I51" s="622"/>
      <c r="J51" s="622"/>
      <c r="K51" s="622"/>
      <c r="L51" s="622"/>
      <c r="M51" s="622"/>
      <c r="N51" s="622"/>
      <c r="O51" s="622"/>
      <c r="P51" s="622"/>
      <c r="Q51" s="622"/>
      <c r="R51" s="622"/>
      <c r="S51" s="614">
        <f t="shared" si="30"/>
        <v>0</v>
      </c>
      <c r="T51" s="1009" t="s">
        <v>0</v>
      </c>
      <c r="U51" s="1358"/>
      <c r="V51" s="1007"/>
    </row>
    <row r="52" spans="1:38" ht="12.6" customHeight="1" x14ac:dyDescent="0.2">
      <c r="B52" s="725">
        <f t="shared" si="32"/>
        <v>30</v>
      </c>
      <c r="C52" s="475" t="s">
        <v>110</v>
      </c>
      <c r="D52" s="1191"/>
      <c r="E52" s="1191"/>
      <c r="F52" s="1348"/>
      <c r="G52" s="622">
        <f>U52</f>
        <v>0</v>
      </c>
      <c r="H52" s="622"/>
      <c r="I52" s="622"/>
      <c r="J52" s="622"/>
      <c r="K52" s="622"/>
      <c r="L52" s="622"/>
      <c r="M52" s="622"/>
      <c r="N52" s="622"/>
      <c r="O52" s="622"/>
      <c r="P52" s="622"/>
      <c r="Q52" s="622"/>
      <c r="R52" s="622"/>
      <c r="S52" s="614">
        <f t="shared" si="30"/>
        <v>0</v>
      </c>
      <c r="T52" s="1008">
        <f t="shared" si="31"/>
        <v>0</v>
      </c>
      <c r="U52" s="913">
        <f>'1. T1 INVESTOINTISUUN.'!D48+'1. T1 INVESTOINTISUUN.'!D49+'1. T1 INVESTOINTISUUN.'!D52</f>
        <v>0</v>
      </c>
      <c r="V52" s="1007"/>
    </row>
    <row r="53" spans="1:38" ht="12.6" customHeight="1" thickBot="1" x14ac:dyDescent="0.25">
      <c r="B53" s="725">
        <f t="shared" si="32"/>
        <v>31</v>
      </c>
      <c r="C53" s="1232" t="s">
        <v>111</v>
      </c>
      <c r="D53" s="1233"/>
      <c r="E53" s="1233"/>
      <c r="F53" s="1348"/>
      <c r="G53" s="622">
        <f>U53</f>
        <v>0</v>
      </c>
      <c r="H53" s="622"/>
      <c r="I53" s="622"/>
      <c r="J53" s="622"/>
      <c r="K53" s="622"/>
      <c r="L53" s="622">
        <v>0</v>
      </c>
      <c r="M53" s="622"/>
      <c r="N53" s="622"/>
      <c r="O53" s="622"/>
      <c r="P53" s="622"/>
      <c r="Q53" s="622"/>
      <c r="R53" s="622"/>
      <c r="S53" s="614">
        <f t="shared" si="30"/>
        <v>0</v>
      </c>
      <c r="T53" s="1008">
        <f t="shared" si="31"/>
        <v>0</v>
      </c>
      <c r="U53" s="913">
        <f>'1. T1 INVESTOINTISUUN.'!D51</f>
        <v>0</v>
      </c>
      <c r="V53" s="1007"/>
    </row>
    <row r="54" spans="1:38" ht="14.25" thickTop="1" thickBot="1" x14ac:dyDescent="0.25">
      <c r="B54" s="715"/>
      <c r="C54" s="2145" t="s">
        <v>510</v>
      </c>
      <c r="D54" s="2146"/>
      <c r="E54" s="2146"/>
      <c r="F54" s="2147"/>
      <c r="G54" s="716">
        <f>-G48+G49-G50-G51+G52+G53</f>
        <v>0</v>
      </c>
      <c r="H54" s="716">
        <f t="shared" ref="H54:R54" si="33">-H48+H49-H50-H51+H52+H53</f>
        <v>0</v>
      </c>
      <c r="I54" s="716">
        <f t="shared" si="33"/>
        <v>0</v>
      </c>
      <c r="J54" s="716">
        <f t="shared" si="33"/>
        <v>0</v>
      </c>
      <c r="K54" s="716">
        <f t="shared" si="33"/>
        <v>0</v>
      </c>
      <c r="L54" s="716">
        <f t="shared" si="33"/>
        <v>0</v>
      </c>
      <c r="M54" s="716">
        <f t="shared" si="33"/>
        <v>0</v>
      </c>
      <c r="N54" s="716">
        <f t="shared" si="33"/>
        <v>0</v>
      </c>
      <c r="O54" s="716">
        <f t="shared" si="33"/>
        <v>0</v>
      </c>
      <c r="P54" s="716">
        <f t="shared" si="33"/>
        <v>0</v>
      </c>
      <c r="Q54" s="716">
        <f t="shared" si="33"/>
        <v>0</v>
      </c>
      <c r="R54" s="716">
        <f t="shared" si="33"/>
        <v>0</v>
      </c>
      <c r="S54" s="717">
        <f>-S48+S49-S50-S51+S52+S53</f>
        <v>0</v>
      </c>
      <c r="U54" s="238"/>
      <c r="V54" s="238"/>
    </row>
    <row r="55" spans="1:38" ht="4.1500000000000004" customHeight="1" thickTop="1" x14ac:dyDescent="0.2">
      <c r="B55" s="724"/>
      <c r="C55" s="314"/>
      <c r="D55" s="314"/>
      <c r="E55" s="314"/>
      <c r="F55" s="315"/>
      <c r="G55" s="620"/>
      <c r="H55" s="620"/>
      <c r="I55" s="620"/>
      <c r="J55" s="620"/>
      <c r="K55" s="620"/>
      <c r="L55" s="620"/>
      <c r="M55" s="620"/>
      <c r="N55" s="620"/>
      <c r="O55" s="620"/>
      <c r="P55" s="620"/>
      <c r="Q55" s="620"/>
      <c r="R55" s="620"/>
      <c r="S55" s="627"/>
      <c r="U55" s="238"/>
      <c r="V55" s="238"/>
    </row>
    <row r="56" spans="1:38" x14ac:dyDescent="0.2">
      <c r="B56" s="1473">
        <v>32</v>
      </c>
      <c r="C56" s="2133" t="s">
        <v>109</v>
      </c>
      <c r="D56" s="2134"/>
      <c r="E56" s="2134"/>
      <c r="F56" s="2135"/>
      <c r="G56" s="628">
        <f>G19-G45+G54</f>
        <v>0</v>
      </c>
      <c r="H56" s="628">
        <f>H19-H45+H54</f>
        <v>0</v>
      </c>
      <c r="I56" s="628">
        <f t="shared" ref="I56:R56" si="34">I19-I45+I54</f>
        <v>0</v>
      </c>
      <c r="J56" s="628">
        <f t="shared" si="34"/>
        <v>0</v>
      </c>
      <c r="K56" s="628">
        <f t="shared" si="34"/>
        <v>0</v>
      </c>
      <c r="L56" s="628">
        <f t="shared" si="34"/>
        <v>0</v>
      </c>
      <c r="M56" s="628">
        <f t="shared" si="34"/>
        <v>0</v>
      </c>
      <c r="N56" s="628">
        <f t="shared" si="34"/>
        <v>0</v>
      </c>
      <c r="O56" s="628">
        <f t="shared" si="34"/>
        <v>0</v>
      </c>
      <c r="P56" s="628">
        <f t="shared" si="34"/>
        <v>0</v>
      </c>
      <c r="Q56" s="628">
        <f t="shared" si="34"/>
        <v>0</v>
      </c>
      <c r="R56" s="628">
        <f t="shared" si="34"/>
        <v>0</v>
      </c>
      <c r="S56" s="628">
        <f>SUM(G56:R56)</f>
        <v>0</v>
      </c>
      <c r="U56" s="238"/>
      <c r="V56" s="238"/>
    </row>
    <row r="57" spans="1:38" x14ac:dyDescent="0.2">
      <c r="B57" s="1474">
        <v>33</v>
      </c>
      <c r="C57" s="2127" t="s">
        <v>335</v>
      </c>
      <c r="D57" s="2128"/>
      <c r="E57" s="2128"/>
      <c r="F57" s="2129"/>
      <c r="G57" s="628">
        <f>G10+G56+G11</f>
        <v>0</v>
      </c>
      <c r="H57" s="628">
        <f t="shared" ref="H57:Q57" si="35">H10+H56+H11</f>
        <v>0</v>
      </c>
      <c r="I57" s="628">
        <f t="shared" si="35"/>
        <v>0</v>
      </c>
      <c r="J57" s="628">
        <f t="shared" si="35"/>
        <v>0</v>
      </c>
      <c r="K57" s="628">
        <f t="shared" si="35"/>
        <v>0</v>
      </c>
      <c r="L57" s="628">
        <f>L10+L56+L11</f>
        <v>0</v>
      </c>
      <c r="M57" s="628">
        <f t="shared" si="35"/>
        <v>0</v>
      </c>
      <c r="N57" s="628">
        <f t="shared" si="35"/>
        <v>0</v>
      </c>
      <c r="O57" s="628">
        <f t="shared" si="35"/>
        <v>0</v>
      </c>
      <c r="P57" s="628">
        <f t="shared" si="35"/>
        <v>0</v>
      </c>
      <c r="Q57" s="628">
        <f t="shared" si="35"/>
        <v>0</v>
      </c>
      <c r="R57" s="1017">
        <f>R10+R56+R11</f>
        <v>0</v>
      </c>
      <c r="S57" s="732"/>
    </row>
    <row r="58" spans="1:38" ht="4.1500000000000004" customHeight="1" x14ac:dyDescent="0.2">
      <c r="B58" s="727"/>
      <c r="C58" s="145"/>
      <c r="D58" s="45"/>
      <c r="E58" s="45"/>
      <c r="F58" s="81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146"/>
      <c r="R58" s="145"/>
      <c r="S58" s="98">
        <v>0</v>
      </c>
    </row>
    <row r="59" spans="1:38" x14ac:dyDescent="0.2">
      <c r="A59" s="120"/>
      <c r="B59" s="358">
        <f>'2. &amp; 7. T2 TULOSSUUN. '!B35</f>
        <v>0</v>
      </c>
      <c r="C59" s="358"/>
      <c r="D59" s="358"/>
      <c r="E59" s="358"/>
      <c r="F59" s="470"/>
      <c r="G59" s="120"/>
      <c r="H59" s="120"/>
      <c r="I59" s="120"/>
      <c r="J59" s="120"/>
      <c r="K59" s="120"/>
      <c r="L59" s="120"/>
      <c r="M59" s="120"/>
      <c r="N59" s="120"/>
      <c r="O59" s="1883">
        <f>OHJE!I5</f>
        <v>0</v>
      </c>
      <c r="P59" s="1883"/>
      <c r="Q59" s="1883"/>
      <c r="R59" s="1883"/>
      <c r="S59" s="1883"/>
    </row>
    <row r="60" spans="1:38" x14ac:dyDescent="0.2">
      <c r="A60" s="120"/>
      <c r="B60" s="358" t="str">
        <f>OHJE!G24</f>
        <v>YT22 Toimivan yrityksen tulossuunnitelma</v>
      </c>
      <c r="C60" s="358"/>
      <c r="D60" s="358"/>
      <c r="E60" s="358"/>
      <c r="F60" s="470"/>
      <c r="G60" s="120"/>
      <c r="H60" s="120"/>
      <c r="I60" s="120"/>
      <c r="J60" s="120"/>
      <c r="K60" s="120"/>
      <c r="L60" s="120"/>
      <c r="M60" s="2019" t="str">
        <f>OHJE!I21</f>
        <v>Kehittämisyhtiö Witas Oy</v>
      </c>
      <c r="N60" s="2120"/>
      <c r="O60" s="2120"/>
      <c r="P60" s="2120"/>
      <c r="Q60" s="2120"/>
      <c r="R60" s="2120"/>
      <c r="S60" s="2120"/>
    </row>
    <row r="61" spans="1:38" x14ac:dyDescent="0.2">
      <c r="A61" s="120"/>
    </row>
    <row r="62" spans="1:38" ht="20.25" x14ac:dyDescent="0.3">
      <c r="A62" s="120"/>
      <c r="B62" s="19" t="s">
        <v>559</v>
      </c>
      <c r="C62" s="92"/>
      <c r="D62" s="1472"/>
      <c r="E62" s="1471"/>
      <c r="F62" s="1471"/>
      <c r="G62" s="1471"/>
      <c r="I62" s="346"/>
      <c r="J62" s="2142" t="s">
        <v>598</v>
      </c>
      <c r="K62" s="2142"/>
      <c r="L62" s="2142"/>
      <c r="M62" s="1523">
        <f>'1. T1 INVESTOINTISUUN.'!E16</f>
        <v>2028</v>
      </c>
      <c r="O62" s="2170"/>
      <c r="P62" s="2170"/>
      <c r="Q62" s="2170"/>
      <c r="R62" s="92"/>
      <c r="S62" s="92"/>
      <c r="U62" s="1522">
        <v>2</v>
      </c>
    </row>
    <row r="63" spans="1:38" ht="10.9" customHeight="1" x14ac:dyDescent="0.3">
      <c r="A63" s="120"/>
      <c r="B63" s="506">
        <f>B7</f>
        <v>0</v>
      </c>
      <c r="C63" s="92"/>
      <c r="D63" s="93"/>
      <c r="E63" s="93"/>
      <c r="F63" s="119"/>
      <c r="G63" s="119"/>
      <c r="H63" s="151"/>
      <c r="I63" s="94"/>
      <c r="J63" s="2113"/>
      <c r="K63" s="2113"/>
      <c r="L63" s="2113"/>
      <c r="M63" s="2113"/>
      <c r="O63" s="152"/>
      <c r="P63" s="152"/>
      <c r="Q63" s="152"/>
      <c r="R63" s="92"/>
      <c r="S63" s="92"/>
    </row>
    <row r="64" spans="1:38" ht="12.75" customHeight="1" x14ac:dyDescent="0.2">
      <c r="B64" s="95"/>
      <c r="C64" s="95"/>
      <c r="G64" s="95"/>
      <c r="H64" s="95"/>
      <c r="I64" s="95"/>
      <c r="J64" s="95"/>
      <c r="K64" s="95"/>
      <c r="L64" s="95"/>
      <c r="M64" s="95"/>
      <c r="N64" s="1158"/>
      <c r="O64" s="1158"/>
      <c r="P64" s="1158"/>
      <c r="Q64" s="95"/>
      <c r="R64" s="95"/>
      <c r="S64" s="96"/>
      <c r="W64" s="2" t="str">
        <f>B62</f>
        <v xml:space="preserve">T5 KASSABUDJETTI </v>
      </c>
      <c r="AB64" s="2"/>
      <c r="AC64" s="2096" t="str">
        <f>J62</f>
        <v>ENNUSTEVUOSI</v>
      </c>
      <c r="AD64" s="2096"/>
      <c r="AE64" s="396">
        <f>M62</f>
        <v>2028</v>
      </c>
    </row>
    <row r="65" spans="1:21" ht="16.149999999999999" customHeight="1" x14ac:dyDescent="0.2">
      <c r="B65" s="2109" t="s">
        <v>513</v>
      </c>
      <c r="C65" s="2110"/>
      <c r="D65" s="2110"/>
      <c r="E65" s="2111"/>
      <c r="F65" s="1155" t="s">
        <v>114</v>
      </c>
      <c r="G65" s="1171">
        <f>R9+31</f>
        <v>46760</v>
      </c>
      <c r="H65" s="1156">
        <f t="shared" ref="H65:R65" si="36">G65+31</f>
        <v>46791</v>
      </c>
      <c r="I65" s="1156">
        <f t="shared" si="36"/>
        <v>46822</v>
      </c>
      <c r="J65" s="1156">
        <f t="shared" si="36"/>
        <v>46853</v>
      </c>
      <c r="K65" s="1156">
        <f t="shared" si="36"/>
        <v>46884</v>
      </c>
      <c r="L65" s="1156">
        <f t="shared" si="36"/>
        <v>46915</v>
      </c>
      <c r="M65" s="1156">
        <f t="shared" si="36"/>
        <v>46946</v>
      </c>
      <c r="N65" s="1156">
        <f t="shared" si="36"/>
        <v>46977</v>
      </c>
      <c r="O65" s="1156">
        <f t="shared" si="36"/>
        <v>47008</v>
      </c>
      <c r="P65" s="1156">
        <f t="shared" si="36"/>
        <v>47039</v>
      </c>
      <c r="Q65" s="1156">
        <f t="shared" si="36"/>
        <v>47070</v>
      </c>
      <c r="R65" s="1156">
        <f t="shared" si="36"/>
        <v>47101</v>
      </c>
      <c r="S65" s="1161" t="s">
        <v>103</v>
      </c>
    </row>
    <row r="66" spans="1:21" x14ac:dyDescent="0.2">
      <c r="B66" s="2182" t="s">
        <v>2</v>
      </c>
      <c r="C66" s="2097" t="s">
        <v>524</v>
      </c>
      <c r="D66" s="2098"/>
      <c r="E66" s="2098"/>
      <c r="F66" s="2099"/>
      <c r="G66" s="1159">
        <f>R57</f>
        <v>0</v>
      </c>
      <c r="H66" s="1160">
        <f t="shared" ref="H66:R66" si="37">G113</f>
        <v>0</v>
      </c>
      <c r="I66" s="1160">
        <f t="shared" si="37"/>
        <v>0</v>
      </c>
      <c r="J66" s="1160">
        <f t="shared" si="37"/>
        <v>0</v>
      </c>
      <c r="K66" s="1160">
        <f t="shared" si="37"/>
        <v>0</v>
      </c>
      <c r="L66" s="1160">
        <f t="shared" si="37"/>
        <v>0</v>
      </c>
      <c r="M66" s="1160">
        <f t="shared" si="37"/>
        <v>0</v>
      </c>
      <c r="N66" s="1160">
        <f t="shared" si="37"/>
        <v>0</v>
      </c>
      <c r="O66" s="1160">
        <f t="shared" si="37"/>
        <v>0</v>
      </c>
      <c r="P66" s="1160">
        <f t="shared" si="37"/>
        <v>0</v>
      </c>
      <c r="Q66" s="1160">
        <f t="shared" si="37"/>
        <v>0</v>
      </c>
      <c r="R66" s="1160">
        <f t="shared" si="37"/>
        <v>0</v>
      </c>
      <c r="S66" s="1160"/>
    </row>
    <row r="67" spans="1:21" x14ac:dyDescent="0.2">
      <c r="B67" s="2105"/>
      <c r="C67" s="2106" t="s">
        <v>525</v>
      </c>
      <c r="D67" s="2107"/>
      <c r="E67" s="2107"/>
      <c r="F67" s="2108"/>
      <c r="G67" s="1510">
        <f>'AT T5 Kassa'!C47</f>
        <v>0</v>
      </c>
      <c r="H67" s="1510">
        <f>'AT T5 Kassa'!D47</f>
        <v>0</v>
      </c>
      <c r="I67" s="1510">
        <f>'AT T5 Kassa'!E47</f>
        <v>0</v>
      </c>
      <c r="J67" s="1510">
        <f>'AT T5 Kassa'!F47</f>
        <v>0</v>
      </c>
      <c r="K67" s="1510">
        <f>'AT T5 Kassa'!G47</f>
        <v>0</v>
      </c>
      <c r="L67" s="1510">
        <f>'AT T5 Kassa'!H47</f>
        <v>0</v>
      </c>
      <c r="M67" s="613"/>
      <c r="N67" s="613"/>
      <c r="O67" s="613"/>
      <c r="P67" s="613"/>
      <c r="Q67" s="613"/>
      <c r="R67" s="613"/>
      <c r="S67" s="614">
        <f>SUM(G67:R67)</f>
        <v>0</v>
      </c>
      <c r="U67" s="697"/>
    </row>
    <row r="68" spans="1:21" x14ac:dyDescent="0.2">
      <c r="B68" s="721" t="s">
        <v>3</v>
      </c>
      <c r="C68" s="2100" t="s">
        <v>104</v>
      </c>
      <c r="D68" s="2101"/>
      <c r="E68" s="331">
        <f>E12</f>
        <v>0</v>
      </c>
      <c r="F68" s="332">
        <v>25.5</v>
      </c>
      <c r="G68" s="615">
        <f t="shared" ref="G68:R68" si="38">G69*$S68</f>
        <v>0</v>
      </c>
      <c r="H68" s="615">
        <f t="shared" si="38"/>
        <v>0</v>
      </c>
      <c r="I68" s="615">
        <f t="shared" si="38"/>
        <v>0</v>
      </c>
      <c r="J68" s="615">
        <f t="shared" si="38"/>
        <v>0</v>
      </c>
      <c r="K68" s="615">
        <f t="shared" si="38"/>
        <v>0</v>
      </c>
      <c r="L68" s="615">
        <f t="shared" si="38"/>
        <v>0</v>
      </c>
      <c r="M68" s="615">
        <f>M69*$S68</f>
        <v>0</v>
      </c>
      <c r="N68" s="615">
        <f t="shared" si="38"/>
        <v>0</v>
      </c>
      <c r="O68" s="615">
        <f t="shared" si="38"/>
        <v>0</v>
      </c>
      <c r="P68" s="615">
        <f t="shared" si="38"/>
        <v>0</v>
      </c>
      <c r="Q68" s="615">
        <f t="shared" si="38"/>
        <v>0</v>
      </c>
      <c r="R68" s="615">
        <f t="shared" si="38"/>
        <v>0</v>
      </c>
      <c r="S68" s="616">
        <f>'6. E2 LIIKEVAIHTO '!G$10*E68+'6. E2 LIIKEVAIHTO '!G$10*E68*'9. T5 KASSABUDJETTI  '!F68/100</f>
        <v>0</v>
      </c>
      <c r="U68" s="134"/>
    </row>
    <row r="69" spans="1:21" x14ac:dyDescent="0.2">
      <c r="B69" s="722"/>
      <c r="C69" s="333"/>
      <c r="D69" s="2143" t="s">
        <v>105</v>
      </c>
      <c r="E69" s="2143"/>
      <c r="F69" s="2144"/>
      <c r="G69" s="617">
        <f t="shared" ref="G69:R69" si="39">G13</f>
        <v>0.09</v>
      </c>
      <c r="H69" s="617">
        <f t="shared" si="39"/>
        <v>0.09</v>
      </c>
      <c r="I69" s="617">
        <f t="shared" si="39"/>
        <v>0.09</v>
      </c>
      <c r="J69" s="617">
        <f t="shared" si="39"/>
        <v>0.09</v>
      </c>
      <c r="K69" s="617">
        <f t="shared" si="39"/>
        <v>0.09</v>
      </c>
      <c r="L69" s="617">
        <f t="shared" si="39"/>
        <v>0.09</v>
      </c>
      <c r="M69" s="617">
        <f t="shared" si="39"/>
        <v>0.04</v>
      </c>
      <c r="N69" s="617">
        <f t="shared" si="39"/>
        <v>0.08</v>
      </c>
      <c r="O69" s="617">
        <f t="shared" si="39"/>
        <v>0.09</v>
      </c>
      <c r="P69" s="617">
        <f t="shared" si="39"/>
        <v>0.09</v>
      </c>
      <c r="Q69" s="617">
        <f t="shared" si="39"/>
        <v>0.08</v>
      </c>
      <c r="R69" s="617">
        <f t="shared" si="39"/>
        <v>0.08</v>
      </c>
      <c r="S69" s="618">
        <f>SUM(G69:R69)</f>
        <v>0.99999999999999978</v>
      </c>
      <c r="T69" s="205" t="str">
        <f>IF(E68=0," ",IF(S69=100%," ","VIRHE!"))</f>
        <v xml:space="preserve"> </v>
      </c>
    </row>
    <row r="70" spans="1:21" x14ac:dyDescent="0.2">
      <c r="A70" s="120"/>
      <c r="B70" s="722" t="s">
        <v>4</v>
      </c>
      <c r="C70" s="2100" t="s">
        <v>106</v>
      </c>
      <c r="D70" s="2143"/>
      <c r="E70" s="2144"/>
      <c r="F70" s="334">
        <v>25.5</v>
      </c>
      <c r="G70" s="615">
        <f>G71*$S70</f>
        <v>0</v>
      </c>
      <c r="H70" s="615">
        <f>H71*$S70</f>
        <v>0</v>
      </c>
      <c r="I70" s="615">
        <f t="shared" ref="I70:R70" si="40">I71*$S70</f>
        <v>0</v>
      </c>
      <c r="J70" s="615">
        <f t="shared" si="40"/>
        <v>0</v>
      </c>
      <c r="K70" s="615">
        <f t="shared" si="40"/>
        <v>0</v>
      </c>
      <c r="L70" s="615">
        <f t="shared" si="40"/>
        <v>0</v>
      </c>
      <c r="M70" s="615">
        <f t="shared" si="40"/>
        <v>0</v>
      </c>
      <c r="N70" s="615">
        <f t="shared" si="40"/>
        <v>0</v>
      </c>
      <c r="O70" s="615">
        <f t="shared" si="40"/>
        <v>0</v>
      </c>
      <c r="P70" s="615">
        <f t="shared" si="40"/>
        <v>0</v>
      </c>
      <c r="Q70" s="615">
        <f t="shared" si="40"/>
        <v>0</v>
      </c>
      <c r="R70" s="615">
        <f t="shared" si="40"/>
        <v>0</v>
      </c>
      <c r="S70" s="615">
        <f>'6. E2 LIIKEVAIHTO '!G$10+'6. E2 LIIKEVAIHTO '!G$10*F70/100-S68</f>
        <v>0</v>
      </c>
      <c r="U70" s="238"/>
    </row>
    <row r="71" spans="1:21" x14ac:dyDescent="0.2">
      <c r="B71" s="722"/>
      <c r="C71" s="333"/>
      <c r="D71" s="2143" t="s">
        <v>107</v>
      </c>
      <c r="E71" s="2143"/>
      <c r="F71" s="2144"/>
      <c r="G71" s="619">
        <f t="shared" ref="G71:R71" si="41">G15</f>
        <v>0.09</v>
      </c>
      <c r="H71" s="617">
        <f t="shared" si="41"/>
        <v>0.09</v>
      </c>
      <c r="I71" s="617">
        <f t="shared" si="41"/>
        <v>0.09</v>
      </c>
      <c r="J71" s="617">
        <f t="shared" si="41"/>
        <v>0.09</v>
      </c>
      <c r="K71" s="617">
        <f t="shared" si="41"/>
        <v>0.09</v>
      </c>
      <c r="L71" s="617">
        <f t="shared" si="41"/>
        <v>0.09</v>
      </c>
      <c r="M71" s="617">
        <f t="shared" si="41"/>
        <v>0.04</v>
      </c>
      <c r="N71" s="617">
        <f t="shared" si="41"/>
        <v>0.08</v>
      </c>
      <c r="O71" s="617">
        <f t="shared" si="41"/>
        <v>0.09</v>
      </c>
      <c r="P71" s="617">
        <f t="shared" si="41"/>
        <v>0.09</v>
      </c>
      <c r="Q71" s="617">
        <f t="shared" si="41"/>
        <v>0.08</v>
      </c>
      <c r="R71" s="617">
        <f t="shared" si="41"/>
        <v>0.08</v>
      </c>
      <c r="S71" s="618">
        <f>SUM(G71:R71)</f>
        <v>0.99999999999999978</v>
      </c>
      <c r="T71" s="205" t="str">
        <f>IF(E68=100%," ",IF(S71=100%," ","VIRHE!"))</f>
        <v xml:space="preserve"> </v>
      </c>
    </row>
    <row r="72" spans="1:21" ht="14.45" customHeight="1" thickBot="1" x14ac:dyDescent="0.25">
      <c r="B72" s="722"/>
      <c r="C72" s="333"/>
      <c r="D72" s="335" t="s">
        <v>588</v>
      </c>
      <c r="E72" s="336">
        <v>30</v>
      </c>
      <c r="F72" s="337"/>
      <c r="G72" s="615">
        <f>'AT T5 Kassa'!C71</f>
        <v>0</v>
      </c>
      <c r="H72" s="615">
        <f>'AT T5 Kassa'!D71</f>
        <v>0</v>
      </c>
      <c r="I72" s="615">
        <f>'AT T5 Kassa'!E71</f>
        <v>0</v>
      </c>
      <c r="J72" s="615">
        <f>'AT T5 Kassa'!F71</f>
        <v>0</v>
      </c>
      <c r="K72" s="615">
        <f>'AT T5 Kassa'!G71</f>
        <v>0</v>
      </c>
      <c r="L72" s="615">
        <f>'AT T5 Kassa'!H71</f>
        <v>0</v>
      </c>
      <c r="M72" s="615">
        <f>'AT T5 Kassa'!I71</f>
        <v>0</v>
      </c>
      <c r="N72" s="615">
        <f>'AT T5 Kassa'!J71</f>
        <v>0</v>
      </c>
      <c r="O72" s="615">
        <f>'AT T5 Kassa'!K71</f>
        <v>0</v>
      </c>
      <c r="P72" s="615">
        <f>'AT T5 Kassa'!L71</f>
        <v>0</v>
      </c>
      <c r="Q72" s="615">
        <f>'AT T5 Kassa'!M71</f>
        <v>0</v>
      </c>
      <c r="R72" s="615">
        <f>'AT T5 Kassa'!N71</f>
        <v>0</v>
      </c>
      <c r="S72" s="616">
        <f>SUM(G72:R72)</f>
        <v>0</v>
      </c>
    </row>
    <row r="73" spans="1:21" ht="13.9" customHeight="1" x14ac:dyDescent="0.2">
      <c r="B73" s="722" t="s">
        <v>5</v>
      </c>
      <c r="C73" s="2117" t="s">
        <v>605</v>
      </c>
      <c r="D73" s="2118"/>
      <c r="E73" s="2119"/>
      <c r="F73" s="334">
        <v>25.5</v>
      </c>
      <c r="G73" s="1322">
        <f>('2. &amp; 7. T2 TULOSSUUN. '!$K$12/12+'2. &amp; 7. T2 TULOSSUUN. '!$K$12/12*'9. T5 KASSABUDJETTI  '!$F$73/100)</f>
        <v>0</v>
      </c>
      <c r="H73" s="1322">
        <f>('2. &amp; 7. T2 TULOSSUUN. '!$K$12/12+'2. &amp; 7. T2 TULOSSUUN. '!$K$12/12*'9. T5 KASSABUDJETTI  '!$F$73/100)</f>
        <v>0</v>
      </c>
      <c r="I73" s="1322">
        <f>('2. &amp; 7. T2 TULOSSUUN. '!$K$12/12+'2. &amp; 7. T2 TULOSSUUN. '!$K$12/12*'9. T5 KASSABUDJETTI  '!$F$73/100)</f>
        <v>0</v>
      </c>
      <c r="J73" s="1322">
        <f>('2. &amp; 7. T2 TULOSSUUN. '!$K$12/12+'2. &amp; 7. T2 TULOSSUUN. '!$K$12/12*'9. T5 KASSABUDJETTI  '!$F$73/100)</f>
        <v>0</v>
      </c>
      <c r="K73" s="1322">
        <f>('2. &amp; 7. T2 TULOSSUUN. '!$K$12/12+'2. &amp; 7. T2 TULOSSUUN. '!$K$12/12*'9. T5 KASSABUDJETTI  '!$F$73/100)</f>
        <v>0</v>
      </c>
      <c r="L73" s="1322">
        <f>('2. &amp; 7. T2 TULOSSUUN. '!$K$12/12+'2. &amp; 7. T2 TULOSSUUN. '!$K$12/12*'9. T5 KASSABUDJETTI  '!$F$73/100)</f>
        <v>0</v>
      </c>
      <c r="M73" s="1322">
        <f>('2. &amp; 7. T2 TULOSSUUN. '!$K$12/12+'2. &amp; 7. T2 TULOSSUUN. '!$K$12/12*'9. T5 KASSABUDJETTI  '!$F$73/100)</f>
        <v>0</v>
      </c>
      <c r="N73" s="1322">
        <f>('2. &amp; 7. T2 TULOSSUUN. '!$K$12/12+'2. &amp; 7. T2 TULOSSUUN. '!$K$12/12*'9. T5 KASSABUDJETTI  '!$F$73/100)</f>
        <v>0</v>
      </c>
      <c r="O73" s="1322">
        <f>('2. &amp; 7. T2 TULOSSUUN. '!$K$12/12+'2. &amp; 7. T2 TULOSSUUN. '!$K$12/12*'9. T5 KASSABUDJETTI  '!$F$73/100)</f>
        <v>0</v>
      </c>
      <c r="P73" s="1322">
        <f>('2. &amp; 7. T2 TULOSSUUN. '!$K$12/12+'2. &amp; 7. T2 TULOSSUUN. '!$K$12/12*'9. T5 KASSABUDJETTI  '!$F$73/100)</f>
        <v>0</v>
      </c>
      <c r="Q73" s="1322">
        <f>('2. &amp; 7. T2 TULOSSUUN. '!$K$12/12+'2. &amp; 7. T2 TULOSSUUN. '!$K$12/12*'9. T5 KASSABUDJETTI  '!$F$73/100)</f>
        <v>0</v>
      </c>
      <c r="R73" s="1322">
        <f>('2. &amp; 7. T2 TULOSSUUN. '!$K$12/12+'2. &amp; 7. T2 TULOSSUUN. '!$K$12/12*'9. T5 KASSABUDJETTI  '!$F$73/100)</f>
        <v>0</v>
      </c>
      <c r="S73" s="616">
        <f>SUM(G73:R73)</f>
        <v>0</v>
      </c>
      <c r="U73" s="2084" t="s">
        <v>591</v>
      </c>
    </row>
    <row r="74" spans="1:21" ht="13.5" thickBot="1" x14ac:dyDescent="0.25">
      <c r="B74" s="723" t="s">
        <v>6</v>
      </c>
      <c r="C74" s="2114" t="s">
        <v>606</v>
      </c>
      <c r="D74" s="2115"/>
      <c r="E74" s="2116"/>
      <c r="F74" s="338"/>
      <c r="G74" s="1323">
        <f>'5. E1 KUSTANNUKSET '!$H$30/12</f>
        <v>0</v>
      </c>
      <c r="H74" s="1323">
        <f>'5. E1 KUSTANNUKSET '!$H$30/12</f>
        <v>0</v>
      </c>
      <c r="I74" s="1323">
        <f>'5. E1 KUSTANNUKSET '!$H$30/12</f>
        <v>0</v>
      </c>
      <c r="J74" s="1323">
        <f>'5. E1 KUSTANNUKSET '!$H$30/12</f>
        <v>0</v>
      </c>
      <c r="K74" s="1323">
        <f>'5. E1 KUSTANNUKSET '!$H$30/12</f>
        <v>0</v>
      </c>
      <c r="L74" s="1323">
        <f>'5. E1 KUSTANNUKSET '!$H$30/12</f>
        <v>0</v>
      </c>
      <c r="M74" s="1323">
        <f>'5. E1 KUSTANNUKSET '!$H$30/12+'1. T1 INVESTOINTISUUN.'!E61</f>
        <v>0</v>
      </c>
      <c r="N74" s="1323">
        <f>'5. E1 KUSTANNUKSET '!$H$30/12</f>
        <v>0</v>
      </c>
      <c r="O74" s="1323">
        <f>'5. E1 KUSTANNUKSET '!$H$30/12</f>
        <v>0</v>
      </c>
      <c r="P74" s="1323">
        <f>'5. E1 KUSTANNUKSET '!$H$30/12</f>
        <v>0</v>
      </c>
      <c r="Q74" s="1323">
        <f>'5. E1 KUSTANNUKSET '!$H$30/12</f>
        <v>0</v>
      </c>
      <c r="R74" s="1323">
        <f>'5. E1 KUSTANNUKSET '!$H$30/12</f>
        <v>0</v>
      </c>
      <c r="S74" s="616">
        <f>SUM(G74:R74)</f>
        <v>0</v>
      </c>
      <c r="U74" s="2085"/>
    </row>
    <row r="75" spans="1:21" ht="14.25" thickTop="1" thickBot="1" x14ac:dyDescent="0.25">
      <c r="B75" s="709"/>
      <c r="C75" s="2157" t="s">
        <v>512</v>
      </c>
      <c r="D75" s="2158"/>
      <c r="E75" s="2158"/>
      <c r="F75" s="710"/>
      <c r="G75" s="711">
        <f t="shared" ref="G75:R75" si="42">G68+G72+G74+G73</f>
        <v>0</v>
      </c>
      <c r="H75" s="711">
        <f t="shared" si="42"/>
        <v>0</v>
      </c>
      <c r="I75" s="711">
        <f t="shared" si="42"/>
        <v>0</v>
      </c>
      <c r="J75" s="711">
        <f t="shared" si="42"/>
        <v>0</v>
      </c>
      <c r="K75" s="711">
        <f t="shared" si="42"/>
        <v>0</v>
      </c>
      <c r="L75" s="711">
        <f t="shared" si="42"/>
        <v>0</v>
      </c>
      <c r="M75" s="711">
        <f t="shared" si="42"/>
        <v>0</v>
      </c>
      <c r="N75" s="711">
        <f t="shared" si="42"/>
        <v>0</v>
      </c>
      <c r="O75" s="711">
        <f t="shared" si="42"/>
        <v>0</v>
      </c>
      <c r="P75" s="711">
        <f t="shared" si="42"/>
        <v>0</v>
      </c>
      <c r="Q75" s="711">
        <f t="shared" si="42"/>
        <v>0</v>
      </c>
      <c r="R75" s="711">
        <f t="shared" si="42"/>
        <v>0</v>
      </c>
      <c r="S75" s="712">
        <f>SUM(G75:R75)</f>
        <v>0</v>
      </c>
      <c r="U75" s="2085"/>
    </row>
    <row r="76" spans="1:21" ht="16.149999999999999" customHeight="1" thickTop="1" x14ac:dyDescent="0.2">
      <c r="B76" s="724"/>
      <c r="C76" s="314"/>
      <c r="D76" s="314"/>
      <c r="E76" s="314"/>
      <c r="F76" s="315"/>
      <c r="G76" s="620"/>
      <c r="H76" s="620"/>
      <c r="I76" s="620"/>
      <c r="J76" s="620"/>
      <c r="K76" s="620"/>
      <c r="L76" s="620"/>
      <c r="M76" s="620"/>
      <c r="N76" s="620"/>
      <c r="O76" s="620"/>
      <c r="P76" s="620"/>
      <c r="Q76" s="620"/>
      <c r="R76" s="620"/>
      <c r="S76" s="621" t="s">
        <v>0</v>
      </c>
      <c r="U76" s="2085"/>
    </row>
    <row r="77" spans="1:21" ht="15.95" customHeight="1" x14ac:dyDescent="0.2">
      <c r="B77" s="2154" t="s">
        <v>514</v>
      </c>
      <c r="C77" s="2155"/>
      <c r="D77" s="2155"/>
      <c r="E77" s="2156"/>
      <c r="F77" s="1162" t="s">
        <v>113</v>
      </c>
      <c r="G77" s="1163">
        <f>G65</f>
        <v>46760</v>
      </c>
      <c r="H77" s="1163">
        <f t="shared" ref="H77:S77" si="43">+H65</f>
        <v>46791</v>
      </c>
      <c r="I77" s="1163">
        <f t="shared" si="43"/>
        <v>46822</v>
      </c>
      <c r="J77" s="1163">
        <f t="shared" si="43"/>
        <v>46853</v>
      </c>
      <c r="K77" s="1163">
        <f t="shared" si="43"/>
        <v>46884</v>
      </c>
      <c r="L77" s="1163">
        <f t="shared" si="43"/>
        <v>46915</v>
      </c>
      <c r="M77" s="1163">
        <f t="shared" si="43"/>
        <v>46946</v>
      </c>
      <c r="N77" s="1163">
        <f t="shared" si="43"/>
        <v>46977</v>
      </c>
      <c r="O77" s="1163">
        <f t="shared" si="43"/>
        <v>47008</v>
      </c>
      <c r="P77" s="1163">
        <f t="shared" si="43"/>
        <v>47039</v>
      </c>
      <c r="Q77" s="1163">
        <f t="shared" si="43"/>
        <v>47070</v>
      </c>
      <c r="R77" s="1163">
        <f t="shared" si="43"/>
        <v>47101</v>
      </c>
      <c r="S77" s="1164" t="str">
        <f t="shared" si="43"/>
        <v>YHT</v>
      </c>
      <c r="T77" s="1154" t="s">
        <v>479</v>
      </c>
      <c r="U77" s="2086"/>
    </row>
    <row r="78" spans="1:21" ht="13.15" customHeight="1" x14ac:dyDescent="0.2">
      <c r="B78" s="2132" t="s">
        <v>7</v>
      </c>
      <c r="C78" s="2159" t="s">
        <v>543</v>
      </c>
      <c r="D78" s="2160"/>
      <c r="E78" s="2161"/>
      <c r="F78" s="1157">
        <v>25.5</v>
      </c>
      <c r="G78" s="1324">
        <f>IF(($S68+$S70)*$U78=0,0,(G68+G70)/($S68+$S70)*'9. T5 KASSABUDJETTI  '!$U78)</f>
        <v>0</v>
      </c>
      <c r="H78" s="1324">
        <f>IF(($S68+$S70)*$U78=0,0,(H68+H70)/($S68+$S70)*'9. T5 KASSABUDJETTI  '!$U78)</f>
        <v>0</v>
      </c>
      <c r="I78" s="1324">
        <f>IF(($S68+$S70)*$U78=0,0,(I68+I70)/($S68+$S70)*'9. T5 KASSABUDJETTI  '!$U78)</f>
        <v>0</v>
      </c>
      <c r="J78" s="1324">
        <f>IF(($S68+$S70)*$U78=0,0,(J68+J70)/($S68+$S70)*'9. T5 KASSABUDJETTI  '!$U78)</f>
        <v>0</v>
      </c>
      <c r="K78" s="1324">
        <f>IF(($S68+$S70)*$U78=0,0,(K68+K70)/($S68+$S70)*'9. T5 KASSABUDJETTI  '!$U78)</f>
        <v>0</v>
      </c>
      <c r="L78" s="1324">
        <f>IF(($S68+$S70)*$U78=0,0,(L68+L70)/($S68+$S70)*'9. T5 KASSABUDJETTI  '!$U78)</f>
        <v>0</v>
      </c>
      <c r="M78" s="1324">
        <f>IF(($S68+$S70)*$U78=0,0,(M68+M70)/($S68+$S70)*'9. T5 KASSABUDJETTI  '!$U78)</f>
        <v>0</v>
      </c>
      <c r="N78" s="1324">
        <f>IF(($S68+$S70)*$U78=0,0,(N68+N70)/($S68+$S70)*'9. T5 KASSABUDJETTI  '!$U78)</f>
        <v>0</v>
      </c>
      <c r="O78" s="1324">
        <f>IF(($S68+$S70)*$U78=0,0,(O68+O70)/($S68+$S70)*'9. T5 KASSABUDJETTI  '!$U78)</f>
        <v>0</v>
      </c>
      <c r="P78" s="1324">
        <f>IF(($S68+$S70)*$U78=0,0,(P68+P70)/($S68+$S70)*'9. T5 KASSABUDJETTI  '!$U78)</f>
        <v>0</v>
      </c>
      <c r="Q78" s="1324">
        <f>IF(($S68+$S70)*$U78=0,0,(Q68+Q70)/($S68+$S70)*'9. T5 KASSABUDJETTI  '!$U78)</f>
        <v>0</v>
      </c>
      <c r="R78" s="1324">
        <f>IF(($S68+$S70)*$U78=0,0,(R68+R70)/($S68+$S70)*'9. T5 KASSABUDJETTI  '!$U78)</f>
        <v>0</v>
      </c>
      <c r="S78" s="626">
        <f>SUM(G78:R78)</f>
        <v>0</v>
      </c>
      <c r="T78" s="1002">
        <f>U78-S78</f>
        <v>0</v>
      </c>
      <c r="U78" s="913">
        <f>'6. E2 LIIKEVAIHTO '!G11+'6. E2 LIIKEVAIHTO '!G11*'9. T5 KASSABUDJETTI  '!F78/100</f>
        <v>0</v>
      </c>
    </row>
    <row r="79" spans="1:21" ht="13.15" customHeight="1" x14ac:dyDescent="0.2">
      <c r="B79" s="2105"/>
      <c r="C79" s="1485" t="s">
        <v>549</v>
      </c>
      <c r="D79" s="1486"/>
      <c r="E79" s="332">
        <f>'3. T3 TASE '!I80</f>
        <v>0</v>
      </c>
      <c r="F79" s="1348"/>
      <c r="G79" s="1451">
        <f>'AT T5 Kassa'!Q44</f>
        <v>0</v>
      </c>
      <c r="H79" s="1451">
        <f>'AT T5 Kassa'!R44</f>
        <v>0</v>
      </c>
      <c r="I79" s="1451">
        <f>'AT T5 Kassa'!S44</f>
        <v>0</v>
      </c>
      <c r="J79" s="614"/>
      <c r="K79" s="614"/>
      <c r="L79" s="614"/>
      <c r="M79" s="614"/>
      <c r="N79" s="614"/>
      <c r="O79" s="614"/>
      <c r="P79" s="614"/>
      <c r="Q79" s="614"/>
      <c r="R79" s="614"/>
      <c r="S79" s="626">
        <f>SUM(G79:R79)</f>
        <v>0</v>
      </c>
      <c r="T79" s="1459"/>
      <c r="U79" s="1358"/>
    </row>
    <row r="80" spans="1:21" ht="13.15" hidden="1" customHeight="1" x14ac:dyDescent="0.2">
      <c r="B80" s="725" t="s">
        <v>8</v>
      </c>
      <c r="C80" s="2179" t="s">
        <v>546</v>
      </c>
      <c r="D80" s="2180"/>
      <c r="E80" s="2181"/>
      <c r="F80" s="1348"/>
      <c r="G80" s="1511"/>
      <c r="H80" s="1511">
        <v>0</v>
      </c>
      <c r="I80" s="1511">
        <v>0</v>
      </c>
      <c r="J80" s="1511">
        <v>0</v>
      </c>
      <c r="K80" s="1511"/>
      <c r="L80" s="1511"/>
      <c r="M80" s="1511"/>
      <c r="N80" s="1511">
        <v>0</v>
      </c>
      <c r="O80" s="1511"/>
      <c r="P80" s="1511"/>
      <c r="Q80" s="1511"/>
      <c r="R80" s="1511"/>
      <c r="S80" s="614">
        <f>SUM(G80:R80)+SUM(G80:R80)*F80/100</f>
        <v>0</v>
      </c>
      <c r="T80" s="1457" t="s">
        <v>0</v>
      </c>
      <c r="U80" s="1458"/>
    </row>
    <row r="81" spans="2:56" ht="13.15" customHeight="1" x14ac:dyDescent="0.2">
      <c r="B81" s="725" t="s">
        <v>8</v>
      </c>
      <c r="C81" s="475" t="s">
        <v>125</v>
      </c>
      <c r="D81" s="476"/>
      <c r="E81" s="477"/>
      <c r="F81" s="1593">
        <v>25.5</v>
      </c>
      <c r="G81" s="622">
        <f>$U81/12</f>
        <v>0</v>
      </c>
      <c r="H81" s="622">
        <f t="shared" ref="H81:R81" si="44">$U81/12</f>
        <v>0</v>
      </c>
      <c r="I81" s="622">
        <f t="shared" si="44"/>
        <v>0</v>
      </c>
      <c r="J81" s="622">
        <f t="shared" si="44"/>
        <v>0</v>
      </c>
      <c r="K81" s="622">
        <f t="shared" si="44"/>
        <v>0</v>
      </c>
      <c r="L81" s="622">
        <f t="shared" si="44"/>
        <v>0</v>
      </c>
      <c r="M81" s="622">
        <f t="shared" si="44"/>
        <v>0</v>
      </c>
      <c r="N81" s="622">
        <f t="shared" si="44"/>
        <v>0</v>
      </c>
      <c r="O81" s="622">
        <f t="shared" si="44"/>
        <v>0</v>
      </c>
      <c r="P81" s="622">
        <f t="shared" si="44"/>
        <v>0</v>
      </c>
      <c r="Q81" s="622">
        <f t="shared" si="44"/>
        <v>0</v>
      </c>
      <c r="R81" s="622">
        <f t="shared" si="44"/>
        <v>0</v>
      </c>
      <c r="S81" s="614">
        <f>SUM(G81:R81)</f>
        <v>0</v>
      </c>
      <c r="T81" s="1002">
        <f>U81-S81</f>
        <v>0</v>
      </c>
      <c r="U81" s="913">
        <f>-('2. &amp; 7. T2 TULOSSUUN. '!K16+'2. &amp; 7. T2 TULOSSUUN. '!K16*'9. T5 KASSABUDJETTI  '!F81/100)</f>
        <v>0</v>
      </c>
    </row>
    <row r="82" spans="2:56" ht="13.15" customHeight="1" x14ac:dyDescent="0.2">
      <c r="B82" s="725" t="s">
        <v>9</v>
      </c>
      <c r="C82" s="2121" t="s">
        <v>351</v>
      </c>
      <c r="D82" s="2122"/>
      <c r="E82" s="2123"/>
      <c r="F82" s="1594">
        <v>25.5</v>
      </c>
      <c r="G82" s="622">
        <f>'1. T1 INVESTOINTISUUN.'!E20+'1. T1 INVESTOINTISUUN.'!E27+'1. T1 INVESTOINTISUUN.'!E32+IF('1. T1 INVESTOINTISUUN.'!E36=0,0,'1. T1 INVESTOINTISUUN.'!E35)</f>
        <v>0</v>
      </c>
      <c r="H82" s="622"/>
      <c r="I82" s="622"/>
      <c r="J82" s="622"/>
      <c r="K82" s="622"/>
      <c r="L82" s="622"/>
      <c r="M82" s="622"/>
      <c r="N82" s="622"/>
      <c r="O82" s="622"/>
      <c r="P82" s="622"/>
      <c r="Q82" s="622"/>
      <c r="R82" s="622"/>
      <c r="S82" s="614">
        <f>SUM(G82:R82)</f>
        <v>0</v>
      </c>
      <c r="T82" s="1003" t="s">
        <v>0</v>
      </c>
      <c r="U82" s="1356"/>
    </row>
    <row r="83" spans="2:56" ht="13.15" customHeight="1" x14ac:dyDescent="0.2">
      <c r="B83" s="725" t="s">
        <v>10</v>
      </c>
      <c r="C83" s="2148" t="s">
        <v>378</v>
      </c>
      <c r="D83" s="2149"/>
      <c r="E83" s="2150"/>
      <c r="F83" s="1594">
        <v>25.5</v>
      </c>
      <c r="G83" s="622">
        <f>$U83/12</f>
        <v>0</v>
      </c>
      <c r="H83" s="622">
        <f t="shared" ref="H83:R85" si="45">$U83/12</f>
        <v>0</v>
      </c>
      <c r="I83" s="622">
        <f t="shared" si="45"/>
        <v>0</v>
      </c>
      <c r="J83" s="622">
        <f t="shared" si="45"/>
        <v>0</v>
      </c>
      <c r="K83" s="622">
        <f t="shared" si="45"/>
        <v>0</v>
      </c>
      <c r="L83" s="622">
        <f t="shared" si="45"/>
        <v>0</v>
      </c>
      <c r="M83" s="622">
        <f t="shared" si="45"/>
        <v>0</v>
      </c>
      <c r="N83" s="622">
        <f t="shared" si="45"/>
        <v>0</v>
      </c>
      <c r="O83" s="622">
        <f t="shared" si="45"/>
        <v>0</v>
      </c>
      <c r="P83" s="622">
        <f t="shared" si="45"/>
        <v>0</v>
      </c>
      <c r="Q83" s="622">
        <f t="shared" si="45"/>
        <v>0</v>
      </c>
      <c r="R83" s="622">
        <f t="shared" si="45"/>
        <v>0</v>
      </c>
      <c r="S83" s="614">
        <f>SUM(G83:R83)</f>
        <v>0</v>
      </c>
      <c r="T83" s="1002">
        <f>U83-S83</f>
        <v>0</v>
      </c>
      <c r="U83" s="913">
        <f>'5. E1 KUSTANNUKSET '!H53+'5. E1 KUSTANNUKSET '!H53*'9. T5 KASSABUDJETTI  '!F83/100</f>
        <v>0</v>
      </c>
      <c r="AQ83">
        <v>0</v>
      </c>
    </row>
    <row r="84" spans="2:56" ht="13.15" customHeight="1" x14ac:dyDescent="0.2">
      <c r="B84" s="725" t="s">
        <v>11</v>
      </c>
      <c r="C84" s="2121" t="s">
        <v>533</v>
      </c>
      <c r="D84" s="2122"/>
      <c r="E84" s="2123"/>
      <c r="F84" s="1594">
        <v>25.5</v>
      </c>
      <c r="G84" s="622">
        <f>$U84/12</f>
        <v>0</v>
      </c>
      <c r="H84" s="622">
        <f t="shared" si="45"/>
        <v>0</v>
      </c>
      <c r="I84" s="622">
        <f t="shared" si="45"/>
        <v>0</v>
      </c>
      <c r="J84" s="622">
        <f t="shared" si="45"/>
        <v>0</v>
      </c>
      <c r="K84" s="622">
        <f t="shared" si="45"/>
        <v>0</v>
      </c>
      <c r="L84" s="622">
        <f t="shared" si="45"/>
        <v>0</v>
      </c>
      <c r="M84" s="622">
        <f t="shared" si="45"/>
        <v>0</v>
      </c>
      <c r="N84" s="622">
        <f t="shared" si="45"/>
        <v>0</v>
      </c>
      <c r="O84" s="622">
        <f t="shared" si="45"/>
        <v>0</v>
      </c>
      <c r="P84" s="622">
        <f t="shared" si="45"/>
        <v>0</v>
      </c>
      <c r="Q84" s="622">
        <f t="shared" si="45"/>
        <v>0</v>
      </c>
      <c r="R84" s="622">
        <f t="shared" si="45"/>
        <v>0</v>
      </c>
      <c r="S84" s="614">
        <f>SUM(G84:R84)</f>
        <v>0</v>
      </c>
      <c r="T84" s="1002">
        <f>U84-S84</f>
        <v>0</v>
      </c>
      <c r="U84" s="913">
        <f>'5. E1 KUSTANNUKSET '!H64+'5. E1 KUSTANNUKSET '!H64*'9. T5 KASSABUDJETTI  '!F84/100</f>
        <v>0</v>
      </c>
    </row>
    <row r="85" spans="2:56" ht="13.15" customHeight="1" x14ac:dyDescent="0.2">
      <c r="B85" s="725" t="s">
        <v>115</v>
      </c>
      <c r="C85" s="2121" t="s">
        <v>477</v>
      </c>
      <c r="D85" s="2122"/>
      <c r="E85" s="2123"/>
      <c r="F85" s="1603">
        <f>'AT2 Lainat,sotum., alv-osto'!F81*100</f>
        <v>0</v>
      </c>
      <c r="G85" s="622">
        <f>$U85/12</f>
        <v>0</v>
      </c>
      <c r="H85" s="622">
        <f t="shared" si="45"/>
        <v>0</v>
      </c>
      <c r="I85" s="622">
        <f t="shared" si="45"/>
        <v>0</v>
      </c>
      <c r="J85" s="622">
        <f t="shared" si="45"/>
        <v>0</v>
      </c>
      <c r="K85" s="622">
        <f t="shared" si="45"/>
        <v>0</v>
      </c>
      <c r="L85" s="622">
        <f t="shared" si="45"/>
        <v>0</v>
      </c>
      <c r="M85" s="622">
        <f t="shared" si="45"/>
        <v>0</v>
      </c>
      <c r="N85" s="622">
        <f t="shared" si="45"/>
        <v>0</v>
      </c>
      <c r="O85" s="622">
        <f t="shared" si="45"/>
        <v>0</v>
      </c>
      <c r="P85" s="622">
        <f t="shared" si="45"/>
        <v>0</v>
      </c>
      <c r="Q85" s="622">
        <f t="shared" si="45"/>
        <v>0</v>
      </c>
      <c r="R85" s="622">
        <f t="shared" si="45"/>
        <v>0</v>
      </c>
      <c r="S85" s="614">
        <f t="shared" ref="S85:S94" si="46">SUM(G85:R85)</f>
        <v>0</v>
      </c>
      <c r="T85" s="1002">
        <f>U85-S85</f>
        <v>0</v>
      </c>
      <c r="U85" s="1357" cm="1">
        <f t="array" ref="U85:V85">'AT2 Lainat,sotum., alv-osto'!F79:G79</f>
        <v>0</v>
      </c>
      <c r="V85" s="229">
        <v>0</v>
      </c>
    </row>
    <row r="86" spans="2:56" ht="13.15" customHeight="1" x14ac:dyDescent="0.2">
      <c r="B86" s="725" t="s">
        <v>116</v>
      </c>
      <c r="C86" s="2121" t="s">
        <v>756</v>
      </c>
      <c r="D86" s="2130"/>
      <c r="E86" s="2131"/>
      <c r="F86" s="1348"/>
      <c r="G86" s="623">
        <f>'AT1 Avustus, alv-laskenta '!U26</f>
        <v>0</v>
      </c>
      <c r="H86" s="623">
        <f>'AT1 Avustus, alv-laskenta '!V26</f>
        <v>0</v>
      </c>
      <c r="I86" s="1491">
        <f>'AT1 Avustus, alv-laskenta '!K57</f>
        <v>0</v>
      </c>
      <c r="J86" s="1491">
        <f>'AT1 Avustus, alv-laskenta '!L57</f>
        <v>0</v>
      </c>
      <c r="K86" s="1491">
        <f>'AT1 Avustus, alv-laskenta '!M57</f>
        <v>0</v>
      </c>
      <c r="L86" s="1491">
        <f>'AT1 Avustus, alv-laskenta '!N57</f>
        <v>0</v>
      </c>
      <c r="M86" s="1491">
        <f>'AT1 Avustus, alv-laskenta '!O57</f>
        <v>0</v>
      </c>
      <c r="N86" s="1491">
        <f>'AT1 Avustus, alv-laskenta '!P57</f>
        <v>0</v>
      </c>
      <c r="O86" s="1491">
        <f>'AT1 Avustus, alv-laskenta '!Q57</f>
        <v>0</v>
      </c>
      <c r="P86" s="1491">
        <f>'AT1 Avustus, alv-laskenta '!R57</f>
        <v>0</v>
      </c>
      <c r="Q86" s="1491">
        <f>'AT1 Avustus, alv-laskenta '!S57</f>
        <v>0</v>
      </c>
      <c r="R86" s="1491">
        <f>'AT1 Avustus, alv-laskenta '!T57</f>
        <v>0</v>
      </c>
      <c r="S86" s="614">
        <f t="shared" si="46"/>
        <v>0</v>
      </c>
      <c r="T86" s="1004" t="s">
        <v>0</v>
      </c>
      <c r="U86" s="1358"/>
    </row>
    <row r="87" spans="2:56" ht="13.15" customHeight="1" x14ac:dyDescent="0.2">
      <c r="B87" s="2165">
        <v>14</v>
      </c>
      <c r="C87" s="2162" t="s">
        <v>750</v>
      </c>
      <c r="D87" s="2163"/>
      <c r="E87" s="2164"/>
      <c r="F87" s="1772"/>
      <c r="G87" s="1773">
        <f>U87/'5. E1 KUSTANNUKSET '!H15</f>
        <v>0</v>
      </c>
      <c r="H87" s="1773">
        <f>G87</f>
        <v>0</v>
      </c>
      <c r="I87" s="1773">
        <f t="shared" ref="I87:L87" si="47">H87</f>
        <v>0</v>
      </c>
      <c r="J87" s="1773">
        <f t="shared" si="47"/>
        <v>0</v>
      </c>
      <c r="K87" s="1773">
        <f t="shared" si="47"/>
        <v>0</v>
      </c>
      <c r="L87" s="1773">
        <f t="shared" si="47"/>
        <v>0</v>
      </c>
      <c r="M87" s="1773">
        <f>1.5*L87</f>
        <v>0</v>
      </c>
      <c r="N87" s="1773">
        <f>L87</f>
        <v>0</v>
      </c>
      <c r="O87" s="1773">
        <f>N87</f>
        <v>0</v>
      </c>
      <c r="P87" s="1773">
        <f t="shared" ref="P87:R89" si="48">O87</f>
        <v>0</v>
      </c>
      <c r="Q87" s="1773">
        <f t="shared" si="48"/>
        <v>0</v>
      </c>
      <c r="R87" s="1773">
        <f t="shared" si="48"/>
        <v>0</v>
      </c>
      <c r="S87" s="614">
        <f t="shared" si="46"/>
        <v>0</v>
      </c>
      <c r="T87" s="1784">
        <f t="shared" ref="T87" si="49">U87-S87</f>
        <v>0</v>
      </c>
      <c r="U87" s="1776">
        <f>'5. E1 KUSTANNUKSET '!H12</f>
        <v>0</v>
      </c>
    </row>
    <row r="88" spans="2:56" ht="13.15" customHeight="1" x14ac:dyDescent="0.2">
      <c r="B88" s="2166"/>
      <c r="C88" s="2162" t="s">
        <v>751</v>
      </c>
      <c r="D88" s="2163"/>
      <c r="E88" s="2164"/>
      <c r="F88" s="1234">
        <v>26.1</v>
      </c>
      <c r="G88" s="1778">
        <f>$F88/100*G87</f>
        <v>0</v>
      </c>
      <c r="H88" s="1778">
        <f t="shared" ref="H88" si="50">$F88/100*H87</f>
        <v>0</v>
      </c>
      <c r="I88" s="1778">
        <f t="shared" ref="I88" si="51">$F88/100*I87</f>
        <v>0</v>
      </c>
      <c r="J88" s="1778">
        <f t="shared" ref="J88" si="52">$F88/100*J87</f>
        <v>0</v>
      </c>
      <c r="K88" s="1778">
        <f t="shared" ref="K88" si="53">$F88/100*K87</f>
        <v>0</v>
      </c>
      <c r="L88" s="1778">
        <f t="shared" ref="L88" si="54">$F88/100*L87</f>
        <v>0</v>
      </c>
      <c r="M88" s="1778">
        <f t="shared" ref="M88" si="55">$F88/100*M87</f>
        <v>0</v>
      </c>
      <c r="N88" s="1778">
        <f t="shared" ref="N88" si="56">$F88/100*N87</f>
        <v>0</v>
      </c>
      <c r="O88" s="1778">
        <f t="shared" ref="O88" si="57">$F88/100*O87</f>
        <v>0</v>
      </c>
      <c r="P88" s="1778">
        <f t="shared" ref="P88" si="58">$F88/100*P87</f>
        <v>0</v>
      </c>
      <c r="Q88" s="1778">
        <f t="shared" ref="Q88" si="59">$F88/100*Q87</f>
        <v>0</v>
      </c>
      <c r="R88" s="1778">
        <f t="shared" ref="R88" si="60">$F88/100*R87</f>
        <v>0</v>
      </c>
      <c r="S88" s="614">
        <f t="shared" si="46"/>
        <v>0</v>
      </c>
      <c r="T88" s="1779"/>
      <c r="U88" s="1780"/>
    </row>
    <row r="89" spans="2:56" ht="13.15" customHeight="1" x14ac:dyDescent="0.2">
      <c r="B89" s="1768">
        <v>15</v>
      </c>
      <c r="C89" s="2162" t="s">
        <v>755</v>
      </c>
      <c r="D89" s="2163"/>
      <c r="E89" s="2164"/>
      <c r="F89" s="1781"/>
      <c r="G89" s="1773">
        <f>U89/'5. E1 KUSTANNUKSET '!H21</f>
        <v>0</v>
      </c>
      <c r="H89" s="1773">
        <f>G89</f>
        <v>0</v>
      </c>
      <c r="I89" s="1773">
        <f t="shared" ref="I89:L89" si="61">H89</f>
        <v>0</v>
      </c>
      <c r="J89" s="1773">
        <f t="shared" si="61"/>
        <v>0</v>
      </c>
      <c r="K89" s="1773">
        <f t="shared" si="61"/>
        <v>0</v>
      </c>
      <c r="L89" s="1773">
        <f t="shared" si="61"/>
        <v>0</v>
      </c>
      <c r="M89" s="1773">
        <f>1.5*L89</f>
        <v>0</v>
      </c>
      <c r="N89" s="1773">
        <f>L89</f>
        <v>0</v>
      </c>
      <c r="O89" s="1773">
        <f>N89</f>
        <v>0</v>
      </c>
      <c r="P89" s="1773">
        <f t="shared" si="48"/>
        <v>0</v>
      </c>
      <c r="Q89" s="1773">
        <f t="shared" si="48"/>
        <v>0</v>
      </c>
      <c r="R89" s="1773">
        <f t="shared" si="48"/>
        <v>0</v>
      </c>
      <c r="S89" s="614">
        <f t="shared" si="46"/>
        <v>0</v>
      </c>
      <c r="T89" s="1784">
        <f>U89-S89-S90</f>
        <v>0</v>
      </c>
      <c r="U89" s="1776">
        <f>'5. E1 KUSTANNUKSET '!H17+'5. E1 KUSTANNUKSET '!H24</f>
        <v>0</v>
      </c>
    </row>
    <row r="90" spans="2:56" ht="13.15" customHeight="1" x14ac:dyDescent="0.2">
      <c r="B90" s="1783">
        <v>16</v>
      </c>
      <c r="C90" s="1769" t="s">
        <v>753</v>
      </c>
      <c r="D90" s="1770"/>
      <c r="E90" s="1771"/>
      <c r="F90" s="1781"/>
      <c r="G90" s="1773">
        <v>0</v>
      </c>
      <c r="H90" s="1773">
        <v>0</v>
      </c>
      <c r="I90" s="1773">
        <v>0</v>
      </c>
      <c r="J90" s="1773">
        <v>0</v>
      </c>
      <c r="K90" s="1773">
        <v>0</v>
      </c>
      <c r="L90" s="1773">
        <v>0</v>
      </c>
      <c r="M90" s="1773">
        <v>0</v>
      </c>
      <c r="N90" s="1773">
        <v>0</v>
      </c>
      <c r="O90" s="1773">
        <v>0</v>
      </c>
      <c r="P90" s="1773">
        <v>0</v>
      </c>
      <c r="Q90" s="1773">
        <v>0</v>
      </c>
      <c r="R90" s="1773">
        <v>0</v>
      </c>
      <c r="S90" s="1774">
        <v>0</v>
      </c>
      <c r="T90" s="1005"/>
      <c r="U90" s="1006"/>
    </row>
    <row r="91" spans="2:56" ht="13.15" customHeight="1" x14ac:dyDescent="0.2">
      <c r="B91" s="1777">
        <v>17</v>
      </c>
      <c r="C91" s="1769" t="s">
        <v>754</v>
      </c>
      <c r="D91" s="1770"/>
      <c r="E91" s="1771"/>
      <c r="F91" s="1235">
        <v>19</v>
      </c>
      <c r="G91" s="1778">
        <f>$F91/100*(G89+G90)</f>
        <v>0</v>
      </c>
      <c r="H91" s="1778">
        <f>$F91/100*(H89+H90)</f>
        <v>0</v>
      </c>
      <c r="I91" s="1778">
        <f>$F91/100*(I89+I90)</f>
        <v>0</v>
      </c>
      <c r="J91" s="1778">
        <f>$F91/100*(J89+J90)</f>
        <v>0</v>
      </c>
      <c r="K91" s="1778">
        <f t="shared" ref="K91" si="62">$F91/100*(K89+K90)</f>
        <v>0</v>
      </c>
      <c r="L91" s="1778">
        <f t="shared" ref="L91" si="63">$F91/100*(L89+L90)</f>
        <v>0</v>
      </c>
      <c r="M91" s="1778">
        <f t="shared" ref="M91" si="64">$F91/100*(M89+M90)</f>
        <v>0</v>
      </c>
      <c r="N91" s="1778">
        <f t="shared" ref="N91" si="65">$F91/100*(N89+N90)</f>
        <v>0</v>
      </c>
      <c r="O91" s="1778">
        <f t="shared" ref="O91" si="66">$F91/100*(O89+O90)</f>
        <v>0</v>
      </c>
      <c r="P91" s="1778">
        <f t="shared" ref="P91" si="67">$F91/100*(P89+P90)</f>
        <v>0</v>
      </c>
      <c r="Q91" s="1778">
        <f t="shared" ref="Q91" si="68">$F91/100*(Q89+Q90)</f>
        <v>0</v>
      </c>
      <c r="R91" s="1778">
        <f t="shared" ref="R91" si="69">$F91/100*(R89+R90)</f>
        <v>0</v>
      </c>
      <c r="S91" s="614">
        <f t="shared" si="46"/>
        <v>0</v>
      </c>
      <c r="T91" s="1005" t="s">
        <v>0</v>
      </c>
      <c r="U91" s="1006"/>
      <c r="V91" s="229">
        <v>0</v>
      </c>
    </row>
    <row r="92" spans="2:56" x14ac:dyDescent="0.2">
      <c r="B92" s="1777">
        <f>1+B91</f>
        <v>18</v>
      </c>
      <c r="C92" s="2162" t="s">
        <v>757</v>
      </c>
      <c r="D92" s="2163"/>
      <c r="E92" s="2163"/>
      <c r="F92" s="1785"/>
      <c r="G92" s="1786">
        <f>$U92/12</f>
        <v>0</v>
      </c>
      <c r="H92" s="1786">
        <f t="shared" ref="H92:R92" si="70">$U92/12</f>
        <v>0</v>
      </c>
      <c r="I92" s="1786">
        <f t="shared" si="70"/>
        <v>0</v>
      </c>
      <c r="J92" s="1786">
        <f t="shared" si="70"/>
        <v>0</v>
      </c>
      <c r="K92" s="1786">
        <f t="shared" si="70"/>
        <v>0</v>
      </c>
      <c r="L92" s="1786">
        <f t="shared" si="70"/>
        <v>0</v>
      </c>
      <c r="M92" s="1786">
        <f t="shared" si="70"/>
        <v>0</v>
      </c>
      <c r="N92" s="1786">
        <f t="shared" si="70"/>
        <v>0</v>
      </c>
      <c r="O92" s="1786">
        <f t="shared" si="70"/>
        <v>0</v>
      </c>
      <c r="P92" s="1786">
        <f t="shared" si="70"/>
        <v>0</v>
      </c>
      <c r="Q92" s="1786">
        <f t="shared" si="70"/>
        <v>0</v>
      </c>
      <c r="R92" s="1786">
        <f t="shared" si="70"/>
        <v>0</v>
      </c>
      <c r="S92" s="1774">
        <f t="shared" si="46"/>
        <v>0</v>
      </c>
      <c r="T92" s="1002">
        <f>U92-S92</f>
        <v>0</v>
      </c>
      <c r="U92" s="696">
        <f>'5. E1 KUSTANNUKSET '!H$38+'5. E1 KUSTANNUKSET '!H$43+'5. E1 KUSTANNUKSET '!H$42</f>
        <v>0</v>
      </c>
      <c r="V92" s="1007"/>
      <c r="W92" s="46"/>
      <c r="BD92" s="33"/>
    </row>
    <row r="93" spans="2:56" ht="13.15" customHeight="1" x14ac:dyDescent="0.2">
      <c r="B93" s="1777">
        <f t="shared" ref="B93:B100" si="71">1+B92</f>
        <v>19</v>
      </c>
      <c r="C93" s="1192" t="s">
        <v>376</v>
      </c>
      <c r="D93" s="1229"/>
      <c r="E93" s="1229"/>
      <c r="F93" s="1348"/>
      <c r="G93" s="622">
        <f>$U93/12</f>
        <v>0</v>
      </c>
      <c r="H93" s="622">
        <f t="shared" ref="H93:R96" si="72">$U93/12</f>
        <v>0</v>
      </c>
      <c r="I93" s="622">
        <f t="shared" si="72"/>
        <v>0</v>
      </c>
      <c r="J93" s="622">
        <f t="shared" si="72"/>
        <v>0</v>
      </c>
      <c r="K93" s="622">
        <f t="shared" si="72"/>
        <v>0</v>
      </c>
      <c r="L93" s="622">
        <f t="shared" si="72"/>
        <v>0</v>
      </c>
      <c r="M93" s="622">
        <f t="shared" si="72"/>
        <v>0</v>
      </c>
      <c r="N93" s="622">
        <f t="shared" si="72"/>
        <v>0</v>
      </c>
      <c r="O93" s="622">
        <f t="shared" si="72"/>
        <v>0</v>
      </c>
      <c r="P93" s="622">
        <f t="shared" si="72"/>
        <v>0</v>
      </c>
      <c r="Q93" s="622">
        <f t="shared" si="72"/>
        <v>0</v>
      </c>
      <c r="R93" s="622">
        <f t="shared" si="72"/>
        <v>0</v>
      </c>
      <c r="S93" s="614">
        <f t="shared" si="46"/>
        <v>0</v>
      </c>
      <c r="T93" s="1002">
        <f>U93-S93</f>
        <v>0</v>
      </c>
      <c r="U93" s="913">
        <f>'5. E1 KUSTANNUKSET '!H122</f>
        <v>0</v>
      </c>
    </row>
    <row r="94" spans="2:56" ht="13.15" customHeight="1" x14ac:dyDescent="0.2">
      <c r="B94" s="1777">
        <f t="shared" si="71"/>
        <v>20</v>
      </c>
      <c r="C94" s="475" t="s">
        <v>377</v>
      </c>
      <c r="D94" s="1191"/>
      <c r="E94" s="1191"/>
      <c r="F94" s="1348"/>
      <c r="G94" s="622">
        <f>$U94/12</f>
        <v>0</v>
      </c>
      <c r="H94" s="622">
        <f t="shared" si="72"/>
        <v>0</v>
      </c>
      <c r="I94" s="622">
        <f t="shared" si="72"/>
        <v>0</v>
      </c>
      <c r="J94" s="622">
        <f t="shared" si="72"/>
        <v>0</v>
      </c>
      <c r="K94" s="622">
        <f t="shared" si="72"/>
        <v>0</v>
      </c>
      <c r="L94" s="622">
        <f t="shared" si="72"/>
        <v>0</v>
      </c>
      <c r="M94" s="622">
        <f t="shared" si="72"/>
        <v>0</v>
      </c>
      <c r="N94" s="622">
        <f t="shared" si="72"/>
        <v>0</v>
      </c>
      <c r="O94" s="622">
        <f t="shared" si="72"/>
        <v>0</v>
      </c>
      <c r="P94" s="622">
        <f t="shared" si="72"/>
        <v>0</v>
      </c>
      <c r="Q94" s="622">
        <f t="shared" si="72"/>
        <v>0</v>
      </c>
      <c r="R94" s="622">
        <f t="shared" si="72"/>
        <v>0</v>
      </c>
      <c r="S94" s="614">
        <f t="shared" si="46"/>
        <v>0</v>
      </c>
      <c r="T94" s="1002">
        <f>U94-S94</f>
        <v>0</v>
      </c>
      <c r="U94" s="913">
        <f>'AT2 Lainat,sotum., alv-osto'!F84</f>
        <v>0</v>
      </c>
    </row>
    <row r="95" spans="2:56" ht="13.15" customHeight="1" x14ac:dyDescent="0.2">
      <c r="B95" s="1777">
        <f t="shared" si="71"/>
        <v>21</v>
      </c>
      <c r="C95" s="2121" t="s">
        <v>557</v>
      </c>
      <c r="D95" s="2130"/>
      <c r="E95" s="2131"/>
      <c r="F95" s="1348"/>
      <c r="G95" s="622">
        <f>$U95/12</f>
        <v>0</v>
      </c>
      <c r="H95" s="622">
        <f t="shared" si="72"/>
        <v>0</v>
      </c>
      <c r="I95" s="622">
        <f t="shared" si="72"/>
        <v>0</v>
      </c>
      <c r="J95" s="622">
        <f t="shared" si="72"/>
        <v>0</v>
      </c>
      <c r="K95" s="622">
        <f t="shared" si="72"/>
        <v>0</v>
      </c>
      <c r="L95" s="622">
        <f t="shared" si="72"/>
        <v>0</v>
      </c>
      <c r="M95" s="622">
        <f t="shared" si="72"/>
        <v>0</v>
      </c>
      <c r="N95" s="622">
        <f t="shared" si="72"/>
        <v>0</v>
      </c>
      <c r="O95" s="622">
        <f t="shared" si="72"/>
        <v>0</v>
      </c>
      <c r="P95" s="622">
        <f t="shared" si="72"/>
        <v>0</v>
      </c>
      <c r="Q95" s="622">
        <f t="shared" si="72"/>
        <v>0</v>
      </c>
      <c r="R95" s="622">
        <f t="shared" si="72"/>
        <v>0</v>
      </c>
      <c r="S95" s="614">
        <f t="shared" ref="S95:S101" si="73">SUM(G95:R95)</f>
        <v>0</v>
      </c>
      <c r="T95" s="1002">
        <f>U95-S95</f>
        <v>0</v>
      </c>
      <c r="U95" s="913">
        <f>'4. T7 LAINAT '!K18+'4. T7 LAINAT '!K39</f>
        <v>0</v>
      </c>
    </row>
    <row r="96" spans="2:56" ht="13.15" customHeight="1" x14ac:dyDescent="0.2">
      <c r="B96" s="1777">
        <f t="shared" si="71"/>
        <v>22</v>
      </c>
      <c r="C96" s="475" t="s">
        <v>558</v>
      </c>
      <c r="D96" s="1191"/>
      <c r="E96" s="1191"/>
      <c r="F96" s="1348"/>
      <c r="G96" s="622">
        <f>$U96/12</f>
        <v>0</v>
      </c>
      <c r="H96" s="622">
        <f t="shared" si="72"/>
        <v>0</v>
      </c>
      <c r="I96" s="622">
        <f t="shared" si="72"/>
        <v>0</v>
      </c>
      <c r="J96" s="622">
        <f t="shared" si="72"/>
        <v>0</v>
      </c>
      <c r="K96" s="622">
        <f t="shared" si="72"/>
        <v>0</v>
      </c>
      <c r="L96" s="622">
        <f t="shared" si="72"/>
        <v>0</v>
      </c>
      <c r="M96" s="622">
        <f t="shared" si="72"/>
        <v>0</v>
      </c>
      <c r="N96" s="622">
        <f t="shared" si="72"/>
        <v>0</v>
      </c>
      <c r="O96" s="622">
        <f t="shared" si="72"/>
        <v>0</v>
      </c>
      <c r="P96" s="622">
        <f t="shared" si="72"/>
        <v>0</v>
      </c>
      <c r="Q96" s="622">
        <f t="shared" si="72"/>
        <v>0</v>
      </c>
      <c r="R96" s="622">
        <f t="shared" si="72"/>
        <v>0</v>
      </c>
      <c r="S96" s="614">
        <f t="shared" si="73"/>
        <v>0</v>
      </c>
      <c r="T96" s="1002">
        <f>U96-S96</f>
        <v>0</v>
      </c>
      <c r="U96" s="913">
        <f>-'2. &amp; 7. T2 TULOSSUUN. '!K27</f>
        <v>0</v>
      </c>
    </row>
    <row r="97" spans="2:38" ht="13.15" customHeight="1" x14ac:dyDescent="0.2">
      <c r="B97" s="1777">
        <f t="shared" si="71"/>
        <v>23</v>
      </c>
      <c r="C97" s="475" t="s">
        <v>257</v>
      </c>
      <c r="D97" s="1191"/>
      <c r="E97" s="1191"/>
      <c r="F97" s="1348"/>
      <c r="G97" s="622">
        <f>IF('1. T1 INVESTOINTISUUN.'!E36&gt;0,0,'1. T1 INVESTOINTISUUN.'!E35)+'1. T1 INVESTOINTISUUN.'!E30+'1. T1 INVESTOINTISUUN.'!E24+'1. T1 INVESTOINTISUUN.'!E17</f>
        <v>0</v>
      </c>
      <c r="H97" s="622"/>
      <c r="I97" s="622"/>
      <c r="J97" s="622"/>
      <c r="K97" s="622"/>
      <c r="L97" s="622"/>
      <c r="M97" s="622"/>
      <c r="N97" s="622"/>
      <c r="O97" s="622"/>
      <c r="P97" s="622"/>
      <c r="Q97" s="622"/>
      <c r="R97" s="622"/>
      <c r="S97" s="614">
        <f t="shared" si="73"/>
        <v>0</v>
      </c>
      <c r="T97" s="1003" t="s">
        <v>0</v>
      </c>
      <c r="U97" s="1358"/>
    </row>
    <row r="98" spans="2:38" ht="13.15" customHeight="1" x14ac:dyDescent="0.2">
      <c r="B98" s="1777">
        <f t="shared" si="71"/>
        <v>24</v>
      </c>
      <c r="C98" s="475" t="s">
        <v>380</v>
      </c>
      <c r="D98" s="1191"/>
      <c r="E98" s="1191"/>
      <c r="F98" s="1348"/>
      <c r="G98" s="622">
        <f>$U98/12</f>
        <v>0</v>
      </c>
      <c r="H98" s="622">
        <f t="shared" ref="H98:R98" si="74">$U98/12</f>
        <v>0</v>
      </c>
      <c r="I98" s="622">
        <f t="shared" si="74"/>
        <v>0</v>
      </c>
      <c r="J98" s="622">
        <f t="shared" si="74"/>
        <v>0</v>
      </c>
      <c r="K98" s="622">
        <f t="shared" si="74"/>
        <v>0</v>
      </c>
      <c r="L98" s="622">
        <f t="shared" si="74"/>
        <v>0</v>
      </c>
      <c r="M98" s="622">
        <f t="shared" si="74"/>
        <v>0</v>
      </c>
      <c r="N98" s="622">
        <f>$U98/12</f>
        <v>0</v>
      </c>
      <c r="O98" s="622">
        <f t="shared" si="74"/>
        <v>0</v>
      </c>
      <c r="P98" s="622">
        <f t="shared" si="74"/>
        <v>0</v>
      </c>
      <c r="Q98" s="622">
        <f t="shared" si="74"/>
        <v>0</v>
      </c>
      <c r="R98" s="622">
        <f t="shared" si="74"/>
        <v>0</v>
      </c>
      <c r="S98" s="614">
        <f t="shared" si="73"/>
        <v>0</v>
      </c>
      <c r="T98" s="1002">
        <f>U98-S98</f>
        <v>0</v>
      </c>
      <c r="U98" s="913">
        <f>'5. E1 KUSTANNUKSET '!F120</f>
        <v>0</v>
      </c>
    </row>
    <row r="99" spans="2:38" ht="13.15" customHeight="1" x14ac:dyDescent="0.2">
      <c r="B99" s="1777">
        <f t="shared" si="71"/>
        <v>25</v>
      </c>
      <c r="C99" s="2136" t="s">
        <v>529</v>
      </c>
      <c r="D99" s="2137"/>
      <c r="E99" s="2138"/>
      <c r="F99" s="1348"/>
      <c r="G99" s="622">
        <f>'1. T1 INVESTOINTISUUN.'!E38</f>
        <v>0</v>
      </c>
      <c r="H99" s="622"/>
      <c r="I99" s="622"/>
      <c r="J99" s="622"/>
      <c r="K99" s="622"/>
      <c r="L99" s="622"/>
      <c r="M99" s="622"/>
      <c r="N99" s="622"/>
      <c r="O99" s="622"/>
      <c r="P99" s="622"/>
      <c r="Q99" s="622">
        <v>0</v>
      </c>
      <c r="R99" s="622"/>
      <c r="S99" s="614">
        <f t="shared" si="73"/>
        <v>0</v>
      </c>
      <c r="T99" s="1004" t="s">
        <v>0</v>
      </c>
      <c r="U99" s="915"/>
    </row>
    <row r="100" spans="2:38" ht="13.15" customHeight="1" thickBot="1" x14ac:dyDescent="0.25">
      <c r="B100" s="1777">
        <f t="shared" si="71"/>
        <v>26</v>
      </c>
      <c r="C100" s="2139" t="s">
        <v>532</v>
      </c>
      <c r="D100" s="2140"/>
      <c r="E100" s="2141"/>
      <c r="F100" s="1348"/>
      <c r="G100" s="622">
        <v>0</v>
      </c>
      <c r="H100" s="622"/>
      <c r="I100" s="622"/>
      <c r="J100" s="622"/>
      <c r="K100" s="622"/>
      <c r="L100" s="622"/>
      <c r="M100" s="622"/>
      <c r="N100" s="622"/>
      <c r="O100" s="622"/>
      <c r="P100" s="622"/>
      <c r="Q100" s="622"/>
      <c r="R100" s="622"/>
      <c r="S100" s="624">
        <f t="shared" si="73"/>
        <v>0</v>
      </c>
      <c r="T100" s="1005" t="s">
        <v>0</v>
      </c>
      <c r="U100" s="157"/>
      <c r="AA100" s="1169">
        <f t="shared" ref="AA100:AL100" si="75">G103</f>
        <v>46760</v>
      </c>
      <c r="AB100" s="1169">
        <f t="shared" si="75"/>
        <v>46791</v>
      </c>
      <c r="AC100" s="1169">
        <f t="shared" si="75"/>
        <v>46822</v>
      </c>
      <c r="AD100" s="1169">
        <f t="shared" si="75"/>
        <v>46853</v>
      </c>
      <c r="AE100" s="1169">
        <f t="shared" si="75"/>
        <v>46884</v>
      </c>
      <c r="AF100" s="1169">
        <f t="shared" si="75"/>
        <v>46915</v>
      </c>
      <c r="AG100" s="1169">
        <f t="shared" si="75"/>
        <v>46946</v>
      </c>
      <c r="AH100" s="1169">
        <f t="shared" si="75"/>
        <v>46977</v>
      </c>
      <c r="AI100" s="1169">
        <f t="shared" si="75"/>
        <v>47008</v>
      </c>
      <c r="AJ100" s="1169">
        <f t="shared" si="75"/>
        <v>47039</v>
      </c>
      <c r="AK100" s="1169">
        <f t="shared" si="75"/>
        <v>47070</v>
      </c>
      <c r="AL100" s="1169">
        <f t="shared" si="75"/>
        <v>47101</v>
      </c>
    </row>
    <row r="101" spans="2:38" ht="17.45" customHeight="1" thickTop="1" thickBot="1" x14ac:dyDescent="0.25">
      <c r="B101" s="713"/>
      <c r="C101" s="1227" t="s">
        <v>511</v>
      </c>
      <c r="D101" s="1228"/>
      <c r="E101" s="1228"/>
      <c r="F101" s="1236"/>
      <c r="G101" s="714">
        <f>SUM(G78:G100)</f>
        <v>0</v>
      </c>
      <c r="H101" s="714">
        <f t="shared" ref="H101:R101" si="76">SUM(H78:H100)</f>
        <v>0</v>
      </c>
      <c r="I101" s="714">
        <f t="shared" si="76"/>
        <v>0</v>
      </c>
      <c r="J101" s="714">
        <f t="shared" si="76"/>
        <v>0</v>
      </c>
      <c r="K101" s="714">
        <f t="shared" si="76"/>
        <v>0</v>
      </c>
      <c r="L101" s="714">
        <f t="shared" si="76"/>
        <v>0</v>
      </c>
      <c r="M101" s="714">
        <f t="shared" si="76"/>
        <v>0</v>
      </c>
      <c r="N101" s="714">
        <f t="shared" si="76"/>
        <v>0</v>
      </c>
      <c r="O101" s="714">
        <f t="shared" si="76"/>
        <v>0</v>
      </c>
      <c r="P101" s="714">
        <f t="shared" si="76"/>
        <v>0</v>
      </c>
      <c r="Q101" s="714">
        <f t="shared" si="76"/>
        <v>0</v>
      </c>
      <c r="R101" s="714">
        <f t="shared" si="76"/>
        <v>0</v>
      </c>
      <c r="S101" s="714">
        <f t="shared" si="73"/>
        <v>0</v>
      </c>
      <c r="T101" s="229"/>
      <c r="U101" s="1464" t="s">
        <v>509</v>
      </c>
      <c r="W101" s="1502" t="s">
        <v>109</v>
      </c>
      <c r="X101" s="1503"/>
      <c r="Y101" s="1503"/>
      <c r="Z101" s="1504"/>
      <c r="AA101" s="628">
        <f t="shared" ref="AA101:AL102" si="77">G112</f>
        <v>0</v>
      </c>
      <c r="AB101" s="628">
        <f t="shared" si="77"/>
        <v>0</v>
      </c>
      <c r="AC101" s="628">
        <f t="shared" si="77"/>
        <v>0</v>
      </c>
      <c r="AD101" s="628">
        <f t="shared" si="77"/>
        <v>0</v>
      </c>
      <c r="AE101" s="628">
        <f t="shared" si="77"/>
        <v>0</v>
      </c>
      <c r="AF101" s="628">
        <f t="shared" si="77"/>
        <v>0</v>
      </c>
      <c r="AG101" s="628">
        <f t="shared" si="77"/>
        <v>0</v>
      </c>
      <c r="AH101" s="628">
        <f t="shared" si="77"/>
        <v>0</v>
      </c>
      <c r="AI101" s="628">
        <f t="shared" si="77"/>
        <v>0</v>
      </c>
      <c r="AJ101" s="628">
        <f t="shared" si="77"/>
        <v>0</v>
      </c>
      <c r="AK101" s="628">
        <f t="shared" si="77"/>
        <v>0</v>
      </c>
      <c r="AL101" s="628">
        <f t="shared" si="77"/>
        <v>0</v>
      </c>
    </row>
    <row r="102" spans="2:38" ht="13.5" thickTop="1" x14ac:dyDescent="0.2">
      <c r="B102" s="1165"/>
      <c r="C102" s="1166"/>
      <c r="D102" s="506"/>
      <c r="E102" s="506"/>
      <c r="F102" s="1167"/>
      <c r="G102" s="1168"/>
      <c r="H102" s="1168"/>
      <c r="I102" s="1168"/>
      <c r="J102" s="1168"/>
      <c r="K102" s="1168"/>
      <c r="L102" s="1168"/>
      <c r="M102" s="1168"/>
      <c r="N102" s="1168"/>
      <c r="O102" s="1168"/>
      <c r="P102" s="1168"/>
      <c r="Q102" s="1168"/>
      <c r="R102" s="1168"/>
      <c r="S102" s="1007"/>
      <c r="T102" s="229"/>
      <c r="U102" s="1465"/>
      <c r="W102" s="1505" t="s">
        <v>335</v>
      </c>
      <c r="X102" s="1506"/>
      <c r="Y102" s="1506"/>
      <c r="Z102" s="1507"/>
      <c r="AA102" s="628">
        <f t="shared" si="77"/>
        <v>0</v>
      </c>
      <c r="AB102" s="628">
        <f t="shared" si="77"/>
        <v>0</v>
      </c>
      <c r="AC102" s="628">
        <f t="shared" si="77"/>
        <v>0</v>
      </c>
      <c r="AD102" s="628">
        <f t="shared" si="77"/>
        <v>0</v>
      </c>
      <c r="AE102" s="628">
        <f t="shared" si="77"/>
        <v>0</v>
      </c>
      <c r="AF102" s="628">
        <f t="shared" si="77"/>
        <v>0</v>
      </c>
      <c r="AG102" s="628">
        <f t="shared" si="77"/>
        <v>0</v>
      </c>
      <c r="AH102" s="628">
        <f t="shared" si="77"/>
        <v>0</v>
      </c>
      <c r="AI102" s="628">
        <f t="shared" si="77"/>
        <v>0</v>
      </c>
      <c r="AJ102" s="628">
        <f t="shared" si="77"/>
        <v>0</v>
      </c>
      <c r="AK102" s="628">
        <f t="shared" si="77"/>
        <v>0</v>
      </c>
      <c r="AL102" s="628">
        <f t="shared" si="77"/>
        <v>0</v>
      </c>
    </row>
    <row r="103" spans="2:38" ht="16.149999999999999" customHeight="1" x14ac:dyDescent="0.2">
      <c r="B103" s="2124" t="s">
        <v>515</v>
      </c>
      <c r="C103" s="2125"/>
      <c r="D103" s="2125"/>
      <c r="E103" s="2125"/>
      <c r="F103" s="2126"/>
      <c r="G103" s="1169">
        <f>G77</f>
        <v>46760</v>
      </c>
      <c r="H103" s="1169">
        <f>H77</f>
        <v>46791</v>
      </c>
      <c r="I103" s="1169">
        <f t="shared" ref="I103:R103" si="78">I77</f>
        <v>46822</v>
      </c>
      <c r="J103" s="1169">
        <f t="shared" si="78"/>
        <v>46853</v>
      </c>
      <c r="K103" s="1169">
        <f t="shared" si="78"/>
        <v>46884</v>
      </c>
      <c r="L103" s="1169">
        <f t="shared" si="78"/>
        <v>46915</v>
      </c>
      <c r="M103" s="1169">
        <f t="shared" si="78"/>
        <v>46946</v>
      </c>
      <c r="N103" s="1169">
        <f t="shared" si="78"/>
        <v>46977</v>
      </c>
      <c r="O103" s="1169">
        <f t="shared" si="78"/>
        <v>47008</v>
      </c>
      <c r="P103" s="1169">
        <f t="shared" si="78"/>
        <v>47039</v>
      </c>
      <c r="Q103" s="1169">
        <f t="shared" si="78"/>
        <v>47070</v>
      </c>
      <c r="R103" s="1169">
        <f t="shared" si="78"/>
        <v>47101</v>
      </c>
      <c r="S103" s="1170" t="str">
        <f>S77</f>
        <v>YHT</v>
      </c>
      <c r="T103" s="1154" t="s">
        <v>479</v>
      </c>
      <c r="U103" s="1466"/>
    </row>
    <row r="104" spans="2:38" x14ac:dyDescent="0.2">
      <c r="B104" s="726">
        <v>27</v>
      </c>
      <c r="C104" s="1230" t="s">
        <v>379</v>
      </c>
      <c r="D104" s="1231"/>
      <c r="E104" s="1231"/>
      <c r="F104" s="1348"/>
      <c r="G104" s="625">
        <f>$U104/12</f>
        <v>0</v>
      </c>
      <c r="H104" s="625">
        <f t="shared" ref="H104:R104" si="79">$U104/12</f>
        <v>0</v>
      </c>
      <c r="I104" s="625">
        <f t="shared" si="79"/>
        <v>0</v>
      </c>
      <c r="J104" s="625">
        <f t="shared" si="79"/>
        <v>0</v>
      </c>
      <c r="K104" s="625">
        <f t="shared" si="79"/>
        <v>0</v>
      </c>
      <c r="L104" s="625">
        <f t="shared" si="79"/>
        <v>0</v>
      </c>
      <c r="M104" s="625">
        <f t="shared" si="79"/>
        <v>0</v>
      </c>
      <c r="N104" s="625">
        <f t="shared" si="79"/>
        <v>0</v>
      </c>
      <c r="O104" s="625">
        <f t="shared" si="79"/>
        <v>0</v>
      </c>
      <c r="P104" s="625">
        <f t="shared" si="79"/>
        <v>0</v>
      </c>
      <c r="Q104" s="625">
        <f t="shared" si="79"/>
        <v>0</v>
      </c>
      <c r="R104" s="625">
        <f t="shared" si="79"/>
        <v>0</v>
      </c>
      <c r="S104" s="626">
        <f t="shared" ref="S104:S109" si="80">SUM(G104:R104)</f>
        <v>0</v>
      </c>
      <c r="T104" s="1008">
        <f>U104-S104</f>
        <v>0</v>
      </c>
      <c r="U104" s="913">
        <f>'4. T7 LAINAT '!I19+'4. T7 LAINAT '!K19+'4. T7 LAINAT '!J45+'4. T7 LAINAT '!K45</f>
        <v>0</v>
      </c>
    </row>
    <row r="105" spans="2:38" x14ac:dyDescent="0.2">
      <c r="B105" s="1777">
        <f t="shared" ref="B105:B109" si="81">1+B104</f>
        <v>28</v>
      </c>
      <c r="C105" s="1336" t="s">
        <v>247</v>
      </c>
      <c r="D105" s="283"/>
      <c r="E105" s="283"/>
      <c r="F105" s="1348"/>
      <c r="G105" s="625">
        <f>U105</f>
        <v>0</v>
      </c>
      <c r="H105" s="625"/>
      <c r="I105" s="625"/>
      <c r="J105" s="625">
        <v>0</v>
      </c>
      <c r="K105" s="625">
        <v>0</v>
      </c>
      <c r="L105" s="625"/>
      <c r="M105" s="625"/>
      <c r="N105" s="625"/>
      <c r="O105" s="625"/>
      <c r="P105" s="625">
        <v>0</v>
      </c>
      <c r="Q105" s="625"/>
      <c r="R105" s="625">
        <v>0</v>
      </c>
      <c r="S105" s="626">
        <f t="shared" si="80"/>
        <v>0</v>
      </c>
      <c r="T105" s="1008">
        <f>U105-S105</f>
        <v>0</v>
      </c>
      <c r="U105" s="913">
        <f>'4. T7 LAINAT '!I39+'4. T7 LAINAT '!I45</f>
        <v>0</v>
      </c>
    </row>
    <row r="106" spans="2:38" x14ac:dyDescent="0.2">
      <c r="B106" s="1777">
        <f t="shared" si="81"/>
        <v>29</v>
      </c>
      <c r="C106" s="475" t="s">
        <v>263</v>
      </c>
      <c r="D106" s="1191"/>
      <c r="E106" s="1191"/>
      <c r="F106" s="1348"/>
      <c r="G106" s="622"/>
      <c r="H106" s="622"/>
      <c r="I106" s="622"/>
      <c r="J106" s="622"/>
      <c r="K106" s="622"/>
      <c r="L106" s="622">
        <f>$U106/2</f>
        <v>0</v>
      </c>
      <c r="M106" s="622">
        <v>0</v>
      </c>
      <c r="N106" s="622"/>
      <c r="O106" s="622"/>
      <c r="P106" s="622"/>
      <c r="Q106" s="622"/>
      <c r="R106" s="622">
        <f>$U106/2</f>
        <v>0</v>
      </c>
      <c r="S106" s="614">
        <f t="shared" si="80"/>
        <v>0</v>
      </c>
      <c r="T106" s="1008">
        <f>U106-S106</f>
        <v>0</v>
      </c>
      <c r="U106" s="913">
        <f>'4. T7 LAINAT '!I18+'4. T7 LAINAT '!J39</f>
        <v>0</v>
      </c>
    </row>
    <row r="107" spans="2:38" x14ac:dyDescent="0.2">
      <c r="B107" s="1777">
        <f t="shared" si="81"/>
        <v>30</v>
      </c>
      <c r="C107" s="475" t="s">
        <v>108</v>
      </c>
      <c r="D107" s="1191"/>
      <c r="E107" s="1191"/>
      <c r="F107" s="1348"/>
      <c r="G107" s="622">
        <f>'8. T4 RAHOITUSSUUN. '!I39</f>
        <v>0</v>
      </c>
      <c r="H107" s="622"/>
      <c r="I107" s="622"/>
      <c r="J107" s="622"/>
      <c r="K107" s="622"/>
      <c r="L107" s="622"/>
      <c r="M107" s="622"/>
      <c r="N107" s="622"/>
      <c r="O107" s="622"/>
      <c r="P107" s="622"/>
      <c r="Q107" s="622"/>
      <c r="R107" s="622"/>
      <c r="S107" s="614">
        <f t="shared" si="80"/>
        <v>0</v>
      </c>
      <c r="T107" s="1009" t="s">
        <v>0</v>
      </c>
      <c r="U107" s="1358"/>
    </row>
    <row r="108" spans="2:38" x14ac:dyDescent="0.2">
      <c r="B108" s="1777">
        <f t="shared" si="81"/>
        <v>31</v>
      </c>
      <c r="C108" s="475" t="s">
        <v>110</v>
      </c>
      <c r="D108" s="1191"/>
      <c r="E108" s="1191"/>
      <c r="F108" s="1348"/>
      <c r="G108" s="622">
        <f>U108</f>
        <v>0</v>
      </c>
      <c r="H108" s="622"/>
      <c r="I108" s="622"/>
      <c r="J108" s="622"/>
      <c r="K108" s="622"/>
      <c r="L108" s="622"/>
      <c r="M108" s="622"/>
      <c r="N108" s="622"/>
      <c r="O108" s="622"/>
      <c r="P108" s="622"/>
      <c r="Q108" s="622"/>
      <c r="R108" s="622"/>
      <c r="S108" s="614">
        <f t="shared" si="80"/>
        <v>0</v>
      </c>
      <c r="T108" s="1008">
        <f>U108-S108</f>
        <v>0</v>
      </c>
      <c r="U108" s="913">
        <f>'1. T1 INVESTOINTISUUN.'!E48+'1. T1 INVESTOINTISUUN.'!E49+'1. T1 INVESTOINTISUUN.'!E52</f>
        <v>0</v>
      </c>
    </row>
    <row r="109" spans="2:38" ht="13.5" thickBot="1" x14ac:dyDescent="0.25">
      <c r="B109" s="1777">
        <f t="shared" si="81"/>
        <v>32</v>
      </c>
      <c r="C109" s="1232" t="s">
        <v>111</v>
      </c>
      <c r="D109" s="1233"/>
      <c r="E109" s="1233"/>
      <c r="F109" s="1348"/>
      <c r="G109" s="622">
        <f>U109</f>
        <v>0</v>
      </c>
      <c r="H109" s="622"/>
      <c r="I109" s="622"/>
      <c r="J109" s="622"/>
      <c r="K109" s="622"/>
      <c r="L109" s="622">
        <v>0</v>
      </c>
      <c r="M109" s="622"/>
      <c r="N109" s="622"/>
      <c r="O109" s="622"/>
      <c r="P109" s="622"/>
      <c r="Q109" s="622"/>
      <c r="R109" s="622"/>
      <c r="S109" s="614">
        <f t="shared" si="80"/>
        <v>0</v>
      </c>
      <c r="T109" s="1008">
        <f>U109-S109</f>
        <v>0</v>
      </c>
      <c r="U109" s="913">
        <f>'1. T1 INVESTOINTISUUN.'!E51</f>
        <v>0</v>
      </c>
    </row>
    <row r="110" spans="2:38" ht="14.25" thickTop="1" thickBot="1" x14ac:dyDescent="0.25">
      <c r="B110" s="715"/>
      <c r="C110" s="2145" t="s">
        <v>510</v>
      </c>
      <c r="D110" s="2146"/>
      <c r="E110" s="2146"/>
      <c r="F110" s="2147"/>
      <c r="G110" s="716">
        <f>-G104+G105-G106-G107+G108+G109</f>
        <v>0</v>
      </c>
      <c r="H110" s="716">
        <f t="shared" ref="H110:R110" si="82">-H104+H105-H106-H107+H108+H109</f>
        <v>0</v>
      </c>
      <c r="I110" s="716">
        <f t="shared" si="82"/>
        <v>0</v>
      </c>
      <c r="J110" s="716">
        <f t="shared" si="82"/>
        <v>0</v>
      </c>
      <c r="K110" s="716">
        <f t="shared" si="82"/>
        <v>0</v>
      </c>
      <c r="L110" s="716">
        <f t="shared" si="82"/>
        <v>0</v>
      </c>
      <c r="M110" s="716">
        <f t="shared" si="82"/>
        <v>0</v>
      </c>
      <c r="N110" s="716">
        <f t="shared" si="82"/>
        <v>0</v>
      </c>
      <c r="O110" s="716">
        <f t="shared" si="82"/>
        <v>0</v>
      </c>
      <c r="P110" s="716">
        <f t="shared" si="82"/>
        <v>0</v>
      </c>
      <c r="Q110" s="716">
        <f t="shared" si="82"/>
        <v>0</v>
      </c>
      <c r="R110" s="716">
        <f t="shared" si="82"/>
        <v>0</v>
      </c>
      <c r="S110" s="717">
        <f>-S104+S105-S106-S107+S108+S109</f>
        <v>0</v>
      </c>
      <c r="U110" s="238"/>
    </row>
    <row r="111" spans="2:38" ht="13.5" thickTop="1" x14ac:dyDescent="0.2">
      <c r="B111" s="724"/>
      <c r="C111" s="314"/>
      <c r="D111" s="314"/>
      <c r="E111" s="314"/>
      <c r="F111" s="315"/>
      <c r="G111" s="620"/>
      <c r="H111" s="620"/>
      <c r="I111" s="620"/>
      <c r="J111" s="620"/>
      <c r="K111" s="620"/>
      <c r="L111" s="620"/>
      <c r="M111" s="620"/>
      <c r="N111" s="620"/>
      <c r="O111" s="620"/>
      <c r="P111" s="620"/>
      <c r="Q111" s="620"/>
      <c r="R111" s="620"/>
      <c r="S111" s="627"/>
      <c r="U111" s="238"/>
    </row>
    <row r="112" spans="2:38" x14ac:dyDescent="0.2">
      <c r="B112" s="1473">
        <v>33</v>
      </c>
      <c r="C112" s="2133" t="s">
        <v>109</v>
      </c>
      <c r="D112" s="2134"/>
      <c r="E112" s="2134"/>
      <c r="F112" s="2135"/>
      <c r="G112" s="628">
        <f>G75-G101+G110</f>
        <v>0</v>
      </c>
      <c r="H112" s="628">
        <f>H75-H101+H110</f>
        <v>0</v>
      </c>
      <c r="I112" s="628">
        <f t="shared" ref="I112:R112" si="83">I75-I101+I110</f>
        <v>0</v>
      </c>
      <c r="J112" s="628">
        <f t="shared" si="83"/>
        <v>0</v>
      </c>
      <c r="K112" s="628">
        <f t="shared" si="83"/>
        <v>0</v>
      </c>
      <c r="L112" s="628">
        <f t="shared" si="83"/>
        <v>0</v>
      </c>
      <c r="M112" s="628">
        <f t="shared" si="83"/>
        <v>0</v>
      </c>
      <c r="N112" s="628">
        <f t="shared" si="83"/>
        <v>0</v>
      </c>
      <c r="O112" s="628">
        <f t="shared" si="83"/>
        <v>0</v>
      </c>
      <c r="P112" s="628">
        <f t="shared" si="83"/>
        <v>0</v>
      </c>
      <c r="Q112" s="628">
        <f t="shared" si="83"/>
        <v>0</v>
      </c>
      <c r="R112" s="628">
        <f t="shared" si="83"/>
        <v>0</v>
      </c>
      <c r="S112" s="628">
        <f>SUM(G112:R112)</f>
        <v>0</v>
      </c>
      <c r="U112" s="238"/>
    </row>
    <row r="113" spans="2:19" x14ac:dyDescent="0.2">
      <c r="B113" s="1474">
        <v>34</v>
      </c>
      <c r="C113" s="2127" t="s">
        <v>335</v>
      </c>
      <c r="D113" s="2128"/>
      <c r="E113" s="2128"/>
      <c r="F113" s="2129"/>
      <c r="G113" s="628">
        <f t="shared" ref="G113:Q113" si="84">G66+G112+G67</f>
        <v>0</v>
      </c>
      <c r="H113" s="628">
        <f t="shared" si="84"/>
        <v>0</v>
      </c>
      <c r="I113" s="628">
        <f t="shared" si="84"/>
        <v>0</v>
      </c>
      <c r="J113" s="628">
        <f t="shared" si="84"/>
        <v>0</v>
      </c>
      <c r="K113" s="628">
        <f t="shared" si="84"/>
        <v>0</v>
      </c>
      <c r="L113" s="628">
        <f t="shared" si="84"/>
        <v>0</v>
      </c>
      <c r="M113" s="628">
        <f t="shared" si="84"/>
        <v>0</v>
      </c>
      <c r="N113" s="628">
        <f t="shared" si="84"/>
        <v>0</v>
      </c>
      <c r="O113" s="628">
        <f t="shared" si="84"/>
        <v>0</v>
      </c>
      <c r="P113" s="628">
        <f t="shared" si="84"/>
        <v>0</v>
      </c>
      <c r="Q113" s="628">
        <f t="shared" si="84"/>
        <v>0</v>
      </c>
      <c r="R113" s="1017">
        <f>R66+R112+R67</f>
        <v>0</v>
      </c>
      <c r="S113" s="732"/>
    </row>
    <row r="115" spans="2:19" x14ac:dyDescent="0.2">
      <c r="S115" s="144">
        <f>OHJE!I5</f>
        <v>0</v>
      </c>
    </row>
    <row r="116" spans="2:19" x14ac:dyDescent="0.2">
      <c r="S116" s="1524" t="str">
        <f>OHJE!I21</f>
        <v>Kehittämisyhtiö Witas Oy</v>
      </c>
    </row>
    <row r="195" spans="23:206" x14ac:dyDescent="0.2">
      <c r="W195">
        <v>0</v>
      </c>
      <c r="X195">
        <v>10</v>
      </c>
      <c r="Y195">
        <v>1.11111111111111E+118</v>
      </c>
      <c r="Z195">
        <v>1</v>
      </c>
      <c r="AA195">
        <v>1</v>
      </c>
      <c r="AB195">
        <v>1</v>
      </c>
      <c r="AC195">
        <v>1</v>
      </c>
      <c r="AD195">
        <v>1</v>
      </c>
      <c r="AJ195">
        <v>1</v>
      </c>
      <c r="AK195">
        <v>1</v>
      </c>
      <c r="AL195">
        <v>1</v>
      </c>
      <c r="AM195">
        <v>1</v>
      </c>
      <c r="AN195">
        <v>1</v>
      </c>
      <c r="AO195">
        <v>1</v>
      </c>
      <c r="AP195">
        <v>1</v>
      </c>
      <c r="AQ195">
        <v>1</v>
      </c>
      <c r="AR195">
        <v>1</v>
      </c>
      <c r="AS195">
        <v>1</v>
      </c>
      <c r="AT195">
        <v>1</v>
      </c>
      <c r="AU195">
        <v>1</v>
      </c>
      <c r="AV195">
        <v>1</v>
      </c>
      <c r="AW195">
        <v>1</v>
      </c>
      <c r="AX195">
        <v>1</v>
      </c>
      <c r="AY195">
        <v>1</v>
      </c>
      <c r="AZ195">
        <v>1</v>
      </c>
      <c r="BA195">
        <v>1</v>
      </c>
      <c r="BB195">
        <v>1</v>
      </c>
      <c r="BC195">
        <v>1</v>
      </c>
      <c r="BD195">
        <v>1</v>
      </c>
      <c r="BE195">
        <v>1</v>
      </c>
      <c r="BF195">
        <v>1</v>
      </c>
      <c r="BG195">
        <v>1</v>
      </c>
      <c r="BH195">
        <v>1</v>
      </c>
      <c r="BI195">
        <v>1</v>
      </c>
      <c r="BJ195">
        <v>1</v>
      </c>
      <c r="BK195">
        <v>1</v>
      </c>
      <c r="BL195">
        <v>1</v>
      </c>
      <c r="BM195">
        <v>1</v>
      </c>
      <c r="BN195">
        <v>1</v>
      </c>
      <c r="BO195">
        <v>1</v>
      </c>
      <c r="BP195">
        <v>1</v>
      </c>
      <c r="BQ195">
        <v>1</v>
      </c>
      <c r="BR195">
        <v>1</v>
      </c>
      <c r="BS195">
        <v>1</v>
      </c>
      <c r="BT195">
        <v>1</v>
      </c>
      <c r="BU195">
        <v>1</v>
      </c>
      <c r="BV195">
        <v>1</v>
      </c>
      <c r="BW195">
        <v>1</v>
      </c>
      <c r="BX195">
        <v>1</v>
      </c>
      <c r="BY195">
        <v>1</v>
      </c>
      <c r="BZ195">
        <v>1</v>
      </c>
      <c r="CA195">
        <v>1</v>
      </c>
      <c r="CB195">
        <v>1</v>
      </c>
      <c r="CC195">
        <v>1</v>
      </c>
      <c r="CD195">
        <v>1</v>
      </c>
      <c r="CE195">
        <v>1</v>
      </c>
      <c r="CF195">
        <v>1</v>
      </c>
      <c r="CG195">
        <v>1</v>
      </c>
      <c r="CH195">
        <v>1</v>
      </c>
      <c r="CI195">
        <v>1</v>
      </c>
      <c r="CJ195">
        <v>1</v>
      </c>
      <c r="CK195">
        <v>1</v>
      </c>
      <c r="CL195">
        <v>1</v>
      </c>
      <c r="CM195">
        <v>1</v>
      </c>
      <c r="CN195">
        <v>1</v>
      </c>
      <c r="CO195">
        <v>1</v>
      </c>
      <c r="CP195">
        <v>1</v>
      </c>
      <c r="CQ195">
        <v>1</v>
      </c>
      <c r="CR195">
        <v>1</v>
      </c>
      <c r="CS195">
        <v>1</v>
      </c>
      <c r="CT195">
        <v>1</v>
      </c>
      <c r="CU195">
        <v>1</v>
      </c>
      <c r="CV195">
        <v>1</v>
      </c>
      <c r="CW195">
        <v>1</v>
      </c>
      <c r="CX195">
        <v>1</v>
      </c>
      <c r="CY195">
        <v>1</v>
      </c>
      <c r="CZ195">
        <v>1</v>
      </c>
      <c r="DA195">
        <v>1</v>
      </c>
      <c r="DB195">
        <v>1</v>
      </c>
      <c r="DC195">
        <v>1</v>
      </c>
      <c r="DD195">
        <v>1</v>
      </c>
      <c r="DE195">
        <v>1</v>
      </c>
      <c r="DF195">
        <v>1</v>
      </c>
      <c r="DG195">
        <v>1</v>
      </c>
      <c r="DH195">
        <v>1</v>
      </c>
      <c r="DI195">
        <v>1</v>
      </c>
      <c r="DJ195">
        <v>1</v>
      </c>
      <c r="DK195">
        <v>1</v>
      </c>
      <c r="DL195">
        <v>1</v>
      </c>
      <c r="DM195">
        <v>1</v>
      </c>
      <c r="DN195">
        <v>1</v>
      </c>
      <c r="DO195">
        <v>1</v>
      </c>
      <c r="DP195">
        <v>1</v>
      </c>
      <c r="DQ195">
        <v>1</v>
      </c>
      <c r="DR195">
        <v>1</v>
      </c>
      <c r="DS195">
        <v>1</v>
      </c>
      <c r="DT195">
        <v>1</v>
      </c>
      <c r="DU195">
        <v>1</v>
      </c>
      <c r="DV195">
        <v>1</v>
      </c>
      <c r="DW195">
        <v>1</v>
      </c>
      <c r="DX195">
        <v>1</v>
      </c>
      <c r="DY195">
        <v>1</v>
      </c>
      <c r="DZ195">
        <v>1</v>
      </c>
      <c r="EA195">
        <v>1</v>
      </c>
      <c r="EB195">
        <v>1</v>
      </c>
      <c r="EC195">
        <v>1</v>
      </c>
      <c r="ED195">
        <v>1</v>
      </c>
      <c r="EE195">
        <v>1</v>
      </c>
      <c r="EF195">
        <v>1</v>
      </c>
      <c r="EG195">
        <v>1</v>
      </c>
      <c r="EH195">
        <v>1</v>
      </c>
      <c r="EI195">
        <v>1</v>
      </c>
      <c r="EJ195">
        <v>1</v>
      </c>
      <c r="EK195">
        <v>1</v>
      </c>
      <c r="EL195">
        <v>1</v>
      </c>
      <c r="EM195">
        <v>1</v>
      </c>
      <c r="EN195">
        <v>1</v>
      </c>
      <c r="EO195">
        <v>1</v>
      </c>
      <c r="EP195">
        <v>1</v>
      </c>
      <c r="EQ195">
        <v>1</v>
      </c>
      <c r="ER195">
        <v>1</v>
      </c>
      <c r="ES195">
        <v>1</v>
      </c>
      <c r="ET195">
        <v>1</v>
      </c>
      <c r="EU195">
        <v>1</v>
      </c>
      <c r="EV195">
        <v>1</v>
      </c>
      <c r="EW195">
        <v>1</v>
      </c>
      <c r="EX195">
        <v>1</v>
      </c>
      <c r="EY195">
        <v>1</v>
      </c>
      <c r="EZ195">
        <v>1</v>
      </c>
      <c r="FA195">
        <v>1</v>
      </c>
      <c r="FB195">
        <v>1</v>
      </c>
      <c r="FC195">
        <v>1</v>
      </c>
      <c r="FD195">
        <v>1</v>
      </c>
      <c r="FE195">
        <v>1</v>
      </c>
      <c r="FF195">
        <v>1</v>
      </c>
      <c r="FG195">
        <v>1</v>
      </c>
      <c r="FH195">
        <v>1</v>
      </c>
      <c r="FI195">
        <v>1</v>
      </c>
      <c r="FJ195">
        <v>1</v>
      </c>
      <c r="FK195">
        <v>1</v>
      </c>
      <c r="FL195">
        <v>1</v>
      </c>
      <c r="FM195">
        <v>1</v>
      </c>
      <c r="FN195">
        <v>1</v>
      </c>
      <c r="FO195">
        <v>1</v>
      </c>
      <c r="FP195">
        <v>1</v>
      </c>
      <c r="FQ195">
        <v>1</v>
      </c>
      <c r="FR195">
        <v>1</v>
      </c>
      <c r="FS195">
        <v>1</v>
      </c>
      <c r="FT195">
        <v>1</v>
      </c>
      <c r="FU195">
        <v>1</v>
      </c>
      <c r="FV195">
        <v>1</v>
      </c>
      <c r="FW195">
        <v>1</v>
      </c>
      <c r="FX195">
        <v>1</v>
      </c>
      <c r="FY195">
        <v>1</v>
      </c>
      <c r="FZ195">
        <v>1</v>
      </c>
      <c r="GA195">
        <v>1</v>
      </c>
      <c r="GB195">
        <v>1</v>
      </c>
      <c r="GC195">
        <v>1</v>
      </c>
      <c r="GD195">
        <v>1</v>
      </c>
      <c r="GE195">
        <v>1</v>
      </c>
      <c r="GF195">
        <v>1</v>
      </c>
      <c r="GG195">
        <v>1</v>
      </c>
      <c r="GH195">
        <v>1</v>
      </c>
      <c r="GI195">
        <v>1</v>
      </c>
      <c r="GJ195">
        <v>1</v>
      </c>
      <c r="GK195">
        <v>1</v>
      </c>
      <c r="GL195">
        <v>1</v>
      </c>
      <c r="GM195">
        <v>1</v>
      </c>
      <c r="GN195">
        <v>1</v>
      </c>
      <c r="GO195">
        <v>1</v>
      </c>
      <c r="GP195">
        <v>1</v>
      </c>
      <c r="GQ195">
        <v>1</v>
      </c>
      <c r="GR195">
        <v>1</v>
      </c>
      <c r="GS195">
        <v>1</v>
      </c>
      <c r="GT195">
        <v>1</v>
      </c>
      <c r="GU195">
        <v>1</v>
      </c>
      <c r="GV195">
        <v>1</v>
      </c>
      <c r="GW195">
        <v>1</v>
      </c>
      <c r="GX195">
        <v>1</v>
      </c>
    </row>
  </sheetData>
  <sheetProtection algorithmName="SHA-512" hashValue="7SpU34JzwB3tJdg50tqqLzbWc5vi3dFXLUMit3qUMcURIu6UHRrjkwXcmd6VdxdPzJMckXxbTtwyj+4uIBvyaQ==" saltValue="6/k9q9bgRXaDuWDe7Kvs2A==" spinCount="100000" sheet="1"/>
  <mergeCells count="97">
    <mergeCell ref="B65:E65"/>
    <mergeCell ref="B66:B67"/>
    <mergeCell ref="C66:F66"/>
    <mergeCell ref="C67:F67"/>
    <mergeCell ref="C36:E36"/>
    <mergeCell ref="C68:D68"/>
    <mergeCell ref="D69:F69"/>
    <mergeCell ref="C70:E70"/>
    <mergeCell ref="D71:F71"/>
    <mergeCell ref="C73:E73"/>
    <mergeCell ref="C74:E74"/>
    <mergeCell ref="C75:E75"/>
    <mergeCell ref="B77:E77"/>
    <mergeCell ref="B78:B79"/>
    <mergeCell ref="B103:F103"/>
    <mergeCell ref="C78:E78"/>
    <mergeCell ref="C80:E80"/>
    <mergeCell ref="C82:E82"/>
    <mergeCell ref="C83:E83"/>
    <mergeCell ref="C84:E84"/>
    <mergeCell ref="C85:E85"/>
    <mergeCell ref="B87:B88"/>
    <mergeCell ref="C92:E92"/>
    <mergeCell ref="C113:F113"/>
    <mergeCell ref="C86:E86"/>
    <mergeCell ref="C95:E95"/>
    <mergeCell ref="C99:E99"/>
    <mergeCell ref="C100:E100"/>
    <mergeCell ref="C110:F110"/>
    <mergeCell ref="C112:F112"/>
    <mergeCell ref="C87:E87"/>
    <mergeCell ref="C88:E88"/>
    <mergeCell ref="C89:E89"/>
    <mergeCell ref="AG5:AH6"/>
    <mergeCell ref="AF46:AL47"/>
    <mergeCell ref="W46:Z47"/>
    <mergeCell ref="O62:Q62"/>
    <mergeCell ref="W43:Y43"/>
    <mergeCell ref="O7:Q7"/>
    <mergeCell ref="AJ45:AL45"/>
    <mergeCell ref="W41:X41"/>
    <mergeCell ref="W42:Y42"/>
    <mergeCell ref="U45:U47"/>
    <mergeCell ref="AB5:AD5"/>
    <mergeCell ref="D13:F13"/>
    <mergeCell ref="C54:F54"/>
    <mergeCell ref="C14:E14"/>
    <mergeCell ref="D15:F15"/>
    <mergeCell ref="C26:E26"/>
    <mergeCell ref="C27:E27"/>
    <mergeCell ref="C24:E24"/>
    <mergeCell ref="B21:E21"/>
    <mergeCell ref="C19:E19"/>
    <mergeCell ref="C22:E22"/>
    <mergeCell ref="C32:E32"/>
    <mergeCell ref="B31:B32"/>
    <mergeCell ref="C31:E31"/>
    <mergeCell ref="J63:M63"/>
    <mergeCell ref="C18:E18"/>
    <mergeCell ref="C17:E17"/>
    <mergeCell ref="M60:S60"/>
    <mergeCell ref="C29:E29"/>
    <mergeCell ref="B47:F47"/>
    <mergeCell ref="C57:F57"/>
    <mergeCell ref="C39:E39"/>
    <mergeCell ref="O59:S59"/>
    <mergeCell ref="B22:B23"/>
    <mergeCell ref="C56:F56"/>
    <mergeCell ref="C43:E43"/>
    <mergeCell ref="C44:E44"/>
    <mergeCell ref="C28:E28"/>
    <mergeCell ref="C30:E30"/>
    <mergeCell ref="J62:L62"/>
    <mergeCell ref="I4:J4"/>
    <mergeCell ref="C10:F10"/>
    <mergeCell ref="C12:D12"/>
    <mergeCell ref="B7:E7"/>
    <mergeCell ref="J7:M7"/>
    <mergeCell ref="B10:B11"/>
    <mergeCell ref="C11:F11"/>
    <mergeCell ref="B9:E9"/>
    <mergeCell ref="J5:L5"/>
    <mergeCell ref="U73:U77"/>
    <mergeCell ref="BM19:BO19"/>
    <mergeCell ref="AU21:AU22"/>
    <mergeCell ref="BB21:BB22"/>
    <mergeCell ref="BI21:BI22"/>
    <mergeCell ref="BF19:BL19"/>
    <mergeCell ref="AP26:AQ26"/>
    <mergeCell ref="AY25:AZ25"/>
    <mergeCell ref="BF25:BG25"/>
    <mergeCell ref="AP19:AX19"/>
    <mergeCell ref="AR25:AS25"/>
    <mergeCell ref="AC64:AD64"/>
    <mergeCell ref="AY19:BE19"/>
    <mergeCell ref="U17:U21"/>
    <mergeCell ref="AP27:AQ27"/>
  </mergeCells>
  <conditionalFormatting sqref="G57:R57">
    <cfRule type="cellIs" dxfId="30" priority="4" operator="lessThan">
      <formula>0</formula>
    </cfRule>
  </conditionalFormatting>
  <conditionalFormatting sqref="G113:R113">
    <cfRule type="cellIs" dxfId="29" priority="1" operator="lessThan">
      <formula>0</formula>
    </cfRule>
  </conditionalFormatting>
  <conditionalFormatting sqref="AA102:AL102">
    <cfRule type="cellIs" dxfId="28" priority="2" operator="lessThan">
      <formula>0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69" pageOrder="overThenDown" orientation="landscape" verticalDpi="4" r:id="rId1"/>
  <rowBreaks count="1" manualBreakCount="1">
    <brk id="61" min="1" max="37" man="1"/>
  </rowBreaks>
  <colBreaks count="1" manualBreakCount="1">
    <brk id="21" min="4" max="114" man="1"/>
  </colBreaks>
  <ignoredErrors>
    <ignoredError sqref="S17" formulaRange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ul7"/>
  <dimension ref="A1:Z71"/>
  <sheetViews>
    <sheetView workbookViewId="0"/>
  </sheetViews>
  <sheetFormatPr defaultRowHeight="12.75" x14ac:dyDescent="0.2"/>
  <cols>
    <col min="1" max="1" width="10.140625" customWidth="1"/>
    <col min="2" max="2" width="24.5703125" customWidth="1"/>
    <col min="3" max="12" width="9.28515625" customWidth="1"/>
    <col min="13" max="13" width="9.7109375" customWidth="1"/>
    <col min="14" max="14" width="9.28515625" customWidth="1"/>
    <col min="16" max="16" width="32.28515625" customWidth="1"/>
    <col min="25" max="25" width="9.7109375" bestFit="1" customWidth="1"/>
  </cols>
  <sheetData>
    <row r="1" spans="1:26" ht="16.5" thickBot="1" x14ac:dyDescent="0.25">
      <c r="A1" s="4"/>
      <c r="B1" s="1508" t="s">
        <v>594</v>
      </c>
      <c r="C1" s="1509" cm="1">
        <f t="array" ref="C1:G1">'9. T5 KASSABUDJETTI  '!M5:Q5</f>
        <v>2027</v>
      </c>
      <c r="D1" s="4">
        <v>0</v>
      </c>
      <c r="E1" s="4">
        <v>0</v>
      </c>
      <c r="F1" s="4">
        <v>0</v>
      </c>
      <c r="G1" s="4">
        <v>0</v>
      </c>
      <c r="H1" s="4"/>
      <c r="I1" s="4"/>
      <c r="J1" s="4"/>
      <c r="K1" s="4"/>
      <c r="L1" s="4"/>
      <c r="M1" s="4"/>
      <c r="N1" s="4"/>
    </row>
    <row r="2" spans="1:26" s="2" customFormat="1" x14ac:dyDescent="0.2">
      <c r="A2" s="436"/>
      <c r="B2" s="44" t="s">
        <v>304</v>
      </c>
      <c r="C2" s="437">
        <f>'9. T5 KASSABUDJETTI  '!G$9</f>
        <v>46388</v>
      </c>
      <c r="D2" s="437">
        <f>'9. T5 KASSABUDJETTI  '!H9</f>
        <v>46419</v>
      </c>
      <c r="E2" s="437">
        <f>'9. T5 KASSABUDJETTI  '!I9</f>
        <v>46450</v>
      </c>
      <c r="F2" s="437">
        <f>'9. T5 KASSABUDJETTI  '!J9</f>
        <v>46481</v>
      </c>
      <c r="G2" s="437">
        <f>'9. T5 KASSABUDJETTI  '!K9</f>
        <v>46512</v>
      </c>
      <c r="H2" s="437">
        <f>'9. T5 KASSABUDJETTI  '!L9</f>
        <v>46543</v>
      </c>
      <c r="I2" s="437">
        <f>'9. T5 KASSABUDJETTI  '!M9</f>
        <v>46574</v>
      </c>
      <c r="J2" s="437">
        <f>'9. T5 KASSABUDJETTI  '!N9</f>
        <v>46605</v>
      </c>
      <c r="K2" s="437">
        <f>'9. T5 KASSABUDJETTI  '!O9</f>
        <v>46636</v>
      </c>
      <c r="L2" s="437">
        <f>'9. T5 KASSABUDJETTI  '!P9</f>
        <v>46667</v>
      </c>
      <c r="M2" s="437">
        <f>'9. T5 KASSABUDJETTI  '!Q9</f>
        <v>46698</v>
      </c>
      <c r="N2" s="438">
        <f>'9. T5 KASSABUDJETTI  '!R9</f>
        <v>46729</v>
      </c>
      <c r="O2" s="428"/>
      <c r="P2" s="436" t="s">
        <v>550</v>
      </c>
      <c r="Q2" s="437">
        <f>C2</f>
        <v>46388</v>
      </c>
      <c r="R2" s="437">
        <f>D2</f>
        <v>46419</v>
      </c>
      <c r="S2" s="438">
        <f>E2</f>
        <v>46450</v>
      </c>
      <c r="T2" s="428"/>
      <c r="U2" s="428"/>
      <c r="V2" s="428"/>
      <c r="W2" s="428"/>
      <c r="X2" s="428"/>
      <c r="Y2" s="428"/>
      <c r="Z2" s="428"/>
    </row>
    <row r="3" spans="1:26" s="2" customFormat="1" x14ac:dyDescent="0.2">
      <c r="A3" s="439"/>
      <c r="B3" s="25" t="s">
        <v>303</v>
      </c>
      <c r="C3" s="430">
        <f>'8. T4 RAHOITUSSUUN. '!G$52</f>
        <v>0</v>
      </c>
      <c r="D3" s="430">
        <f>C3</f>
        <v>0</v>
      </c>
      <c r="E3" s="430">
        <f t="shared" ref="E3:N3" si="0">D3</f>
        <v>0</v>
      </c>
      <c r="F3" s="430">
        <f t="shared" si="0"/>
        <v>0</v>
      </c>
      <c r="G3" s="430">
        <f t="shared" si="0"/>
        <v>0</v>
      </c>
      <c r="H3" s="430">
        <f t="shared" si="0"/>
        <v>0</v>
      </c>
      <c r="I3" s="430">
        <f t="shared" si="0"/>
        <v>0</v>
      </c>
      <c r="J3" s="430">
        <f t="shared" si="0"/>
        <v>0</v>
      </c>
      <c r="K3" s="430">
        <f t="shared" si="0"/>
        <v>0</v>
      </c>
      <c r="L3" s="430">
        <f t="shared" si="0"/>
        <v>0</v>
      </c>
      <c r="M3" s="430">
        <f t="shared" si="0"/>
        <v>0</v>
      </c>
      <c r="N3" s="440">
        <f t="shared" si="0"/>
        <v>0</v>
      </c>
      <c r="P3" s="1452" t="s">
        <v>303</v>
      </c>
      <c r="Q3" s="430">
        <f>'8. T4 RAHOITUSSUUN. '!G$57</f>
        <v>0</v>
      </c>
      <c r="R3" s="430">
        <f>Q3</f>
        <v>0</v>
      </c>
      <c r="S3" s="440">
        <f>R3</f>
        <v>0</v>
      </c>
    </row>
    <row r="4" spans="1:26" s="2" customFormat="1" x14ac:dyDescent="0.2">
      <c r="A4" s="439"/>
      <c r="B4" s="25" t="s">
        <v>305</v>
      </c>
      <c r="C4" s="431">
        <f>IF(C3=0,0,'3. T3 TASE '!G$40/C3)</f>
        <v>0</v>
      </c>
      <c r="D4" s="431"/>
      <c r="E4" s="431"/>
      <c r="F4" s="431"/>
      <c r="G4" s="431"/>
      <c r="H4" s="431"/>
      <c r="I4" s="25"/>
      <c r="J4" s="25"/>
      <c r="K4" s="25"/>
      <c r="L4" s="25"/>
      <c r="M4" s="25"/>
      <c r="N4" s="441"/>
      <c r="P4" s="1452" t="s">
        <v>551</v>
      </c>
      <c r="Q4" s="431">
        <f>IF(Q3=0,0,'3. T3 TASE '!G$78/Q3)</f>
        <v>0</v>
      </c>
      <c r="R4" s="431"/>
      <c r="S4" s="1453"/>
    </row>
    <row r="5" spans="1:26" x14ac:dyDescent="0.2">
      <c r="A5" s="340"/>
      <c r="B5" s="4" t="s">
        <v>292</v>
      </c>
      <c r="C5" s="27">
        <f>IF(C3&lt;31,C4*C3,0)</f>
        <v>0</v>
      </c>
      <c r="D5" s="27"/>
      <c r="E5" s="27"/>
      <c r="F5" s="27"/>
      <c r="G5" s="27"/>
      <c r="H5" s="27"/>
      <c r="I5" s="4"/>
      <c r="J5" s="4"/>
      <c r="K5" s="4"/>
      <c r="L5" s="4"/>
      <c r="M5" s="4"/>
      <c r="N5" s="442"/>
      <c r="P5" s="340" t="s">
        <v>292</v>
      </c>
      <c r="Q5" s="27">
        <f>IF(Q3&lt;31,Q4*Q3,0)</f>
        <v>0</v>
      </c>
      <c r="R5" s="27"/>
      <c r="S5" s="1454"/>
    </row>
    <row r="6" spans="1:26" x14ac:dyDescent="0.2">
      <c r="A6" s="340"/>
      <c r="B6" s="4" t="s">
        <v>293</v>
      </c>
      <c r="C6" s="27">
        <f>IF(C$3&lt;31,0,IF(C$3&lt;61,30*C$4,0))</f>
        <v>0</v>
      </c>
      <c r="D6" s="27">
        <f>IF(D$3&lt;31,0,IF(D$3&lt;61,$C$4*(30-(60-$C$3)),0))</f>
        <v>0</v>
      </c>
      <c r="E6" s="27"/>
      <c r="F6" s="27"/>
      <c r="G6" s="27"/>
      <c r="H6" s="27"/>
      <c r="I6" s="4"/>
      <c r="J6" s="4"/>
      <c r="K6" s="4"/>
      <c r="L6" s="4"/>
      <c r="M6" s="4"/>
      <c r="N6" s="442"/>
      <c r="P6" s="340" t="s">
        <v>293</v>
      </c>
      <c r="Q6" s="27">
        <f>IF(Q$3&lt;31,0,IF(Q$3&lt;61,30*Q$4,0))</f>
        <v>0</v>
      </c>
      <c r="R6" s="27">
        <f>IF(R$3&lt;31,0,IF(R$3&lt;61,$Q$4*(30-(60-$Q$3)),0))</f>
        <v>0</v>
      </c>
      <c r="S6" s="1454"/>
    </row>
    <row r="7" spans="1:26" x14ac:dyDescent="0.2">
      <c r="A7" s="340"/>
      <c r="B7" s="4" t="s">
        <v>294</v>
      </c>
      <c r="C7" s="27">
        <f>IF(C$3&lt;61,0,IF(C$3&lt;91,30*C$4,0))</f>
        <v>0</v>
      </c>
      <c r="D7" s="27">
        <f>C7</f>
        <v>0</v>
      </c>
      <c r="E7" s="27">
        <f>IF(E$3&lt;61,0,IF(E$3&lt;91,$C$4*(30-(90-$C$3)),0))</f>
        <v>0</v>
      </c>
      <c r="F7" s="27"/>
      <c r="G7" s="27"/>
      <c r="H7" s="27"/>
      <c r="I7" s="4"/>
      <c r="J7" s="4"/>
      <c r="K7" s="4"/>
      <c r="L7" s="4"/>
      <c r="M7" s="4"/>
      <c r="N7" s="442"/>
      <c r="P7" s="340" t="s">
        <v>294</v>
      </c>
      <c r="Q7" s="27">
        <f>IF(Q$3&lt;61,0,IF(Q$3&lt;91,30*Q$4,0))</f>
        <v>0</v>
      </c>
      <c r="R7" s="27">
        <f>Q7</f>
        <v>0</v>
      </c>
      <c r="S7" s="1454">
        <f>IF(S$3&lt;61,0,IF(S$3&lt;91,$Q$4*(30-(90-$Q$3)),0))</f>
        <v>0</v>
      </c>
    </row>
    <row r="8" spans="1:26" ht="13.5" thickBot="1" x14ac:dyDescent="0.25">
      <c r="A8" s="340"/>
      <c r="B8" s="4" t="s">
        <v>295</v>
      </c>
      <c r="C8" s="27">
        <f>IF(C$3&lt;91,0,IF(C$3&lt;121,30*C$4,0))</f>
        <v>0</v>
      </c>
      <c r="D8" s="27">
        <f>C8</f>
        <v>0</v>
      </c>
      <c r="E8" s="27">
        <f t="shared" ref="E8:F10" si="1">D8</f>
        <v>0</v>
      </c>
      <c r="F8" s="27">
        <f>IF(F$3&lt;91,0,IF(F$3&lt;121,$C$4*(30-(120-$C$3)),0))</f>
        <v>0</v>
      </c>
      <c r="G8" s="27"/>
      <c r="H8" s="27"/>
      <c r="I8" s="4"/>
      <c r="J8" s="4"/>
      <c r="K8" s="4"/>
      <c r="L8" s="4"/>
      <c r="M8" s="4"/>
      <c r="N8" s="442"/>
      <c r="P8" s="1455"/>
      <c r="Q8" s="253">
        <f>SUM(Q5:Q7)</f>
        <v>0</v>
      </c>
      <c r="R8" s="253">
        <f>SUM(R5:R7)</f>
        <v>0</v>
      </c>
      <c r="S8" s="1456">
        <f>SUM(S5:S7)</f>
        <v>0</v>
      </c>
    </row>
    <row r="9" spans="1:26" x14ac:dyDescent="0.2">
      <c r="A9" s="340"/>
      <c r="B9" s="4" t="s">
        <v>296</v>
      </c>
      <c r="C9" s="27">
        <f>IF(C$3&lt;121,0,IF(C$3&lt;151,30*C$4,0))</f>
        <v>0</v>
      </c>
      <c r="D9" s="27">
        <f>C9</f>
        <v>0</v>
      </c>
      <c r="E9" s="27">
        <f t="shared" si="1"/>
        <v>0</v>
      </c>
      <c r="F9" s="27">
        <f t="shared" si="1"/>
        <v>0</v>
      </c>
      <c r="G9" s="27">
        <f>IF(G$3&lt;121,0,IF(G$3&lt;151,$C$4*(30-(150-$C$3)),0))</f>
        <v>0</v>
      </c>
      <c r="H9" s="27"/>
      <c r="I9" s="4"/>
      <c r="J9" s="4"/>
      <c r="K9" s="4"/>
      <c r="L9" s="4"/>
      <c r="M9" s="4"/>
      <c r="N9" s="442"/>
    </row>
    <row r="10" spans="1:26" x14ac:dyDescent="0.2">
      <c r="A10" s="340"/>
      <c r="B10" s="4" t="s">
        <v>297</v>
      </c>
      <c r="C10" s="27">
        <f>IF(C$3&lt;151,0,IF(C$3&lt;181,30*C$4,0))</f>
        <v>0</v>
      </c>
      <c r="D10" s="27">
        <f>C10</f>
        <v>0</v>
      </c>
      <c r="E10" s="27">
        <f t="shared" si="1"/>
        <v>0</v>
      </c>
      <c r="F10" s="27">
        <f t="shared" si="1"/>
        <v>0</v>
      </c>
      <c r="G10" s="27">
        <f>F10</f>
        <v>0</v>
      </c>
      <c r="H10" s="27">
        <f>IF(H$3&lt;151,0,IF(H$3&lt;181,$C$4*(30-(180-$C$3)),0))</f>
        <v>0</v>
      </c>
      <c r="I10" s="4"/>
      <c r="J10" s="4"/>
      <c r="K10" s="4"/>
      <c r="L10" s="4"/>
      <c r="M10" s="4"/>
      <c r="N10" s="442"/>
    </row>
    <row r="11" spans="1:26" ht="13.5" thickBot="1" x14ac:dyDescent="0.25">
      <c r="A11" s="443"/>
      <c r="B11" s="444" t="s">
        <v>132</v>
      </c>
      <c r="C11" s="445">
        <f t="shared" ref="C11:H11" si="2">SUM(C5:C10)</f>
        <v>0</v>
      </c>
      <c r="D11" s="445">
        <f t="shared" si="2"/>
        <v>0</v>
      </c>
      <c r="E11" s="445">
        <f t="shared" si="2"/>
        <v>0</v>
      </c>
      <c r="F11" s="445">
        <f t="shared" si="2"/>
        <v>0</v>
      </c>
      <c r="G11" s="445">
        <f t="shared" si="2"/>
        <v>0</v>
      </c>
      <c r="H11" s="445">
        <f t="shared" si="2"/>
        <v>0</v>
      </c>
      <c r="I11" s="445"/>
      <c r="J11" s="445"/>
      <c r="K11" s="445"/>
      <c r="L11" s="445"/>
      <c r="M11" s="445"/>
      <c r="N11" s="445"/>
    </row>
    <row r="12" spans="1:26" s="2" customFormat="1" x14ac:dyDescent="0.2">
      <c r="A12" s="25"/>
      <c r="B12" s="25" t="s">
        <v>306</v>
      </c>
      <c r="C12" s="429">
        <f>'9. T5 KASSABUDJETTI  '!G65</f>
        <v>46760</v>
      </c>
      <c r="D12" s="429">
        <f>'9. T5 KASSABUDJETTI  '!H65</f>
        <v>46791</v>
      </c>
      <c r="E12" s="429">
        <f>'9. T5 KASSABUDJETTI  '!I65</f>
        <v>46822</v>
      </c>
      <c r="F12" s="429">
        <f>'9. T5 KASSABUDJETTI  '!J65</f>
        <v>46853</v>
      </c>
      <c r="G12" s="429">
        <f>'9. T5 KASSABUDJETTI  '!K65</f>
        <v>46884</v>
      </c>
      <c r="H12" s="429">
        <f>'9. T5 KASSABUDJETTI  '!L65</f>
        <v>46915</v>
      </c>
      <c r="I12" s="429">
        <f>'9. T5 KASSABUDJETTI  '!M65</f>
        <v>46946</v>
      </c>
      <c r="J12" s="429">
        <f>'9. T5 KASSABUDJETTI  '!N65</f>
        <v>46977</v>
      </c>
      <c r="K12" s="429">
        <f>'9. T5 KASSABUDJETTI  '!O65</f>
        <v>47008</v>
      </c>
      <c r="L12" s="429">
        <f>'9. T5 KASSABUDJETTI  '!P65</f>
        <v>47039</v>
      </c>
      <c r="M12" s="429">
        <f>'9. T5 KASSABUDJETTI  '!Q65</f>
        <v>47070</v>
      </c>
      <c r="N12" s="429">
        <f>'9. T5 KASSABUDJETTI  '!R65</f>
        <v>47101</v>
      </c>
      <c r="O12" s="428"/>
      <c r="P12" s="428"/>
      <c r="Q12" s="428"/>
      <c r="R12" s="428"/>
      <c r="S12" s="428"/>
      <c r="T12" s="428"/>
      <c r="U12" s="428"/>
      <c r="V12" s="428"/>
      <c r="W12" s="428"/>
      <c r="X12" s="428"/>
      <c r="Y12" s="428"/>
      <c r="Z12" s="428"/>
    </row>
    <row r="13" spans="1:26" s="2" customFormat="1" x14ac:dyDescent="0.2">
      <c r="A13" s="435" t="s">
        <v>301</v>
      </c>
      <c r="B13" s="25" t="s">
        <v>302</v>
      </c>
      <c r="C13" s="430">
        <f>'9. T5 KASSABUDJETTI  '!E16</f>
        <v>30</v>
      </c>
      <c r="D13" s="430">
        <f t="shared" ref="D13:N13" si="3">C13</f>
        <v>30</v>
      </c>
      <c r="E13" s="430">
        <f t="shared" si="3"/>
        <v>30</v>
      </c>
      <c r="F13" s="430">
        <f t="shared" si="3"/>
        <v>30</v>
      </c>
      <c r="G13" s="430">
        <f t="shared" si="3"/>
        <v>30</v>
      </c>
      <c r="H13" s="430">
        <f t="shared" si="3"/>
        <v>30</v>
      </c>
      <c r="I13" s="430">
        <f t="shared" si="3"/>
        <v>30</v>
      </c>
      <c r="J13" s="430">
        <f t="shared" si="3"/>
        <v>30</v>
      </c>
      <c r="K13" s="430">
        <f t="shared" si="3"/>
        <v>30</v>
      </c>
      <c r="L13" s="430">
        <f t="shared" si="3"/>
        <v>30</v>
      </c>
      <c r="M13" s="430">
        <f t="shared" si="3"/>
        <v>30</v>
      </c>
      <c r="N13" s="430">
        <f t="shared" si="3"/>
        <v>30</v>
      </c>
    </row>
    <row r="14" spans="1:26" s="2" customFormat="1" x14ac:dyDescent="0.2">
      <c r="A14" s="25" t="s">
        <v>0</v>
      </c>
      <c r="B14" s="25" t="s">
        <v>595</v>
      </c>
      <c r="C14" s="431">
        <f>'9. T5 KASSABUDJETTI  '!G14</f>
        <v>0</v>
      </c>
      <c r="D14" s="431">
        <f>'9. T5 KASSABUDJETTI  '!H14</f>
        <v>0</v>
      </c>
      <c r="E14" s="431">
        <f>'9. T5 KASSABUDJETTI  '!I14</f>
        <v>0</v>
      </c>
      <c r="F14" s="431">
        <f>'9. T5 KASSABUDJETTI  '!J14</f>
        <v>0</v>
      </c>
      <c r="G14" s="431">
        <f>'9. T5 KASSABUDJETTI  '!K14</f>
        <v>0</v>
      </c>
      <c r="H14" s="431">
        <f>'9. T5 KASSABUDJETTI  '!L14</f>
        <v>0</v>
      </c>
      <c r="I14" s="431">
        <f>'9. T5 KASSABUDJETTI  '!M14</f>
        <v>0</v>
      </c>
      <c r="J14" s="431">
        <f>'9. T5 KASSABUDJETTI  '!N14</f>
        <v>0</v>
      </c>
      <c r="K14" s="431">
        <f>'9. T5 KASSABUDJETTI  '!O14</f>
        <v>0</v>
      </c>
      <c r="L14" s="431">
        <f>'9. T5 KASSABUDJETTI  '!P14</f>
        <v>0</v>
      </c>
      <c r="M14" s="431">
        <f>'9. T5 KASSABUDJETTI  '!Q14</f>
        <v>0</v>
      </c>
      <c r="N14" s="431">
        <f>'9. T5 KASSABUDJETTI  '!R14</f>
        <v>0</v>
      </c>
      <c r="Q14" s="2">
        <v>0</v>
      </c>
    </row>
    <row r="15" spans="1:26" s="434" customFormat="1" x14ac:dyDescent="0.2">
      <c r="A15" s="432" t="s">
        <v>283</v>
      </c>
      <c r="B15" s="432" t="s">
        <v>277</v>
      </c>
      <c r="C15" s="433">
        <f>IF(C$13&lt;31,C14*(30-C13)/30,0)</f>
        <v>0</v>
      </c>
      <c r="D15" s="433">
        <f t="shared" ref="D15:N15" si="4">IF(D$13&lt;31,D14*(30-D13)/30,0)</f>
        <v>0</v>
      </c>
      <c r="E15" s="433">
        <f t="shared" si="4"/>
        <v>0</v>
      </c>
      <c r="F15" s="433">
        <f t="shared" si="4"/>
        <v>0</v>
      </c>
      <c r="G15" s="433">
        <f t="shared" si="4"/>
        <v>0</v>
      </c>
      <c r="H15" s="433">
        <f t="shared" si="4"/>
        <v>0</v>
      </c>
      <c r="I15" s="433">
        <f t="shared" si="4"/>
        <v>0</v>
      </c>
      <c r="J15" s="433">
        <f t="shared" si="4"/>
        <v>0</v>
      </c>
      <c r="K15" s="433">
        <f t="shared" si="4"/>
        <v>0</v>
      </c>
      <c r="L15" s="433">
        <f t="shared" si="4"/>
        <v>0</v>
      </c>
      <c r="M15" s="433">
        <f t="shared" si="4"/>
        <v>0</v>
      </c>
      <c r="N15" s="433">
        <f t="shared" si="4"/>
        <v>0</v>
      </c>
    </row>
    <row r="16" spans="1:26" x14ac:dyDescent="0.2">
      <c r="A16" s="4" t="s">
        <v>287</v>
      </c>
      <c r="B16" s="4" t="s">
        <v>278</v>
      </c>
      <c r="C16" s="27">
        <f t="shared" ref="C16:N16" si="5">IF(C13&gt;30,0,C14-C15)</f>
        <v>0</v>
      </c>
      <c r="D16" s="27">
        <f t="shared" si="5"/>
        <v>0</v>
      </c>
      <c r="E16" s="27">
        <f t="shared" si="5"/>
        <v>0</v>
      </c>
      <c r="F16" s="27">
        <f t="shared" si="5"/>
        <v>0</v>
      </c>
      <c r="G16" s="27">
        <f t="shared" si="5"/>
        <v>0</v>
      </c>
      <c r="H16" s="27">
        <f t="shared" si="5"/>
        <v>0</v>
      </c>
      <c r="I16" s="27">
        <f t="shared" si="5"/>
        <v>0</v>
      </c>
      <c r="J16" s="27">
        <f t="shared" si="5"/>
        <v>0</v>
      </c>
      <c r="K16" s="27">
        <f t="shared" si="5"/>
        <v>0</v>
      </c>
      <c r="L16" s="27">
        <f t="shared" si="5"/>
        <v>0</v>
      </c>
      <c r="M16" s="27">
        <f t="shared" si="5"/>
        <v>0</v>
      </c>
      <c r="N16" s="27">
        <f t="shared" si="5"/>
        <v>0</v>
      </c>
    </row>
    <row r="17" spans="1:17" x14ac:dyDescent="0.2">
      <c r="A17" s="432" t="s">
        <v>287</v>
      </c>
      <c r="B17" s="432" t="s">
        <v>278</v>
      </c>
      <c r="C17" s="433">
        <f t="shared" ref="C17:N17" si="6">IF(C$13&lt;31,0,IF(C$13&gt;60,0,C$14*(60-C$13))/30)</f>
        <v>0</v>
      </c>
      <c r="D17" s="433">
        <f t="shared" si="6"/>
        <v>0</v>
      </c>
      <c r="E17" s="433">
        <f t="shared" si="6"/>
        <v>0</v>
      </c>
      <c r="F17" s="433">
        <f t="shared" si="6"/>
        <v>0</v>
      </c>
      <c r="G17" s="433">
        <f t="shared" si="6"/>
        <v>0</v>
      </c>
      <c r="H17" s="433">
        <f t="shared" si="6"/>
        <v>0</v>
      </c>
      <c r="I17" s="433">
        <f t="shared" si="6"/>
        <v>0</v>
      </c>
      <c r="J17" s="433">
        <f t="shared" si="6"/>
        <v>0</v>
      </c>
      <c r="K17" s="433">
        <f t="shared" si="6"/>
        <v>0</v>
      </c>
      <c r="L17" s="433">
        <f t="shared" si="6"/>
        <v>0</v>
      </c>
      <c r="M17" s="433">
        <f t="shared" si="6"/>
        <v>0</v>
      </c>
      <c r="N17" s="433">
        <f t="shared" si="6"/>
        <v>0</v>
      </c>
      <c r="Q17" s="4" t="s">
        <v>0</v>
      </c>
    </row>
    <row r="18" spans="1:17" x14ac:dyDescent="0.2">
      <c r="A18" s="4" t="s">
        <v>288</v>
      </c>
      <c r="B18" s="4" t="s">
        <v>279</v>
      </c>
      <c r="C18" s="27">
        <f>IF(C$13&lt;31,0,IF(C$13&gt;60,0,C14-C17))</f>
        <v>0</v>
      </c>
      <c r="D18" s="27">
        <f t="shared" ref="D18:M18" si="7">IF(D$13&lt;31,0,IF(D$13&gt;60,0,D14-D17))</f>
        <v>0</v>
      </c>
      <c r="E18" s="27">
        <f t="shared" si="7"/>
        <v>0</v>
      </c>
      <c r="F18" s="27">
        <f t="shared" si="7"/>
        <v>0</v>
      </c>
      <c r="G18" s="27">
        <f t="shared" si="7"/>
        <v>0</v>
      </c>
      <c r="H18" s="27">
        <f t="shared" si="7"/>
        <v>0</v>
      </c>
      <c r="I18" s="27">
        <f t="shared" si="7"/>
        <v>0</v>
      </c>
      <c r="J18" s="27">
        <f t="shared" si="7"/>
        <v>0</v>
      </c>
      <c r="K18" s="27">
        <f t="shared" si="7"/>
        <v>0</v>
      </c>
      <c r="L18" s="27">
        <f t="shared" si="7"/>
        <v>0</v>
      </c>
      <c r="M18" s="27">
        <f t="shared" si="7"/>
        <v>0</v>
      </c>
      <c r="N18" s="27">
        <f>IF(N$13&lt;31,0,IF(N$13&gt;60,0,N14-N17))</f>
        <v>0</v>
      </c>
      <c r="Q18" s="4"/>
    </row>
    <row r="19" spans="1:17" x14ac:dyDescent="0.2">
      <c r="A19" s="432" t="s">
        <v>288</v>
      </c>
      <c r="B19" s="432" t="s">
        <v>279</v>
      </c>
      <c r="C19" s="433">
        <f t="shared" ref="C19:N19" si="8">IF(C$13&lt;61,0,IF(C$13&gt;90,0,C$14*(90-C$13))/30)</f>
        <v>0</v>
      </c>
      <c r="D19" s="433">
        <f t="shared" si="8"/>
        <v>0</v>
      </c>
      <c r="E19" s="433">
        <f t="shared" si="8"/>
        <v>0</v>
      </c>
      <c r="F19" s="433">
        <f t="shared" si="8"/>
        <v>0</v>
      </c>
      <c r="G19" s="433">
        <f t="shared" si="8"/>
        <v>0</v>
      </c>
      <c r="H19" s="433">
        <f t="shared" si="8"/>
        <v>0</v>
      </c>
      <c r="I19" s="433">
        <f t="shared" si="8"/>
        <v>0</v>
      </c>
      <c r="J19" s="433">
        <f t="shared" si="8"/>
        <v>0</v>
      </c>
      <c r="K19" s="433">
        <f t="shared" si="8"/>
        <v>0</v>
      </c>
      <c r="L19" s="433">
        <f t="shared" si="8"/>
        <v>0</v>
      </c>
      <c r="M19" s="433">
        <f t="shared" si="8"/>
        <v>0</v>
      </c>
      <c r="N19" s="433">
        <f t="shared" si="8"/>
        <v>0</v>
      </c>
      <c r="Q19" s="4"/>
    </row>
    <row r="20" spans="1:17" x14ac:dyDescent="0.2">
      <c r="A20" s="4" t="s">
        <v>289</v>
      </c>
      <c r="B20" s="4" t="s">
        <v>280</v>
      </c>
      <c r="C20" s="27">
        <f>IF(C$13&lt;61,0,IF(C$13&gt;90,0,C14-C19))</f>
        <v>0</v>
      </c>
      <c r="D20" s="27">
        <f t="shared" ref="D20:N20" si="9">IF(D$13&lt;61,0,IF(D$13&gt;90,0,D14-D19))</f>
        <v>0</v>
      </c>
      <c r="E20" s="27">
        <f t="shared" si="9"/>
        <v>0</v>
      </c>
      <c r="F20" s="27">
        <f t="shared" si="9"/>
        <v>0</v>
      </c>
      <c r="G20" s="27">
        <f t="shared" si="9"/>
        <v>0</v>
      </c>
      <c r="H20" s="27">
        <f t="shared" si="9"/>
        <v>0</v>
      </c>
      <c r="I20" s="27">
        <f t="shared" si="9"/>
        <v>0</v>
      </c>
      <c r="J20" s="27">
        <f t="shared" si="9"/>
        <v>0</v>
      </c>
      <c r="K20" s="27">
        <f t="shared" si="9"/>
        <v>0</v>
      </c>
      <c r="L20" s="27">
        <f t="shared" si="9"/>
        <v>0</v>
      </c>
      <c r="M20" s="27">
        <f t="shared" si="9"/>
        <v>0</v>
      </c>
      <c r="N20" s="27">
        <f t="shared" si="9"/>
        <v>0</v>
      </c>
      <c r="Q20" s="4"/>
    </row>
    <row r="21" spans="1:17" x14ac:dyDescent="0.2">
      <c r="A21" s="432" t="s">
        <v>289</v>
      </c>
      <c r="B21" s="432" t="s">
        <v>280</v>
      </c>
      <c r="C21" s="433">
        <f t="shared" ref="C21:N21" si="10">IF(C$13&lt;91,0,IF(C$13&gt;120,0,C$14*(120-C$13))/30)</f>
        <v>0</v>
      </c>
      <c r="D21" s="433">
        <f t="shared" si="10"/>
        <v>0</v>
      </c>
      <c r="E21" s="433">
        <f t="shared" si="10"/>
        <v>0</v>
      </c>
      <c r="F21" s="433">
        <f t="shared" si="10"/>
        <v>0</v>
      </c>
      <c r="G21" s="433">
        <f t="shared" si="10"/>
        <v>0</v>
      </c>
      <c r="H21" s="433">
        <f t="shared" si="10"/>
        <v>0</v>
      </c>
      <c r="I21" s="433">
        <f t="shared" si="10"/>
        <v>0</v>
      </c>
      <c r="J21" s="433">
        <f t="shared" si="10"/>
        <v>0</v>
      </c>
      <c r="K21" s="433">
        <f t="shared" si="10"/>
        <v>0</v>
      </c>
      <c r="L21" s="433">
        <f t="shared" si="10"/>
        <v>0</v>
      </c>
      <c r="M21" s="433">
        <f t="shared" si="10"/>
        <v>0</v>
      </c>
      <c r="N21" s="433">
        <f t="shared" si="10"/>
        <v>0</v>
      </c>
      <c r="Q21" s="4"/>
    </row>
    <row r="22" spans="1:17" x14ac:dyDescent="0.2">
      <c r="A22" s="4" t="s">
        <v>290</v>
      </c>
      <c r="B22" s="4" t="s">
        <v>281</v>
      </c>
      <c r="C22" s="27">
        <f>IF(C$13&lt;91,0,IF(C$13&gt;120,0,C14-C21))</f>
        <v>0</v>
      </c>
      <c r="D22" s="27">
        <f t="shared" ref="D22:N22" si="11">IF(D$13&lt;91,0,IF(D$13&gt;120,0,D14-D21))</f>
        <v>0</v>
      </c>
      <c r="E22" s="27">
        <f t="shared" si="11"/>
        <v>0</v>
      </c>
      <c r="F22" s="27">
        <f t="shared" si="11"/>
        <v>0</v>
      </c>
      <c r="G22" s="27">
        <f t="shared" si="11"/>
        <v>0</v>
      </c>
      <c r="H22" s="27">
        <f t="shared" si="11"/>
        <v>0</v>
      </c>
      <c r="I22" s="27">
        <f t="shared" si="11"/>
        <v>0</v>
      </c>
      <c r="J22" s="27">
        <f t="shared" si="11"/>
        <v>0</v>
      </c>
      <c r="K22" s="27">
        <f t="shared" si="11"/>
        <v>0</v>
      </c>
      <c r="L22" s="27">
        <f t="shared" si="11"/>
        <v>0</v>
      </c>
      <c r="M22" s="27">
        <f t="shared" si="11"/>
        <v>0</v>
      </c>
      <c r="N22" s="27">
        <f t="shared" si="11"/>
        <v>0</v>
      </c>
      <c r="Q22" s="4"/>
    </row>
    <row r="23" spans="1:17" x14ac:dyDescent="0.2">
      <c r="A23" s="432" t="s">
        <v>290</v>
      </c>
      <c r="B23" s="432" t="s">
        <v>281</v>
      </c>
      <c r="C23" s="433">
        <f t="shared" ref="C23:N23" si="12">IF(C$13&lt;121,0,IF(C$13&gt;150,0,C$14*(150-C$13))/30)</f>
        <v>0</v>
      </c>
      <c r="D23" s="433">
        <f t="shared" si="12"/>
        <v>0</v>
      </c>
      <c r="E23" s="433">
        <f t="shared" si="12"/>
        <v>0</v>
      </c>
      <c r="F23" s="433">
        <f t="shared" si="12"/>
        <v>0</v>
      </c>
      <c r="G23" s="433">
        <f t="shared" si="12"/>
        <v>0</v>
      </c>
      <c r="H23" s="433">
        <f t="shared" si="12"/>
        <v>0</v>
      </c>
      <c r="I23" s="433">
        <f t="shared" si="12"/>
        <v>0</v>
      </c>
      <c r="J23" s="433">
        <f t="shared" si="12"/>
        <v>0</v>
      </c>
      <c r="K23" s="433">
        <f t="shared" si="12"/>
        <v>0</v>
      </c>
      <c r="L23" s="433">
        <f t="shared" si="12"/>
        <v>0</v>
      </c>
      <c r="M23" s="433">
        <f t="shared" si="12"/>
        <v>0</v>
      </c>
      <c r="N23" s="433">
        <f t="shared" si="12"/>
        <v>0</v>
      </c>
      <c r="Q23" s="4"/>
    </row>
    <row r="24" spans="1:17" x14ac:dyDescent="0.2">
      <c r="A24" s="4" t="s">
        <v>291</v>
      </c>
      <c r="B24" s="4" t="s">
        <v>282</v>
      </c>
      <c r="C24" s="27">
        <f>IF(C$13&lt;121,0,IF(C$13&gt;150,0,C14-C23))</f>
        <v>0</v>
      </c>
      <c r="D24" s="27">
        <f t="shared" ref="D24:N24" si="13">IF(D$13&lt;121,0,IF(D$13&gt;150,0,D14-D23))</f>
        <v>0</v>
      </c>
      <c r="E24" s="27">
        <f t="shared" si="13"/>
        <v>0</v>
      </c>
      <c r="F24" s="27">
        <f t="shared" si="13"/>
        <v>0</v>
      </c>
      <c r="G24" s="27">
        <f t="shared" si="13"/>
        <v>0</v>
      </c>
      <c r="H24" s="27">
        <f t="shared" si="13"/>
        <v>0</v>
      </c>
      <c r="I24" s="27">
        <f t="shared" si="13"/>
        <v>0</v>
      </c>
      <c r="J24" s="27">
        <f t="shared" si="13"/>
        <v>0</v>
      </c>
      <c r="K24" s="27">
        <f t="shared" si="13"/>
        <v>0</v>
      </c>
      <c r="L24" s="27">
        <f t="shared" si="13"/>
        <v>0</v>
      </c>
      <c r="M24" s="27">
        <f t="shared" si="13"/>
        <v>0</v>
      </c>
      <c r="N24" s="27">
        <f t="shared" si="13"/>
        <v>0</v>
      </c>
      <c r="Q24" s="4"/>
    </row>
    <row r="25" spans="1:17" x14ac:dyDescent="0.2">
      <c r="A25" s="432" t="s">
        <v>291</v>
      </c>
      <c r="B25" s="432" t="s">
        <v>282</v>
      </c>
      <c r="C25" s="433">
        <f t="shared" ref="C25:N25" si="14">IF(C$13&lt;151,0,IF(C$13&gt;180,0,C$14*(180-C$13))/30)</f>
        <v>0</v>
      </c>
      <c r="D25" s="433">
        <f t="shared" si="14"/>
        <v>0</v>
      </c>
      <c r="E25" s="433">
        <f t="shared" si="14"/>
        <v>0</v>
      </c>
      <c r="F25" s="433">
        <f t="shared" si="14"/>
        <v>0</v>
      </c>
      <c r="G25" s="433">
        <f t="shared" si="14"/>
        <v>0</v>
      </c>
      <c r="H25" s="433">
        <f t="shared" si="14"/>
        <v>0</v>
      </c>
      <c r="I25" s="433">
        <f t="shared" si="14"/>
        <v>0</v>
      </c>
      <c r="J25" s="433">
        <f t="shared" si="14"/>
        <v>0</v>
      </c>
      <c r="K25" s="433">
        <f t="shared" si="14"/>
        <v>0</v>
      </c>
      <c r="L25" s="433">
        <f t="shared" si="14"/>
        <v>0</v>
      </c>
      <c r="M25" s="433">
        <f t="shared" si="14"/>
        <v>0</v>
      </c>
      <c r="N25" s="433">
        <f t="shared" si="14"/>
        <v>0</v>
      </c>
      <c r="Q25" s="4"/>
    </row>
    <row r="26" spans="1:17" x14ac:dyDescent="0.2">
      <c r="A26" s="4"/>
      <c r="B26" s="4" t="s">
        <v>284</v>
      </c>
      <c r="C26" s="27">
        <f>IF(C$13&lt;151,0,IF(C$13&gt;180,0,C14-C25))</f>
        <v>0</v>
      </c>
      <c r="D26" s="27">
        <f t="shared" ref="D26:N26" si="15">IF(D$13&lt;151,0,IF(D$13&gt;180,0,D14-D25))</f>
        <v>0</v>
      </c>
      <c r="E26" s="27">
        <f t="shared" si="15"/>
        <v>0</v>
      </c>
      <c r="F26" s="27">
        <f t="shared" si="15"/>
        <v>0</v>
      </c>
      <c r="G26" s="27">
        <f t="shared" si="15"/>
        <v>0</v>
      </c>
      <c r="H26" s="27">
        <f t="shared" si="15"/>
        <v>0</v>
      </c>
      <c r="I26" s="27">
        <f t="shared" si="15"/>
        <v>0</v>
      </c>
      <c r="J26" s="27">
        <f t="shared" si="15"/>
        <v>0</v>
      </c>
      <c r="K26" s="27">
        <f t="shared" si="15"/>
        <v>0</v>
      </c>
      <c r="L26" s="27">
        <f t="shared" si="15"/>
        <v>0</v>
      </c>
      <c r="M26" s="27">
        <f t="shared" si="15"/>
        <v>0</v>
      </c>
      <c r="N26" s="27">
        <f t="shared" si="15"/>
        <v>0</v>
      </c>
      <c r="Q26" s="4"/>
    </row>
    <row r="27" spans="1:17" s="2" customFormat="1" x14ac:dyDescent="0.2">
      <c r="A27" s="25"/>
      <c r="B27" s="25" t="s">
        <v>285</v>
      </c>
      <c r="C27" s="429">
        <f t="shared" ref="C27:N27" si="16">C2</f>
        <v>46388</v>
      </c>
      <c r="D27" s="429">
        <f t="shared" si="16"/>
        <v>46419</v>
      </c>
      <c r="E27" s="429">
        <f t="shared" si="16"/>
        <v>46450</v>
      </c>
      <c r="F27" s="429">
        <f t="shared" si="16"/>
        <v>46481</v>
      </c>
      <c r="G27" s="429">
        <f t="shared" si="16"/>
        <v>46512</v>
      </c>
      <c r="H27" s="429">
        <f t="shared" si="16"/>
        <v>46543</v>
      </c>
      <c r="I27" s="429">
        <f t="shared" si="16"/>
        <v>46574</v>
      </c>
      <c r="J27" s="429">
        <f t="shared" si="16"/>
        <v>46605</v>
      </c>
      <c r="K27" s="429">
        <f t="shared" si="16"/>
        <v>46636</v>
      </c>
      <c r="L27" s="429">
        <f t="shared" si="16"/>
        <v>46667</v>
      </c>
      <c r="M27" s="429">
        <f t="shared" si="16"/>
        <v>46698</v>
      </c>
      <c r="N27" s="429">
        <f t="shared" si="16"/>
        <v>46729</v>
      </c>
      <c r="Q27" s="4"/>
    </row>
    <row r="28" spans="1:17" x14ac:dyDescent="0.2">
      <c r="A28" s="4"/>
      <c r="B28" s="4" t="s">
        <v>277</v>
      </c>
      <c r="C28" s="27">
        <f t="shared" ref="C28:H28" si="17">C15</f>
        <v>0</v>
      </c>
      <c r="D28" s="27">
        <f t="shared" si="17"/>
        <v>0</v>
      </c>
      <c r="E28" s="27">
        <f t="shared" si="17"/>
        <v>0</v>
      </c>
      <c r="F28" s="27">
        <f t="shared" si="17"/>
        <v>0</v>
      </c>
      <c r="G28" s="27">
        <f t="shared" si="17"/>
        <v>0</v>
      </c>
      <c r="H28" s="27">
        <f t="shared" si="17"/>
        <v>0</v>
      </c>
      <c r="I28" s="27">
        <f t="shared" ref="I28:N28" si="18">I15</f>
        <v>0</v>
      </c>
      <c r="J28" s="27">
        <f t="shared" si="18"/>
        <v>0</v>
      </c>
      <c r="K28" s="27">
        <f t="shared" si="18"/>
        <v>0</v>
      </c>
      <c r="L28" s="27">
        <f t="shared" si="18"/>
        <v>0</v>
      </c>
      <c r="M28" s="27">
        <f t="shared" si="18"/>
        <v>0</v>
      </c>
      <c r="N28" s="27">
        <f t="shared" si="18"/>
        <v>0</v>
      </c>
    </row>
    <row r="29" spans="1:17" x14ac:dyDescent="0.2">
      <c r="A29" s="4"/>
      <c r="B29" s="4" t="s">
        <v>278</v>
      </c>
      <c r="C29" s="27"/>
      <c r="D29" s="27">
        <f>C16+C17</f>
        <v>0</v>
      </c>
      <c r="E29" s="27">
        <f>D16+D17</f>
        <v>0</v>
      </c>
      <c r="F29" s="27">
        <f t="shared" ref="F29:M29" si="19">E16+E17</f>
        <v>0</v>
      </c>
      <c r="G29" s="27">
        <f t="shared" si="19"/>
        <v>0</v>
      </c>
      <c r="H29" s="27">
        <f t="shared" si="19"/>
        <v>0</v>
      </c>
      <c r="I29" s="27">
        <f t="shared" si="19"/>
        <v>0</v>
      </c>
      <c r="J29" s="27">
        <f t="shared" si="19"/>
        <v>0</v>
      </c>
      <c r="K29" s="27">
        <f t="shared" si="19"/>
        <v>0</v>
      </c>
      <c r="L29" s="27">
        <f t="shared" si="19"/>
        <v>0</v>
      </c>
      <c r="M29" s="27">
        <f t="shared" si="19"/>
        <v>0</v>
      </c>
      <c r="N29" s="27">
        <f>M16+M17</f>
        <v>0</v>
      </c>
    </row>
    <row r="30" spans="1:17" x14ac:dyDescent="0.2">
      <c r="A30" s="4"/>
      <c r="B30" s="4" t="s">
        <v>279</v>
      </c>
      <c r="C30" s="27"/>
      <c r="D30" s="27"/>
      <c r="E30" s="27">
        <f>C18+C19</f>
        <v>0</v>
      </c>
      <c r="F30" s="27">
        <f t="shared" ref="F30:M30" si="20">D18+D19</f>
        <v>0</v>
      </c>
      <c r="G30" s="27">
        <f t="shared" si="20"/>
        <v>0</v>
      </c>
      <c r="H30" s="27">
        <f t="shared" si="20"/>
        <v>0</v>
      </c>
      <c r="I30" s="27">
        <f t="shared" si="20"/>
        <v>0</v>
      </c>
      <c r="J30" s="27">
        <f t="shared" si="20"/>
        <v>0</v>
      </c>
      <c r="K30" s="27">
        <f t="shared" si="20"/>
        <v>0</v>
      </c>
      <c r="L30" s="27">
        <f t="shared" si="20"/>
        <v>0</v>
      </c>
      <c r="M30" s="27">
        <f t="shared" si="20"/>
        <v>0</v>
      </c>
      <c r="N30" s="27">
        <f>L18+L19</f>
        <v>0</v>
      </c>
    </row>
    <row r="31" spans="1:17" x14ac:dyDescent="0.2">
      <c r="A31" s="4"/>
      <c r="B31" s="4" t="s">
        <v>280</v>
      </c>
      <c r="C31" s="27"/>
      <c r="D31" s="27"/>
      <c r="E31" s="27"/>
      <c r="F31" s="27">
        <f>C20+C21</f>
        <v>0</v>
      </c>
      <c r="G31" s="27">
        <f t="shared" ref="G31:N31" si="21">D20+D21</f>
        <v>0</v>
      </c>
      <c r="H31" s="27">
        <f t="shared" si="21"/>
        <v>0</v>
      </c>
      <c r="I31" s="27">
        <f t="shared" si="21"/>
        <v>0</v>
      </c>
      <c r="J31" s="27">
        <f t="shared" si="21"/>
        <v>0</v>
      </c>
      <c r="K31" s="27">
        <f t="shared" si="21"/>
        <v>0</v>
      </c>
      <c r="L31" s="27">
        <f t="shared" si="21"/>
        <v>0</v>
      </c>
      <c r="M31" s="27">
        <f t="shared" si="21"/>
        <v>0</v>
      </c>
      <c r="N31" s="27">
        <f t="shared" si="21"/>
        <v>0</v>
      </c>
    </row>
    <row r="32" spans="1:17" x14ac:dyDescent="0.2">
      <c r="A32" s="4"/>
      <c r="B32" s="4" t="s">
        <v>281</v>
      </c>
      <c r="C32" s="27"/>
      <c r="D32" s="27"/>
      <c r="E32" s="27"/>
      <c r="F32" s="27"/>
      <c r="G32" s="27">
        <f>C22+C23</f>
        <v>0</v>
      </c>
      <c r="H32" s="27">
        <f t="shared" ref="H32:N32" si="22">D22+D23</f>
        <v>0</v>
      </c>
      <c r="I32" s="27">
        <f t="shared" si="22"/>
        <v>0</v>
      </c>
      <c r="J32" s="27">
        <f t="shared" si="22"/>
        <v>0</v>
      </c>
      <c r="K32" s="27">
        <f t="shared" si="22"/>
        <v>0</v>
      </c>
      <c r="L32" s="27">
        <f t="shared" si="22"/>
        <v>0</v>
      </c>
      <c r="M32" s="27">
        <f t="shared" si="22"/>
        <v>0</v>
      </c>
      <c r="N32" s="27">
        <f t="shared" si="22"/>
        <v>0</v>
      </c>
    </row>
    <row r="33" spans="1:19" x14ac:dyDescent="0.2">
      <c r="A33" s="4"/>
      <c r="B33" s="4" t="s">
        <v>282</v>
      </c>
      <c r="C33" s="27"/>
      <c r="D33" s="27"/>
      <c r="E33" s="27"/>
      <c r="F33" s="27"/>
      <c r="G33" s="27"/>
      <c r="H33" s="27">
        <f>C24+C25</f>
        <v>0</v>
      </c>
      <c r="I33" s="27">
        <f t="shared" ref="I33:N33" si="23">D24+D25</f>
        <v>0</v>
      </c>
      <c r="J33" s="27">
        <f t="shared" si="23"/>
        <v>0</v>
      </c>
      <c r="K33" s="27">
        <f t="shared" si="23"/>
        <v>0</v>
      </c>
      <c r="L33" s="27">
        <f t="shared" si="23"/>
        <v>0</v>
      </c>
      <c r="M33" s="27">
        <f t="shared" si="23"/>
        <v>0</v>
      </c>
      <c r="N33" s="27">
        <f t="shared" si="23"/>
        <v>0</v>
      </c>
    </row>
    <row r="34" spans="1:19" x14ac:dyDescent="0.2">
      <c r="A34" s="4"/>
      <c r="B34" s="4" t="s">
        <v>284</v>
      </c>
      <c r="C34" s="27"/>
      <c r="D34" s="27"/>
      <c r="E34" s="27"/>
      <c r="F34" s="27"/>
      <c r="G34" s="27"/>
      <c r="H34" s="27"/>
      <c r="I34" s="27">
        <f t="shared" ref="I34:N34" si="24">C26</f>
        <v>0</v>
      </c>
      <c r="J34" s="27">
        <f t="shared" si="24"/>
        <v>0</v>
      </c>
      <c r="K34" s="27">
        <f t="shared" si="24"/>
        <v>0</v>
      </c>
      <c r="L34" s="27">
        <f t="shared" si="24"/>
        <v>0</v>
      </c>
      <c r="M34" s="27">
        <f t="shared" si="24"/>
        <v>0</v>
      </c>
      <c r="N34" s="27">
        <f t="shared" si="24"/>
        <v>0</v>
      </c>
    </row>
    <row r="35" spans="1:19" s="2" customFormat="1" x14ac:dyDescent="0.2">
      <c r="A35" s="25"/>
      <c r="B35" s="25" t="s">
        <v>286</v>
      </c>
      <c r="C35" s="431">
        <f>SUM(C28:C34)</f>
        <v>0</v>
      </c>
      <c r="D35" s="431">
        <f>SUM(D28:D34)</f>
        <v>0</v>
      </c>
      <c r="E35" s="431">
        <f t="shared" ref="E35:N35" si="25">SUM(E28:E34)</f>
        <v>0</v>
      </c>
      <c r="F35" s="431">
        <f t="shared" si="25"/>
        <v>0</v>
      </c>
      <c r="G35" s="431">
        <f t="shared" si="25"/>
        <v>0</v>
      </c>
      <c r="H35" s="431">
        <f t="shared" si="25"/>
        <v>0</v>
      </c>
      <c r="I35" s="431">
        <f t="shared" si="25"/>
        <v>0</v>
      </c>
      <c r="J35" s="431">
        <f t="shared" si="25"/>
        <v>0</v>
      </c>
      <c r="K35" s="431">
        <f t="shared" si="25"/>
        <v>0</v>
      </c>
      <c r="L35" s="431">
        <f t="shared" si="25"/>
        <v>0</v>
      </c>
      <c r="M35" s="431">
        <f t="shared" si="25"/>
        <v>0</v>
      </c>
      <c r="N35" s="431">
        <f t="shared" si="25"/>
        <v>0</v>
      </c>
    </row>
    <row r="36" spans="1:19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</row>
    <row r="37" spans="1:19" ht="16.5" thickBot="1" x14ac:dyDescent="0.25">
      <c r="A37" s="4"/>
      <c r="B37" s="1508" t="s">
        <v>594</v>
      </c>
      <c r="C37" s="1509">
        <f>'9. T5 KASSABUDJETTI  '!M62</f>
        <v>2028</v>
      </c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</row>
    <row r="38" spans="1:19" x14ac:dyDescent="0.2">
      <c r="A38" s="436"/>
      <c r="B38" s="44" t="s">
        <v>304</v>
      </c>
      <c r="C38" s="437">
        <f>'9. T5 KASSABUDJETTI  '!G65</f>
        <v>46760</v>
      </c>
      <c r="D38" s="437">
        <f>'9. T5 KASSABUDJETTI  '!H65</f>
        <v>46791</v>
      </c>
      <c r="E38" s="437">
        <f>'9. T5 KASSABUDJETTI  '!I65</f>
        <v>46822</v>
      </c>
      <c r="F38" s="437">
        <f>'9. T5 KASSABUDJETTI  '!J65</f>
        <v>46853</v>
      </c>
      <c r="G38" s="437">
        <f>'9. T5 KASSABUDJETTI  '!K65</f>
        <v>46884</v>
      </c>
      <c r="H38" s="437">
        <f>'9. T5 KASSABUDJETTI  '!L65</f>
        <v>46915</v>
      </c>
      <c r="I38" s="437">
        <f>'9. T5 KASSABUDJETTI  '!M65</f>
        <v>46946</v>
      </c>
      <c r="J38" s="437">
        <f>'9. T5 KASSABUDJETTI  '!N65</f>
        <v>46977</v>
      </c>
      <c r="K38" s="437">
        <f>'9. T5 KASSABUDJETTI  '!O65</f>
        <v>47008</v>
      </c>
      <c r="L38" s="437">
        <f>'9. T5 KASSABUDJETTI  '!P65</f>
        <v>47039</v>
      </c>
      <c r="M38" s="437">
        <f>'9. T5 KASSABUDJETTI  '!Q65</f>
        <v>47070</v>
      </c>
      <c r="N38" s="437">
        <f>'9. T5 KASSABUDJETTI  '!R65</f>
        <v>47101</v>
      </c>
      <c r="O38" s="428"/>
      <c r="P38" s="436" t="s">
        <v>550</v>
      </c>
      <c r="Q38" s="437">
        <f>C38</f>
        <v>46760</v>
      </c>
      <c r="R38" s="437">
        <f>D38</f>
        <v>46791</v>
      </c>
      <c r="S38" s="438">
        <f>E38</f>
        <v>46822</v>
      </c>
    </row>
    <row r="39" spans="1:19" x14ac:dyDescent="0.2">
      <c r="A39" s="439"/>
      <c r="B39" s="25" t="s">
        <v>303</v>
      </c>
      <c r="C39" s="430">
        <f>'8. T4 RAHOITUSSUUN. '!H$52</f>
        <v>0</v>
      </c>
      <c r="D39" s="430">
        <f t="shared" ref="D39:N39" si="26">C39</f>
        <v>0</v>
      </c>
      <c r="E39" s="430">
        <f t="shared" si="26"/>
        <v>0</v>
      </c>
      <c r="F39" s="430">
        <f t="shared" si="26"/>
        <v>0</v>
      </c>
      <c r="G39" s="430">
        <f t="shared" si="26"/>
        <v>0</v>
      </c>
      <c r="H39" s="430">
        <f t="shared" si="26"/>
        <v>0</v>
      </c>
      <c r="I39" s="430">
        <f t="shared" si="26"/>
        <v>0</v>
      </c>
      <c r="J39" s="430">
        <f t="shared" si="26"/>
        <v>0</v>
      </c>
      <c r="K39" s="430">
        <f t="shared" si="26"/>
        <v>0</v>
      </c>
      <c r="L39" s="430">
        <f t="shared" si="26"/>
        <v>0</v>
      </c>
      <c r="M39" s="430">
        <f t="shared" si="26"/>
        <v>0</v>
      </c>
      <c r="N39" s="440">
        <f t="shared" si="26"/>
        <v>0</v>
      </c>
      <c r="O39" s="2"/>
      <c r="P39" s="1452" t="s">
        <v>303</v>
      </c>
      <c r="Q39" s="430">
        <f>'8. T4 RAHOITUSSUUN. '!H$57</f>
        <v>0</v>
      </c>
      <c r="R39" s="430">
        <f>Q39</f>
        <v>0</v>
      </c>
      <c r="S39" s="440">
        <f>R39</f>
        <v>0</v>
      </c>
    </row>
    <row r="40" spans="1:19" x14ac:dyDescent="0.2">
      <c r="A40" s="439"/>
      <c r="B40" s="25" t="s">
        <v>305</v>
      </c>
      <c r="C40" s="431">
        <f>IF(C39=0,0,'3. T3 TASE '!H$40/C39)</f>
        <v>0</v>
      </c>
      <c r="D40" s="431"/>
      <c r="E40" s="431"/>
      <c r="F40" s="431"/>
      <c r="G40" s="431"/>
      <c r="H40" s="431"/>
      <c r="I40" s="25"/>
      <c r="J40" s="25"/>
      <c r="K40" s="25"/>
      <c r="L40" s="25"/>
      <c r="M40" s="25"/>
      <c r="N40" s="441"/>
      <c r="O40" s="2"/>
      <c r="P40" s="1452" t="s">
        <v>551</v>
      </c>
      <c r="Q40" s="431">
        <f>IF(Q39=0,0,'3. T3 TASE '!H$78/Q39)</f>
        <v>0</v>
      </c>
      <c r="R40" s="431"/>
      <c r="S40" s="1453"/>
    </row>
    <row r="41" spans="1:19" x14ac:dyDescent="0.2">
      <c r="A41" s="340"/>
      <c r="B41" s="4" t="s">
        <v>292</v>
      </c>
      <c r="C41" s="27">
        <f>IF(C39&lt;31,C40*C39,0)</f>
        <v>0</v>
      </c>
      <c r="D41" s="27"/>
      <c r="E41" s="27"/>
      <c r="F41" s="27"/>
      <c r="G41" s="27"/>
      <c r="H41" s="27"/>
      <c r="I41" s="4"/>
      <c r="J41" s="4"/>
      <c r="K41" s="4"/>
      <c r="L41" s="4"/>
      <c r="M41" s="4"/>
      <c r="N41" s="442"/>
      <c r="P41" s="340" t="s">
        <v>292</v>
      </c>
      <c r="Q41" s="27">
        <f>IF(Q39&lt;31,Q40*Q39,0)</f>
        <v>0</v>
      </c>
      <c r="R41" s="27"/>
      <c r="S41" s="1454"/>
    </row>
    <row r="42" spans="1:19" x14ac:dyDescent="0.2">
      <c r="A42" s="340"/>
      <c r="B42" s="4" t="s">
        <v>293</v>
      </c>
      <c r="C42" s="27">
        <f>IF(C$39&lt;31,0,IF(C$39&lt;61,30*C$40,0))</f>
        <v>0</v>
      </c>
      <c r="D42" s="27">
        <f>IF(D$3&lt;31,0,IF(D$3&lt;61,$C$4*(30-(60-$C$3)),0))</f>
        <v>0</v>
      </c>
      <c r="E42" s="27"/>
      <c r="F42" s="27"/>
      <c r="G42" s="27"/>
      <c r="H42" s="27"/>
      <c r="I42" s="4"/>
      <c r="J42" s="4"/>
      <c r="K42" s="4"/>
      <c r="L42" s="4"/>
      <c r="M42" s="4"/>
      <c r="N42" s="442"/>
      <c r="P42" s="340" t="s">
        <v>293</v>
      </c>
      <c r="Q42" s="27">
        <f>IF(Q$39&lt;31,0,IF(Q$39&lt;61,30*Q$40,0))</f>
        <v>0</v>
      </c>
      <c r="R42" s="27">
        <f>IF(R$39&lt;31,0,IF(R$39&lt;61,$Q$40*(30-(60-$Q$39)),0))</f>
        <v>0</v>
      </c>
      <c r="S42" s="1454"/>
    </row>
    <row r="43" spans="1:19" x14ac:dyDescent="0.2">
      <c r="A43" s="340"/>
      <c r="B43" s="4" t="s">
        <v>294</v>
      </c>
      <c r="C43" s="27">
        <f>IF(C$39&lt;61,0,IF(C$39&lt;91,30*C$40,0))</f>
        <v>0</v>
      </c>
      <c r="D43" s="27">
        <f>C43</f>
        <v>0</v>
      </c>
      <c r="E43" s="27">
        <f>IF(E$39&lt;61,0,IF(E$39&lt;91,30*E$40,0))</f>
        <v>0</v>
      </c>
      <c r="F43" s="27"/>
      <c r="G43" s="27"/>
      <c r="H43" s="27"/>
      <c r="I43" s="4"/>
      <c r="J43" s="4"/>
      <c r="K43" s="4"/>
      <c r="L43" s="4"/>
      <c r="M43" s="4"/>
      <c r="N43" s="442"/>
      <c r="P43" s="340" t="s">
        <v>294</v>
      </c>
      <c r="Q43" s="27">
        <f>IF(Q$39&lt;61,0,IF(Q$39&lt;91,30*Q$40,0))</f>
        <v>0</v>
      </c>
      <c r="R43" s="27">
        <f>Q43</f>
        <v>0</v>
      </c>
      <c r="S43" s="1454">
        <f>IF(S$39&lt;61,0,IF(S$39&lt;91,$Q$40*(30-(90-$Q$39)),0))</f>
        <v>0</v>
      </c>
    </row>
    <row r="44" spans="1:19" ht="13.5" thickBot="1" x14ac:dyDescent="0.25">
      <c r="A44" s="340"/>
      <c r="B44" s="4" t="s">
        <v>295</v>
      </c>
      <c r="C44" s="27">
        <f>IF(C$39&lt;91,0,IF(C$39&lt;121,30*C$40,0))</f>
        <v>0</v>
      </c>
      <c r="D44" s="27">
        <f>C44</f>
        <v>0</v>
      </c>
      <c r="E44" s="27">
        <f>D44</f>
        <v>0</v>
      </c>
      <c r="F44" s="27">
        <f>IF(F$39&lt;91,0,IF(F$39&lt;121,$C$40*(30-(120-$C$39)),0))</f>
        <v>0</v>
      </c>
      <c r="G44" s="27"/>
      <c r="H44" s="27"/>
      <c r="I44" s="4"/>
      <c r="J44" s="4"/>
      <c r="K44" s="4"/>
      <c r="L44" s="4"/>
      <c r="M44" s="4"/>
      <c r="N44" s="442"/>
      <c r="P44" s="1455"/>
      <c r="Q44" s="253">
        <f>SUM(Q41:Q43)</f>
        <v>0</v>
      </c>
      <c r="R44" s="253">
        <f>SUM(R41:R43)</f>
        <v>0</v>
      </c>
      <c r="S44" s="1456">
        <f>SUM(S41:S43)</f>
        <v>0</v>
      </c>
    </row>
    <row r="45" spans="1:19" x14ac:dyDescent="0.2">
      <c r="A45" s="340"/>
      <c r="B45" s="4" t="s">
        <v>296</v>
      </c>
      <c r="C45" s="27">
        <f>IF(C$39&lt;121,0,IF(C$39&lt;151,30*C$40,0))</f>
        <v>0</v>
      </c>
      <c r="D45" s="27">
        <f>C45</f>
        <v>0</v>
      </c>
      <c r="E45" s="27">
        <f>D45</f>
        <v>0</v>
      </c>
      <c r="F45" s="27">
        <f>E45</f>
        <v>0</v>
      </c>
      <c r="G45" s="27">
        <f>IF(G$39&lt;121,0,IF(G$39&lt;151,$C$40*(30-(150-$C$39)),0))</f>
        <v>0</v>
      </c>
      <c r="H45" s="27"/>
      <c r="I45" s="4"/>
      <c r="J45" s="4"/>
      <c r="K45" s="4"/>
      <c r="L45" s="4"/>
      <c r="M45" s="4"/>
      <c r="N45" s="442"/>
    </row>
    <row r="46" spans="1:19" x14ac:dyDescent="0.2">
      <c r="A46" s="340"/>
      <c r="B46" s="4" t="s">
        <v>297</v>
      </c>
      <c r="C46" s="27">
        <f>IF(C$39&lt;151,0,IF(C$39&lt;181,30*C$40,0))</f>
        <v>0</v>
      </c>
      <c r="D46" s="27">
        <f>C46</f>
        <v>0</v>
      </c>
      <c r="E46" s="27">
        <f>D46</f>
        <v>0</v>
      </c>
      <c r="F46" s="27">
        <f>E46</f>
        <v>0</v>
      </c>
      <c r="G46" s="27">
        <f>F46</f>
        <v>0</v>
      </c>
      <c r="H46" s="27">
        <f>IF(H$39&lt;151,0,IF(H$39&lt;181,$C$40*(30-(180-$C$39)),0))</f>
        <v>0</v>
      </c>
      <c r="I46" s="4"/>
      <c r="J46" s="4"/>
      <c r="K46" s="4"/>
      <c r="L46" s="4"/>
      <c r="M46" s="4"/>
      <c r="N46" s="442"/>
    </row>
    <row r="47" spans="1:19" ht="13.5" thickBot="1" x14ac:dyDescent="0.25">
      <c r="A47" s="443"/>
      <c r="B47" s="444" t="s">
        <v>132</v>
      </c>
      <c r="C47" s="445">
        <f t="shared" ref="C47:H47" si="27">SUM(C41:C46)</f>
        <v>0</v>
      </c>
      <c r="D47" s="445">
        <f t="shared" si="27"/>
        <v>0</v>
      </c>
      <c r="E47" s="445">
        <f t="shared" si="27"/>
        <v>0</v>
      </c>
      <c r="F47" s="445">
        <f t="shared" si="27"/>
        <v>0</v>
      </c>
      <c r="G47" s="445">
        <f t="shared" si="27"/>
        <v>0</v>
      </c>
      <c r="H47" s="445">
        <f t="shared" si="27"/>
        <v>0</v>
      </c>
      <c r="I47" s="445"/>
      <c r="J47" s="445"/>
      <c r="K47" s="445"/>
      <c r="L47" s="445"/>
      <c r="M47" s="445"/>
      <c r="N47" s="445"/>
    </row>
    <row r="48" spans="1:19" x14ac:dyDescent="0.2">
      <c r="A48" s="25"/>
      <c r="B48" s="25" t="s">
        <v>306</v>
      </c>
      <c r="C48" s="429">
        <f t="shared" ref="C48:N48" si="28">C38</f>
        <v>46760</v>
      </c>
      <c r="D48" s="429">
        <f t="shared" si="28"/>
        <v>46791</v>
      </c>
      <c r="E48" s="429">
        <f t="shared" si="28"/>
        <v>46822</v>
      </c>
      <c r="F48" s="429">
        <f t="shared" si="28"/>
        <v>46853</v>
      </c>
      <c r="G48" s="429">
        <f t="shared" si="28"/>
        <v>46884</v>
      </c>
      <c r="H48" s="429">
        <f t="shared" si="28"/>
        <v>46915</v>
      </c>
      <c r="I48" s="429">
        <f t="shared" si="28"/>
        <v>46946</v>
      </c>
      <c r="J48" s="429">
        <f t="shared" si="28"/>
        <v>46977</v>
      </c>
      <c r="K48" s="429">
        <f t="shared" si="28"/>
        <v>47008</v>
      </c>
      <c r="L48" s="429">
        <f t="shared" si="28"/>
        <v>47039</v>
      </c>
      <c r="M48" s="429">
        <f t="shared" si="28"/>
        <v>47070</v>
      </c>
      <c r="N48" s="429">
        <f t="shared" si="28"/>
        <v>47101</v>
      </c>
      <c r="O48" s="428"/>
      <c r="P48" s="428"/>
      <c r="Q48" s="428"/>
      <c r="R48" s="428"/>
      <c r="S48" s="428"/>
    </row>
    <row r="49" spans="1:19" x14ac:dyDescent="0.2">
      <c r="A49" s="435" t="s">
        <v>301</v>
      </c>
      <c r="B49" s="25" t="s">
        <v>302</v>
      </c>
      <c r="C49" s="430">
        <f>'9. T5 KASSABUDJETTI  '!E72</f>
        <v>30</v>
      </c>
      <c r="D49" s="430">
        <f t="shared" ref="D49:N49" si="29">C49</f>
        <v>30</v>
      </c>
      <c r="E49" s="430">
        <f t="shared" si="29"/>
        <v>30</v>
      </c>
      <c r="F49" s="430">
        <f t="shared" si="29"/>
        <v>30</v>
      </c>
      <c r="G49" s="430">
        <f t="shared" si="29"/>
        <v>30</v>
      </c>
      <c r="H49" s="430">
        <f t="shared" si="29"/>
        <v>30</v>
      </c>
      <c r="I49" s="430">
        <f t="shared" si="29"/>
        <v>30</v>
      </c>
      <c r="J49" s="430">
        <f t="shared" si="29"/>
        <v>30</v>
      </c>
      <c r="K49" s="430">
        <f t="shared" si="29"/>
        <v>30</v>
      </c>
      <c r="L49" s="430">
        <f t="shared" si="29"/>
        <v>30</v>
      </c>
      <c r="M49" s="430">
        <f t="shared" si="29"/>
        <v>30</v>
      </c>
      <c r="N49" s="430">
        <f t="shared" si="29"/>
        <v>30</v>
      </c>
      <c r="O49" s="2"/>
      <c r="P49" s="2"/>
      <c r="Q49" s="2"/>
      <c r="R49" s="2"/>
      <c r="S49" s="2"/>
    </row>
    <row r="50" spans="1:19" x14ac:dyDescent="0.2">
      <c r="A50" s="25" t="s">
        <v>0</v>
      </c>
      <c r="B50" s="25" t="s">
        <v>595</v>
      </c>
      <c r="C50" s="431">
        <f>'9. T5 KASSABUDJETTI  '!G70</f>
        <v>0</v>
      </c>
      <c r="D50" s="431">
        <f>'9. T5 KASSABUDJETTI  '!H70</f>
        <v>0</v>
      </c>
      <c r="E50" s="431">
        <f>'9. T5 KASSABUDJETTI  '!I70</f>
        <v>0</v>
      </c>
      <c r="F50" s="431">
        <f>'9. T5 KASSABUDJETTI  '!J70</f>
        <v>0</v>
      </c>
      <c r="G50" s="431">
        <f>'9. T5 KASSABUDJETTI  '!K70</f>
        <v>0</v>
      </c>
      <c r="H50" s="431">
        <f>'9. T5 KASSABUDJETTI  '!L70</f>
        <v>0</v>
      </c>
      <c r="I50" s="431">
        <f>'9. T5 KASSABUDJETTI  '!M70</f>
        <v>0</v>
      </c>
      <c r="J50" s="431">
        <f>'9. T5 KASSABUDJETTI  '!N70</f>
        <v>0</v>
      </c>
      <c r="K50" s="431">
        <f>'9. T5 KASSABUDJETTI  '!O70</f>
        <v>0</v>
      </c>
      <c r="L50" s="431">
        <f>'9. T5 KASSABUDJETTI  '!P70</f>
        <v>0</v>
      </c>
      <c r="M50" s="431">
        <f>'9. T5 KASSABUDJETTI  '!Q70</f>
        <v>0</v>
      </c>
      <c r="N50" s="431">
        <f>'9. T5 KASSABUDJETTI  '!R70</f>
        <v>0</v>
      </c>
      <c r="O50" s="2"/>
      <c r="P50" s="2"/>
      <c r="Q50" s="2">
        <v>0</v>
      </c>
      <c r="R50" s="2"/>
      <c r="S50" s="2"/>
    </row>
    <row r="51" spans="1:19" x14ac:dyDescent="0.2">
      <c r="A51" s="432" t="s">
        <v>283</v>
      </c>
      <c r="B51" s="432" t="s">
        <v>277</v>
      </c>
      <c r="C51" s="433">
        <f>IF(C$13&lt;31,C50*(30-C49)/30,0)</f>
        <v>0</v>
      </c>
      <c r="D51" s="433">
        <f t="shared" ref="D51:N51" si="30">IF(D$13&lt;31,D50*(30-D49)/30,0)</f>
        <v>0</v>
      </c>
      <c r="E51" s="433">
        <f t="shared" si="30"/>
        <v>0</v>
      </c>
      <c r="F51" s="433">
        <f t="shared" si="30"/>
        <v>0</v>
      </c>
      <c r="G51" s="433">
        <f t="shared" si="30"/>
        <v>0</v>
      </c>
      <c r="H51" s="433">
        <f t="shared" si="30"/>
        <v>0</v>
      </c>
      <c r="I51" s="433">
        <f t="shared" si="30"/>
        <v>0</v>
      </c>
      <c r="J51" s="433">
        <f t="shared" si="30"/>
        <v>0</v>
      </c>
      <c r="K51" s="433">
        <f t="shared" si="30"/>
        <v>0</v>
      </c>
      <c r="L51" s="433">
        <f t="shared" si="30"/>
        <v>0</v>
      </c>
      <c r="M51" s="433">
        <f t="shared" si="30"/>
        <v>0</v>
      </c>
      <c r="N51" s="433">
        <f t="shared" si="30"/>
        <v>0</v>
      </c>
      <c r="O51" s="434"/>
      <c r="P51" s="434"/>
      <c r="Q51" s="434"/>
      <c r="R51" s="434"/>
      <c r="S51" s="434"/>
    </row>
    <row r="52" spans="1:19" x14ac:dyDescent="0.2">
      <c r="A52" s="4" t="s">
        <v>287</v>
      </c>
      <c r="B52" s="4" t="s">
        <v>278</v>
      </c>
      <c r="C52" s="27">
        <f t="shared" ref="C52:N52" si="31">IF(C49&gt;30,0,C50-C51)</f>
        <v>0</v>
      </c>
      <c r="D52" s="27">
        <f t="shared" si="31"/>
        <v>0</v>
      </c>
      <c r="E52" s="27">
        <f t="shared" si="31"/>
        <v>0</v>
      </c>
      <c r="F52" s="27">
        <f t="shared" si="31"/>
        <v>0</v>
      </c>
      <c r="G52" s="27">
        <f t="shared" si="31"/>
        <v>0</v>
      </c>
      <c r="H52" s="27">
        <f t="shared" si="31"/>
        <v>0</v>
      </c>
      <c r="I52" s="27">
        <f t="shared" si="31"/>
        <v>0</v>
      </c>
      <c r="J52" s="27">
        <f t="shared" si="31"/>
        <v>0</v>
      </c>
      <c r="K52" s="27">
        <f t="shared" si="31"/>
        <v>0</v>
      </c>
      <c r="L52" s="27">
        <f t="shared" si="31"/>
        <v>0</v>
      </c>
      <c r="M52" s="27">
        <f t="shared" si="31"/>
        <v>0</v>
      </c>
      <c r="N52" s="27">
        <f t="shared" si="31"/>
        <v>0</v>
      </c>
    </row>
    <row r="53" spans="1:19" x14ac:dyDescent="0.2">
      <c r="A53" s="432" t="s">
        <v>287</v>
      </c>
      <c r="B53" s="432" t="s">
        <v>278</v>
      </c>
      <c r="C53" s="433">
        <f>IF(C$49&lt;31,0,IF(C$49&gt;60,0,C$40*(60-C$49))/30)</f>
        <v>0</v>
      </c>
      <c r="D53" s="433">
        <f>IF(D$49&lt;31,0,IF(D$49&gt;60,0,D$50*(60-D$49))/30)</f>
        <v>0</v>
      </c>
      <c r="E53" s="433">
        <f t="shared" ref="E53:N53" si="32">IF(E$49&lt;31,0,IF(E$49&gt;60,0,E$50*(60-E$49))/30)</f>
        <v>0</v>
      </c>
      <c r="F53" s="433">
        <f t="shared" si="32"/>
        <v>0</v>
      </c>
      <c r="G53" s="433">
        <f t="shared" si="32"/>
        <v>0</v>
      </c>
      <c r="H53" s="433">
        <f t="shared" si="32"/>
        <v>0</v>
      </c>
      <c r="I53" s="433">
        <f t="shared" si="32"/>
        <v>0</v>
      </c>
      <c r="J53" s="433">
        <f t="shared" si="32"/>
        <v>0</v>
      </c>
      <c r="K53" s="433">
        <f t="shared" si="32"/>
        <v>0</v>
      </c>
      <c r="L53" s="433">
        <f t="shared" si="32"/>
        <v>0</v>
      </c>
      <c r="M53" s="433">
        <f t="shared" si="32"/>
        <v>0</v>
      </c>
      <c r="N53" s="433">
        <f t="shared" si="32"/>
        <v>0</v>
      </c>
      <c r="Q53" s="4" t="s">
        <v>0</v>
      </c>
    </row>
    <row r="54" spans="1:19" x14ac:dyDescent="0.2">
      <c r="A54" s="4" t="s">
        <v>288</v>
      </c>
      <c r="B54" s="4" t="s">
        <v>279</v>
      </c>
      <c r="C54" s="27">
        <f>IF(C$49&lt;31,0,IF(C$49&gt;60,0,C50-C53))</f>
        <v>0</v>
      </c>
      <c r="D54" s="27">
        <f>IF(D$49&lt;31,0,IF(D$49&gt;60,0,D50-D53))</f>
        <v>0</v>
      </c>
      <c r="E54" s="27">
        <f t="shared" ref="E54:N54" si="33">IF(E$49&lt;31,0,IF(E$49&gt;60,0,E50-E53))</f>
        <v>0</v>
      </c>
      <c r="F54" s="27">
        <f t="shared" si="33"/>
        <v>0</v>
      </c>
      <c r="G54" s="27">
        <f t="shared" si="33"/>
        <v>0</v>
      </c>
      <c r="H54" s="27">
        <f t="shared" si="33"/>
        <v>0</v>
      </c>
      <c r="I54" s="27">
        <f t="shared" si="33"/>
        <v>0</v>
      </c>
      <c r="J54" s="27">
        <f t="shared" si="33"/>
        <v>0</v>
      </c>
      <c r="K54" s="27">
        <f t="shared" si="33"/>
        <v>0</v>
      </c>
      <c r="L54" s="27">
        <f t="shared" si="33"/>
        <v>0</v>
      </c>
      <c r="M54" s="27">
        <f t="shared" si="33"/>
        <v>0</v>
      </c>
      <c r="N54" s="27">
        <f t="shared" si="33"/>
        <v>0</v>
      </c>
      <c r="Q54" s="4"/>
    </row>
    <row r="55" spans="1:19" x14ac:dyDescent="0.2">
      <c r="A55" s="432" t="s">
        <v>288</v>
      </c>
      <c r="B55" s="432" t="s">
        <v>279</v>
      </c>
      <c r="C55" s="433">
        <f>IF(C$49&lt;61,0,IF(C$49&gt;90,0,C$50*(90-C$49))/30)</f>
        <v>0</v>
      </c>
      <c r="D55" s="433">
        <f t="shared" ref="D55:N55" si="34">IF(D$49&lt;61,0,IF(D$49&gt;90,0,D$50*(90-D$49))/30)</f>
        <v>0</v>
      </c>
      <c r="E55" s="433">
        <f t="shared" si="34"/>
        <v>0</v>
      </c>
      <c r="F55" s="433">
        <f t="shared" si="34"/>
        <v>0</v>
      </c>
      <c r="G55" s="433">
        <f t="shared" si="34"/>
        <v>0</v>
      </c>
      <c r="H55" s="433">
        <f t="shared" si="34"/>
        <v>0</v>
      </c>
      <c r="I55" s="433">
        <f t="shared" si="34"/>
        <v>0</v>
      </c>
      <c r="J55" s="433">
        <f t="shared" si="34"/>
        <v>0</v>
      </c>
      <c r="K55" s="433">
        <f t="shared" si="34"/>
        <v>0</v>
      </c>
      <c r="L55" s="433">
        <f t="shared" si="34"/>
        <v>0</v>
      </c>
      <c r="M55" s="433">
        <f t="shared" si="34"/>
        <v>0</v>
      </c>
      <c r="N55" s="433">
        <f t="shared" si="34"/>
        <v>0</v>
      </c>
      <c r="Q55" s="4"/>
    </row>
    <row r="56" spans="1:19" x14ac:dyDescent="0.2">
      <c r="A56" s="4" t="s">
        <v>289</v>
      </c>
      <c r="B56" s="4" t="s">
        <v>280</v>
      </c>
      <c r="C56" s="27">
        <f>IF(C$49&lt;61,0,IF(C$49&gt;90,0,C50-C55))</f>
        <v>0</v>
      </c>
      <c r="D56" s="27">
        <f t="shared" ref="D56:N56" si="35">IF(D$49&lt;61,0,IF(D$49&gt;90,0,D50-D55))</f>
        <v>0</v>
      </c>
      <c r="E56" s="27">
        <f t="shared" si="35"/>
        <v>0</v>
      </c>
      <c r="F56" s="27">
        <f t="shared" si="35"/>
        <v>0</v>
      </c>
      <c r="G56" s="27">
        <f t="shared" si="35"/>
        <v>0</v>
      </c>
      <c r="H56" s="27">
        <f t="shared" si="35"/>
        <v>0</v>
      </c>
      <c r="I56" s="27">
        <f t="shared" si="35"/>
        <v>0</v>
      </c>
      <c r="J56" s="27">
        <f t="shared" si="35"/>
        <v>0</v>
      </c>
      <c r="K56" s="27">
        <f t="shared" si="35"/>
        <v>0</v>
      </c>
      <c r="L56" s="27">
        <f t="shared" si="35"/>
        <v>0</v>
      </c>
      <c r="M56" s="27">
        <f t="shared" si="35"/>
        <v>0</v>
      </c>
      <c r="N56" s="27">
        <f t="shared" si="35"/>
        <v>0</v>
      </c>
      <c r="Q56" s="4"/>
    </row>
    <row r="57" spans="1:19" x14ac:dyDescent="0.2">
      <c r="A57" s="432" t="s">
        <v>289</v>
      </c>
      <c r="B57" s="432" t="s">
        <v>280</v>
      </c>
      <c r="C57" s="433">
        <f>IF(C$49&lt;91,0,IF(C$49&gt;120,0,C$50*(120-C$49))/30)</f>
        <v>0</v>
      </c>
      <c r="D57" s="433">
        <f t="shared" ref="D57:N57" si="36">IF(D$49&lt;91,0,IF(D$49&gt;120,0,D$50*(120-D$49))/30)</f>
        <v>0</v>
      </c>
      <c r="E57" s="433">
        <f t="shared" si="36"/>
        <v>0</v>
      </c>
      <c r="F57" s="433">
        <f t="shared" si="36"/>
        <v>0</v>
      </c>
      <c r="G57" s="433">
        <f t="shared" si="36"/>
        <v>0</v>
      </c>
      <c r="H57" s="433">
        <f t="shared" si="36"/>
        <v>0</v>
      </c>
      <c r="I57" s="433">
        <f t="shared" si="36"/>
        <v>0</v>
      </c>
      <c r="J57" s="433">
        <f t="shared" si="36"/>
        <v>0</v>
      </c>
      <c r="K57" s="433">
        <f t="shared" si="36"/>
        <v>0</v>
      </c>
      <c r="L57" s="433">
        <f t="shared" si="36"/>
        <v>0</v>
      </c>
      <c r="M57" s="433">
        <f t="shared" si="36"/>
        <v>0</v>
      </c>
      <c r="N57" s="433">
        <f t="shared" si="36"/>
        <v>0</v>
      </c>
      <c r="Q57" s="4"/>
    </row>
    <row r="58" spans="1:19" x14ac:dyDescent="0.2">
      <c r="A58" s="4" t="s">
        <v>290</v>
      </c>
      <c r="B58" s="4" t="s">
        <v>281</v>
      </c>
      <c r="C58" s="27">
        <f>IF(C$49&lt;91,0,IF(C$49&gt;120,0,C50-C57))</f>
        <v>0</v>
      </c>
      <c r="D58" s="27">
        <f t="shared" ref="D58:N58" si="37">IF(D$49&lt;91,0,IF(D$49&gt;120,0,D50-D57))</f>
        <v>0</v>
      </c>
      <c r="E58" s="27">
        <f t="shared" si="37"/>
        <v>0</v>
      </c>
      <c r="F58" s="27">
        <f t="shared" si="37"/>
        <v>0</v>
      </c>
      <c r="G58" s="27">
        <f t="shared" si="37"/>
        <v>0</v>
      </c>
      <c r="H58" s="27">
        <f t="shared" si="37"/>
        <v>0</v>
      </c>
      <c r="I58" s="27">
        <f t="shared" si="37"/>
        <v>0</v>
      </c>
      <c r="J58" s="27">
        <f t="shared" si="37"/>
        <v>0</v>
      </c>
      <c r="K58" s="27">
        <f t="shared" si="37"/>
        <v>0</v>
      </c>
      <c r="L58" s="27">
        <f t="shared" si="37"/>
        <v>0</v>
      </c>
      <c r="M58" s="27">
        <f t="shared" si="37"/>
        <v>0</v>
      </c>
      <c r="N58" s="27">
        <f t="shared" si="37"/>
        <v>0</v>
      </c>
      <c r="Q58" s="4"/>
    </row>
    <row r="59" spans="1:19" x14ac:dyDescent="0.2">
      <c r="A59" s="432" t="s">
        <v>290</v>
      </c>
      <c r="B59" s="432" t="s">
        <v>281</v>
      </c>
      <c r="C59" s="433">
        <f>IF(C$49&lt;121,0,IF(C$49&gt;150,0,C$50*(150-C$49))/30)</f>
        <v>0</v>
      </c>
      <c r="D59" s="433">
        <f t="shared" ref="D59:N59" si="38">IF(D$49&lt;121,0,IF(D$49&gt;150,0,D$50*(150-D$49))/30)</f>
        <v>0</v>
      </c>
      <c r="E59" s="433">
        <f t="shared" si="38"/>
        <v>0</v>
      </c>
      <c r="F59" s="433">
        <f t="shared" si="38"/>
        <v>0</v>
      </c>
      <c r="G59" s="433">
        <f t="shared" si="38"/>
        <v>0</v>
      </c>
      <c r="H59" s="433">
        <f t="shared" si="38"/>
        <v>0</v>
      </c>
      <c r="I59" s="433">
        <f t="shared" si="38"/>
        <v>0</v>
      </c>
      <c r="J59" s="433">
        <f t="shared" si="38"/>
        <v>0</v>
      </c>
      <c r="K59" s="433">
        <f t="shared" si="38"/>
        <v>0</v>
      </c>
      <c r="L59" s="433">
        <f t="shared" si="38"/>
        <v>0</v>
      </c>
      <c r="M59" s="433">
        <f t="shared" si="38"/>
        <v>0</v>
      </c>
      <c r="N59" s="433">
        <f t="shared" si="38"/>
        <v>0</v>
      </c>
      <c r="Q59" s="4"/>
    </row>
    <row r="60" spans="1:19" x14ac:dyDescent="0.2">
      <c r="A60" s="4" t="s">
        <v>291</v>
      </c>
      <c r="B60" s="4" t="s">
        <v>282</v>
      </c>
      <c r="C60" s="27">
        <f>IF(C$49&lt;121,0,IF(C$49&gt;150,0,C50-C59))</f>
        <v>0</v>
      </c>
      <c r="D60" s="27">
        <f t="shared" ref="D60:N60" si="39">IF(D$49&lt;121,0,IF(D$49&gt;150,0,D50-D59))</f>
        <v>0</v>
      </c>
      <c r="E60" s="27">
        <f t="shared" si="39"/>
        <v>0</v>
      </c>
      <c r="F60" s="27">
        <f t="shared" si="39"/>
        <v>0</v>
      </c>
      <c r="G60" s="27">
        <f t="shared" si="39"/>
        <v>0</v>
      </c>
      <c r="H60" s="27">
        <f t="shared" si="39"/>
        <v>0</v>
      </c>
      <c r="I60" s="27">
        <f t="shared" si="39"/>
        <v>0</v>
      </c>
      <c r="J60" s="27">
        <f t="shared" si="39"/>
        <v>0</v>
      </c>
      <c r="K60" s="27">
        <f t="shared" si="39"/>
        <v>0</v>
      </c>
      <c r="L60" s="27">
        <f t="shared" si="39"/>
        <v>0</v>
      </c>
      <c r="M60" s="27">
        <f t="shared" si="39"/>
        <v>0</v>
      </c>
      <c r="N60" s="27">
        <f t="shared" si="39"/>
        <v>0</v>
      </c>
      <c r="Q60" s="4"/>
    </row>
    <row r="61" spans="1:19" x14ac:dyDescent="0.2">
      <c r="A61" s="432" t="s">
        <v>291</v>
      </c>
      <c r="B61" s="432" t="s">
        <v>282</v>
      </c>
      <c r="C61" s="433">
        <f>IF(C$49&lt;151,0,IF(C$49&gt;180,0,C$50*(180-C$49))/30)</f>
        <v>0</v>
      </c>
      <c r="D61" s="433">
        <f t="shared" ref="D61:N61" si="40">IF(D$49&lt;151,0,IF(D$49&gt;180,0,D$50*(180-D$49))/30)</f>
        <v>0</v>
      </c>
      <c r="E61" s="433">
        <f t="shared" si="40"/>
        <v>0</v>
      </c>
      <c r="F61" s="433">
        <f t="shared" si="40"/>
        <v>0</v>
      </c>
      <c r="G61" s="433">
        <f t="shared" si="40"/>
        <v>0</v>
      </c>
      <c r="H61" s="433">
        <f t="shared" si="40"/>
        <v>0</v>
      </c>
      <c r="I61" s="433">
        <f t="shared" si="40"/>
        <v>0</v>
      </c>
      <c r="J61" s="433">
        <f t="shared" si="40"/>
        <v>0</v>
      </c>
      <c r="K61" s="433">
        <f t="shared" si="40"/>
        <v>0</v>
      </c>
      <c r="L61" s="433">
        <f t="shared" si="40"/>
        <v>0</v>
      </c>
      <c r="M61" s="433">
        <f t="shared" si="40"/>
        <v>0</v>
      </c>
      <c r="N61" s="433">
        <f t="shared" si="40"/>
        <v>0</v>
      </c>
      <c r="Q61" s="4"/>
    </row>
    <row r="62" spans="1:19" x14ac:dyDescent="0.2">
      <c r="A62" s="4"/>
      <c r="B62" s="4" t="s">
        <v>284</v>
      </c>
      <c r="C62" s="27">
        <f>IF(C$49&lt;151,0,IF(C$49&gt;180,0,C50-C61))</f>
        <v>0</v>
      </c>
      <c r="D62" s="27">
        <f t="shared" ref="D62:N62" si="41">IF(D$49&lt;151,0,IF(D$49&gt;180,0,D50-D61))</f>
        <v>0</v>
      </c>
      <c r="E62" s="27">
        <f t="shared" si="41"/>
        <v>0</v>
      </c>
      <c r="F62" s="27">
        <f t="shared" si="41"/>
        <v>0</v>
      </c>
      <c r="G62" s="27">
        <f t="shared" si="41"/>
        <v>0</v>
      </c>
      <c r="H62" s="27">
        <f t="shared" si="41"/>
        <v>0</v>
      </c>
      <c r="I62" s="27">
        <f t="shared" si="41"/>
        <v>0</v>
      </c>
      <c r="J62" s="27">
        <f t="shared" si="41"/>
        <v>0</v>
      </c>
      <c r="K62" s="27">
        <f t="shared" si="41"/>
        <v>0</v>
      </c>
      <c r="L62" s="27">
        <f t="shared" si="41"/>
        <v>0</v>
      </c>
      <c r="M62" s="27">
        <f t="shared" si="41"/>
        <v>0</v>
      </c>
      <c r="N62" s="27">
        <f t="shared" si="41"/>
        <v>0</v>
      </c>
      <c r="Q62" s="4"/>
    </row>
    <row r="63" spans="1:19" x14ac:dyDescent="0.2">
      <c r="A63" s="25"/>
      <c r="B63" s="25" t="s">
        <v>285</v>
      </c>
      <c r="C63" s="429">
        <f t="shared" ref="C63:N63" si="42">C38</f>
        <v>46760</v>
      </c>
      <c r="D63" s="429">
        <f t="shared" si="42"/>
        <v>46791</v>
      </c>
      <c r="E63" s="429">
        <f t="shared" si="42"/>
        <v>46822</v>
      </c>
      <c r="F63" s="429">
        <f t="shared" si="42"/>
        <v>46853</v>
      </c>
      <c r="G63" s="429">
        <f t="shared" si="42"/>
        <v>46884</v>
      </c>
      <c r="H63" s="429">
        <f t="shared" si="42"/>
        <v>46915</v>
      </c>
      <c r="I63" s="429">
        <f t="shared" si="42"/>
        <v>46946</v>
      </c>
      <c r="J63" s="429">
        <f t="shared" si="42"/>
        <v>46977</v>
      </c>
      <c r="K63" s="429">
        <f t="shared" si="42"/>
        <v>47008</v>
      </c>
      <c r="L63" s="429">
        <f t="shared" si="42"/>
        <v>47039</v>
      </c>
      <c r="M63" s="429">
        <f t="shared" si="42"/>
        <v>47070</v>
      </c>
      <c r="N63" s="429">
        <f t="shared" si="42"/>
        <v>47101</v>
      </c>
      <c r="O63" s="2"/>
      <c r="P63" s="2"/>
      <c r="Q63" s="4"/>
      <c r="R63" s="2"/>
      <c r="S63" s="2"/>
    </row>
    <row r="64" spans="1:19" x14ac:dyDescent="0.2">
      <c r="A64" s="4"/>
      <c r="B64" s="4" t="s">
        <v>277</v>
      </c>
      <c r="C64" s="27">
        <f>C51</f>
        <v>0</v>
      </c>
      <c r="D64" s="27">
        <f t="shared" ref="D64:N64" si="43">D51</f>
        <v>0</v>
      </c>
      <c r="E64" s="27">
        <f t="shared" si="43"/>
        <v>0</v>
      </c>
      <c r="F64" s="27">
        <f t="shared" si="43"/>
        <v>0</v>
      </c>
      <c r="G64" s="27">
        <f t="shared" si="43"/>
        <v>0</v>
      </c>
      <c r="H64" s="27">
        <f t="shared" si="43"/>
        <v>0</v>
      </c>
      <c r="I64" s="27">
        <f t="shared" si="43"/>
        <v>0</v>
      </c>
      <c r="J64" s="27">
        <f t="shared" si="43"/>
        <v>0</v>
      </c>
      <c r="K64" s="27">
        <f t="shared" si="43"/>
        <v>0</v>
      </c>
      <c r="L64" s="27">
        <f t="shared" si="43"/>
        <v>0</v>
      </c>
      <c r="M64" s="27">
        <f t="shared" si="43"/>
        <v>0</v>
      </c>
      <c r="N64" s="27">
        <f t="shared" si="43"/>
        <v>0</v>
      </c>
    </row>
    <row r="65" spans="1:19" x14ac:dyDescent="0.2">
      <c r="A65" s="4"/>
      <c r="B65" s="4" t="s">
        <v>278</v>
      </c>
      <c r="C65" s="27"/>
      <c r="D65" s="27">
        <f t="shared" ref="D65:N65" si="44">C52+C53</f>
        <v>0</v>
      </c>
      <c r="E65" s="27">
        <f t="shared" si="44"/>
        <v>0</v>
      </c>
      <c r="F65" s="27">
        <f t="shared" si="44"/>
        <v>0</v>
      </c>
      <c r="G65" s="27">
        <f t="shared" si="44"/>
        <v>0</v>
      </c>
      <c r="H65" s="27">
        <f t="shared" si="44"/>
        <v>0</v>
      </c>
      <c r="I65" s="27">
        <f t="shared" si="44"/>
        <v>0</v>
      </c>
      <c r="J65" s="27">
        <f t="shared" si="44"/>
        <v>0</v>
      </c>
      <c r="K65" s="27">
        <f t="shared" si="44"/>
        <v>0</v>
      </c>
      <c r="L65" s="27">
        <f t="shared" si="44"/>
        <v>0</v>
      </c>
      <c r="M65" s="27">
        <f t="shared" si="44"/>
        <v>0</v>
      </c>
      <c r="N65" s="27">
        <f t="shared" si="44"/>
        <v>0</v>
      </c>
    </row>
    <row r="66" spans="1:19" x14ac:dyDescent="0.2">
      <c r="A66" s="4"/>
      <c r="B66" s="4" t="s">
        <v>279</v>
      </c>
      <c r="C66" s="27"/>
      <c r="D66" s="27"/>
      <c r="E66" s="27">
        <f t="shared" ref="E66:N66" si="45">C54+C55</f>
        <v>0</v>
      </c>
      <c r="F66" s="27">
        <f t="shared" si="45"/>
        <v>0</v>
      </c>
      <c r="G66" s="27">
        <f t="shared" si="45"/>
        <v>0</v>
      </c>
      <c r="H66" s="27">
        <f t="shared" si="45"/>
        <v>0</v>
      </c>
      <c r="I66" s="27">
        <f t="shared" si="45"/>
        <v>0</v>
      </c>
      <c r="J66" s="27">
        <f t="shared" si="45"/>
        <v>0</v>
      </c>
      <c r="K66" s="27">
        <f t="shared" si="45"/>
        <v>0</v>
      </c>
      <c r="L66" s="27">
        <f t="shared" si="45"/>
        <v>0</v>
      </c>
      <c r="M66" s="27">
        <f t="shared" si="45"/>
        <v>0</v>
      </c>
      <c r="N66" s="27">
        <f t="shared" si="45"/>
        <v>0</v>
      </c>
    </row>
    <row r="67" spans="1:19" x14ac:dyDescent="0.2">
      <c r="A67" s="4"/>
      <c r="B67" s="4" t="s">
        <v>280</v>
      </c>
      <c r="C67" s="27"/>
      <c r="D67" s="27"/>
      <c r="E67" s="27"/>
      <c r="F67" s="27">
        <f t="shared" ref="F67:N67" si="46">C56+C57</f>
        <v>0</v>
      </c>
      <c r="G67" s="27">
        <f t="shared" si="46"/>
        <v>0</v>
      </c>
      <c r="H67" s="27">
        <f t="shared" si="46"/>
        <v>0</v>
      </c>
      <c r="I67" s="27">
        <f t="shared" si="46"/>
        <v>0</v>
      </c>
      <c r="J67" s="27">
        <f t="shared" si="46"/>
        <v>0</v>
      </c>
      <c r="K67" s="27">
        <f t="shared" si="46"/>
        <v>0</v>
      </c>
      <c r="L67" s="27">
        <f t="shared" si="46"/>
        <v>0</v>
      </c>
      <c r="M67" s="27">
        <f t="shared" si="46"/>
        <v>0</v>
      </c>
      <c r="N67" s="27">
        <f t="shared" si="46"/>
        <v>0</v>
      </c>
    </row>
    <row r="68" spans="1:19" x14ac:dyDescent="0.2">
      <c r="A68" s="4"/>
      <c r="B68" s="4" t="s">
        <v>281</v>
      </c>
      <c r="C68" s="27"/>
      <c r="D68" s="27"/>
      <c r="E68" s="27"/>
      <c r="F68" s="27"/>
      <c r="G68" s="27">
        <f t="shared" ref="G68:N68" si="47">C58+C59</f>
        <v>0</v>
      </c>
      <c r="H68" s="27">
        <f t="shared" si="47"/>
        <v>0</v>
      </c>
      <c r="I68" s="27">
        <f t="shared" si="47"/>
        <v>0</v>
      </c>
      <c r="J68" s="27">
        <f t="shared" si="47"/>
        <v>0</v>
      </c>
      <c r="K68" s="27">
        <f t="shared" si="47"/>
        <v>0</v>
      </c>
      <c r="L68" s="27">
        <f t="shared" si="47"/>
        <v>0</v>
      </c>
      <c r="M68" s="27">
        <f t="shared" si="47"/>
        <v>0</v>
      </c>
      <c r="N68" s="27">
        <f t="shared" si="47"/>
        <v>0</v>
      </c>
    </row>
    <row r="69" spans="1:19" x14ac:dyDescent="0.2">
      <c r="A69" s="4"/>
      <c r="B69" s="4" t="s">
        <v>282</v>
      </c>
      <c r="C69" s="27"/>
      <c r="D69" s="27"/>
      <c r="E69" s="27"/>
      <c r="F69" s="27"/>
      <c r="G69" s="27"/>
      <c r="H69" s="27">
        <f t="shared" ref="H69:N69" si="48">C60+C61</f>
        <v>0</v>
      </c>
      <c r="I69" s="27">
        <f t="shared" si="48"/>
        <v>0</v>
      </c>
      <c r="J69" s="27">
        <f t="shared" si="48"/>
        <v>0</v>
      </c>
      <c r="K69" s="27">
        <f t="shared" si="48"/>
        <v>0</v>
      </c>
      <c r="L69" s="27">
        <f t="shared" si="48"/>
        <v>0</v>
      </c>
      <c r="M69" s="27">
        <f t="shared" si="48"/>
        <v>0</v>
      </c>
      <c r="N69" s="27">
        <f t="shared" si="48"/>
        <v>0</v>
      </c>
    </row>
    <row r="70" spans="1:19" x14ac:dyDescent="0.2">
      <c r="A70" s="4"/>
      <c r="B70" s="4" t="s">
        <v>284</v>
      </c>
      <c r="C70" s="27"/>
      <c r="D70" s="27"/>
      <c r="E70" s="27"/>
      <c r="F70" s="27"/>
      <c r="G70" s="27"/>
      <c r="H70" s="27"/>
      <c r="I70" s="27">
        <f t="shared" ref="I70:N70" si="49">C62</f>
        <v>0</v>
      </c>
      <c r="J70" s="27">
        <f t="shared" si="49"/>
        <v>0</v>
      </c>
      <c r="K70" s="27">
        <f t="shared" si="49"/>
        <v>0</v>
      </c>
      <c r="L70" s="27">
        <f t="shared" si="49"/>
        <v>0</v>
      </c>
      <c r="M70" s="27">
        <f t="shared" si="49"/>
        <v>0</v>
      </c>
      <c r="N70" s="27">
        <f t="shared" si="49"/>
        <v>0</v>
      </c>
    </row>
    <row r="71" spans="1:19" x14ac:dyDescent="0.2">
      <c r="A71" s="25"/>
      <c r="B71" s="25" t="s">
        <v>286</v>
      </c>
      <c r="C71" s="431">
        <f>SUM(C64:C70)</f>
        <v>0</v>
      </c>
      <c r="D71" s="431">
        <f t="shared" ref="D71:N71" si="50">SUM(D64:D70)</f>
        <v>0</v>
      </c>
      <c r="E71" s="431">
        <f t="shared" si="50"/>
        <v>0</v>
      </c>
      <c r="F71" s="431">
        <f t="shared" si="50"/>
        <v>0</v>
      </c>
      <c r="G71" s="431">
        <f t="shared" si="50"/>
        <v>0</v>
      </c>
      <c r="H71" s="431">
        <f t="shared" si="50"/>
        <v>0</v>
      </c>
      <c r="I71" s="431">
        <f t="shared" si="50"/>
        <v>0</v>
      </c>
      <c r="J71" s="431">
        <f t="shared" si="50"/>
        <v>0</v>
      </c>
      <c r="K71" s="431">
        <f t="shared" si="50"/>
        <v>0</v>
      </c>
      <c r="L71" s="431">
        <f t="shared" si="50"/>
        <v>0</v>
      </c>
      <c r="M71" s="431">
        <f t="shared" si="50"/>
        <v>0</v>
      </c>
      <c r="N71" s="431">
        <f t="shared" si="50"/>
        <v>0</v>
      </c>
      <c r="O71" s="2"/>
      <c r="P71" s="2"/>
      <c r="Q71" s="2"/>
      <c r="R71" s="2"/>
      <c r="S71" s="2"/>
    </row>
  </sheetData>
  <sheetProtection algorithmName="SHA-512" hashValue="QrzDoBeBkgxTwudyup+gMlLXiZg93QXdtb/7LbAH/iLxQul+qxiVpQdzRFWIeTPuH9E1qxFBx67/qa9eDMllwQ==" saltValue="OxAaLiSfeRjEkUgbe7rwEg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ul8">
    <tabColor theme="1" tint="4.9989318521683403E-2"/>
  </sheetPr>
  <dimension ref="A2:BI211"/>
  <sheetViews>
    <sheetView showGridLines="0" showZeros="0" zoomScale="130" zoomScaleNormal="130" workbookViewId="0">
      <selection activeCell="L20" sqref="L20"/>
    </sheetView>
  </sheetViews>
  <sheetFormatPr defaultRowHeight="12.75" x14ac:dyDescent="0.2"/>
  <cols>
    <col min="1" max="1" width="10.5703125" customWidth="1"/>
    <col min="2" max="2" width="2.28515625" customWidth="1"/>
    <col min="3" max="3" width="29.42578125" customWidth="1"/>
    <col min="4" max="8" width="6.7109375" customWidth="1"/>
    <col min="9" max="9" width="5.7109375" customWidth="1"/>
    <col min="10" max="10" width="6.7109375" customWidth="1"/>
    <col min="11" max="11" width="5.7109375" customWidth="1"/>
    <col min="12" max="12" width="6.7109375" customWidth="1"/>
    <col min="13" max="13" width="5.7109375" customWidth="1"/>
    <col min="14" max="14" width="6.7109375" customWidth="1"/>
    <col min="15" max="15" width="5.7109375" customWidth="1"/>
    <col min="16" max="16" width="2.7109375" customWidth="1"/>
    <col min="17" max="17" width="3.140625" customWidth="1"/>
    <col min="18" max="18" width="23.7109375" customWidth="1"/>
    <col min="19" max="25" width="10.7109375" customWidth="1"/>
    <col min="26" max="26" width="2.7109375" customWidth="1"/>
    <col min="27" max="27" width="26.140625" customWidth="1"/>
    <col min="28" max="28" width="7.5703125" customWidth="1"/>
    <col min="29" max="30" width="5.140625" customWidth="1"/>
    <col min="31" max="31" width="6.85546875" customWidth="1"/>
    <col min="32" max="32" width="6.140625" customWidth="1"/>
    <col min="33" max="33" width="5.140625" customWidth="1"/>
    <col min="34" max="34" width="6.85546875" customWidth="1"/>
    <col min="35" max="35" width="6.140625" customWidth="1"/>
    <col min="36" max="36" width="5.140625" customWidth="1"/>
    <col min="37" max="37" width="6.85546875" customWidth="1"/>
    <col min="38" max="38" width="4.85546875" customWidth="1"/>
    <col min="39" max="39" width="5.28515625" customWidth="1"/>
    <col min="40" max="40" width="6.85546875" customWidth="1"/>
    <col min="41" max="41" width="6.140625" customWidth="1"/>
    <col min="42" max="42" width="5.140625" customWidth="1"/>
    <col min="43" max="43" width="2.7109375" customWidth="1"/>
    <col min="44" max="44" width="16" customWidth="1"/>
    <col min="45" max="45" width="15.140625" customWidth="1"/>
    <col min="46" max="50" width="12.28515625" customWidth="1"/>
    <col min="51" max="51" width="11.28515625" customWidth="1"/>
  </cols>
  <sheetData>
    <row r="2" spans="2:51" ht="16.899999999999999" customHeight="1" x14ac:dyDescent="0.2">
      <c r="B2" s="2262"/>
      <c r="C2" s="2263"/>
      <c r="D2" s="661"/>
      <c r="E2" s="661"/>
      <c r="F2" s="661"/>
      <c r="G2" s="661"/>
      <c r="H2" s="358"/>
      <c r="J2" s="358"/>
      <c r="K2" s="120"/>
      <c r="L2" s="120"/>
      <c r="M2" s="120"/>
      <c r="N2" s="120"/>
      <c r="O2" s="120"/>
      <c r="Q2" s="2272"/>
      <c r="R2" s="2272"/>
      <c r="S2" s="735"/>
      <c r="T2" s="735"/>
      <c r="U2" s="735"/>
      <c r="V2" s="735"/>
      <c r="W2" s="735"/>
      <c r="X2" s="735"/>
      <c r="Y2" s="735"/>
      <c r="AA2" s="2277"/>
      <c r="AB2" s="2277"/>
      <c r="AC2" s="129"/>
      <c r="AD2" s="129"/>
      <c r="AE2" s="129"/>
      <c r="AF2" s="38"/>
      <c r="AG2" s="38"/>
      <c r="AH2" s="38"/>
      <c r="AI2" s="38"/>
      <c r="AK2" s="38"/>
      <c r="AR2" s="2280"/>
      <c r="AS2" s="129"/>
      <c r="AT2" s="129"/>
      <c r="AU2" s="38"/>
      <c r="AV2" s="38"/>
      <c r="AW2" s="38"/>
      <c r="AY2" t="s">
        <v>0</v>
      </c>
    </row>
    <row r="3" spans="2:51" ht="15.6" customHeight="1" x14ac:dyDescent="0.2">
      <c r="B3" s="470"/>
      <c r="C3" s="1571"/>
      <c r="D3" s="358"/>
      <c r="E3" s="120"/>
      <c r="F3" s="120"/>
      <c r="G3" s="242"/>
      <c r="H3" s="358"/>
      <c r="K3" s="120"/>
      <c r="L3" s="120"/>
      <c r="M3" s="120"/>
      <c r="N3" s="120"/>
      <c r="O3" s="120"/>
      <c r="Q3" s="2278"/>
      <c r="R3" s="2278"/>
      <c r="S3" s="2278"/>
      <c r="T3" s="718"/>
      <c r="U3" s="718"/>
      <c r="W3" s="733">
        <v>0</v>
      </c>
      <c r="X3" s="120"/>
      <c r="Y3" s="120"/>
      <c r="AA3" s="1076"/>
      <c r="AB3" s="1076"/>
      <c r="AC3" s="718"/>
      <c r="AD3" s="718"/>
      <c r="AE3" s="718"/>
      <c r="AF3" s="718"/>
      <c r="AG3" s="72"/>
      <c r="AK3" s="734"/>
      <c r="AL3" s="639"/>
      <c r="AQ3" s="655"/>
      <c r="AR3" s="2280"/>
      <c r="AS3" s="718"/>
      <c r="AT3" s="718"/>
      <c r="AU3" s="718"/>
      <c r="AW3" s="734"/>
      <c r="AX3" s="639"/>
    </row>
    <row r="4" spans="2:51" ht="8.65" customHeight="1" x14ac:dyDescent="0.2">
      <c r="B4" s="470"/>
      <c r="C4" s="358"/>
      <c r="D4" s="358"/>
      <c r="E4" s="2267"/>
      <c r="F4" s="2268"/>
      <c r="G4" s="470"/>
      <c r="H4" s="471"/>
      <c r="I4" s="120"/>
      <c r="J4" s="120"/>
      <c r="K4" s="120"/>
      <c r="L4" s="120"/>
      <c r="M4" s="120"/>
      <c r="N4" s="120"/>
      <c r="O4" s="120"/>
      <c r="Q4" s="2278"/>
      <c r="R4" s="2278"/>
      <c r="S4" s="2278"/>
      <c r="T4" s="120"/>
      <c r="U4" s="120"/>
      <c r="V4" s="120"/>
      <c r="W4" s="120"/>
      <c r="X4" s="120"/>
      <c r="Y4" s="120"/>
      <c r="AA4" s="129" t="s">
        <v>0</v>
      </c>
      <c r="AB4" s="129"/>
      <c r="AC4" s="129"/>
      <c r="AD4" s="129"/>
      <c r="AE4" s="129" t="s">
        <v>0</v>
      </c>
      <c r="AF4" s="129"/>
      <c r="AG4" s="129"/>
      <c r="AH4" s="129" t="s">
        <v>0</v>
      </c>
      <c r="AI4" s="129" t="s">
        <v>0</v>
      </c>
      <c r="AJ4" s="129"/>
      <c r="AK4" s="129"/>
      <c r="AL4" s="129"/>
      <c r="AM4" s="129" t="s">
        <v>0</v>
      </c>
      <c r="AN4" s="129" t="s">
        <v>0</v>
      </c>
      <c r="AO4" s="129" t="s">
        <v>0</v>
      </c>
      <c r="AP4" s="129"/>
    </row>
    <row r="5" spans="2:51" ht="12" customHeight="1" x14ac:dyDescent="0.2">
      <c r="B5" s="1380" t="s">
        <v>537</v>
      </c>
      <c r="C5" s="1374"/>
      <c r="D5" s="1374"/>
      <c r="E5" s="1375"/>
      <c r="F5" s="1375"/>
      <c r="G5" s="2283"/>
      <c r="H5" s="2283"/>
      <c r="I5" s="2266" t="s">
        <v>51</v>
      </c>
      <c r="J5" s="2266"/>
      <c r="K5" s="1545"/>
      <c r="L5" s="2266" t="str">
        <f>'1. T1 INVESTOINTISUUN.'!E8</f>
        <v>Puhelin</v>
      </c>
      <c r="M5" s="2266"/>
      <c r="N5" s="2266"/>
      <c r="O5" s="2266"/>
      <c r="Q5" s="2253" t="s">
        <v>429</v>
      </c>
      <c r="R5" s="2253"/>
      <c r="S5" s="1175"/>
      <c r="T5" s="1172" t="s">
        <v>64</v>
      </c>
      <c r="U5" s="1172" t="str">
        <f>T5</f>
        <v>Tot. tilikausi</v>
      </c>
      <c r="V5" s="1172" t="s">
        <v>67</v>
      </c>
      <c r="W5" s="1172" t="s">
        <v>55</v>
      </c>
      <c r="X5" s="1172" t="s">
        <v>57</v>
      </c>
      <c r="Y5" s="1172" t="s">
        <v>195</v>
      </c>
      <c r="AA5" s="2281" t="s">
        <v>608</v>
      </c>
      <c r="AB5" s="2281"/>
      <c r="AC5" s="2281"/>
      <c r="AD5" s="2281"/>
      <c r="AE5" s="2279" t="str">
        <f>T5</f>
        <v>Tot. tilikausi</v>
      </c>
      <c r="AF5" s="2279"/>
      <c r="AG5" s="2279" t="str">
        <f>U5</f>
        <v>Tot. tilikausi</v>
      </c>
      <c r="AH5" s="2279"/>
      <c r="AI5" s="2279" t="str">
        <f>V5</f>
        <v>Ennuste 1</v>
      </c>
      <c r="AJ5" s="2279"/>
      <c r="AK5" s="2279" t="str">
        <f>W5</f>
        <v>Ennuste 2</v>
      </c>
      <c r="AL5" s="2279"/>
      <c r="AM5" s="2279" t="str">
        <f>X5</f>
        <v>Ennuste 3</v>
      </c>
      <c r="AN5" s="2279"/>
      <c r="AO5" s="2279" t="str">
        <f>Y5</f>
        <v>Ennuste 4</v>
      </c>
      <c r="AP5" s="2279"/>
      <c r="AR5" s="2281" t="s">
        <v>406</v>
      </c>
      <c r="AS5" s="2281"/>
      <c r="AT5" s="2282" t="str">
        <f>AU5</f>
        <v>Toteutunut tilikausi</v>
      </c>
      <c r="AU5" s="2282" t="str">
        <f>'2. &amp; 7. T2 TULOSSUUN. '!G7</f>
        <v>Toteutunut tilikausi</v>
      </c>
      <c r="AV5" s="2279" t="str">
        <f>AI5</f>
        <v>Ennuste 1</v>
      </c>
      <c r="AW5" s="2279" t="str">
        <f>AK5</f>
        <v>Ennuste 2</v>
      </c>
      <c r="AX5" s="2279" t="str">
        <f>AM5</f>
        <v>Ennuste 3</v>
      </c>
      <c r="AY5" s="2279" t="str">
        <f>AO5</f>
        <v>Ennuste 4</v>
      </c>
    </row>
    <row r="6" spans="2:51" ht="12.6" customHeight="1" x14ac:dyDescent="0.2">
      <c r="B6" s="1569">
        <f>'2. &amp; 7. T2 TULOSSUUN. '!B5</f>
        <v>0</v>
      </c>
      <c r="C6" s="1569"/>
      <c r="D6" s="1569"/>
      <c r="E6" s="1569"/>
      <c r="F6" s="1569"/>
      <c r="G6" s="1570"/>
      <c r="H6" s="1568"/>
      <c r="I6" s="2284">
        <f>'1. T1 INVESTOINTISUUN.'!E4</f>
        <v>0</v>
      </c>
      <c r="J6" s="2285"/>
      <c r="K6" s="1567"/>
      <c r="L6" s="1572">
        <f>'1. T1 INVESTOINTISUUN.'!E9</f>
        <v>0</v>
      </c>
      <c r="M6" s="1572"/>
      <c r="N6" s="1572"/>
      <c r="O6" s="1572"/>
      <c r="Q6" s="2253"/>
      <c r="R6" s="2253"/>
      <c r="S6" s="1175"/>
      <c r="T6" s="1172">
        <f>'3. T3 TASE '!F9</f>
        <v>2024</v>
      </c>
      <c r="U6" s="1172">
        <f>'3. T3 TASE '!G9</f>
        <v>2025</v>
      </c>
      <c r="V6" s="1172">
        <f>'3. T3 TASE '!H9</f>
        <v>2027</v>
      </c>
      <c r="W6" s="1172">
        <f>'3. T3 TASE '!I9</f>
        <v>2028</v>
      </c>
      <c r="X6" s="1172">
        <f>'3. T3 TASE '!J9</f>
        <v>2029</v>
      </c>
      <c r="Y6" s="1172">
        <f>'3. T3 TASE '!K9</f>
        <v>2030</v>
      </c>
      <c r="AA6" s="2281"/>
      <c r="AB6" s="2281"/>
      <c r="AC6" s="2281"/>
      <c r="AD6" s="2281"/>
      <c r="AE6" s="2226">
        <f>T6</f>
        <v>2024</v>
      </c>
      <c r="AF6" s="2226"/>
      <c r="AG6" s="2226">
        <f>U6</f>
        <v>2025</v>
      </c>
      <c r="AH6" s="2226"/>
      <c r="AI6" s="2226">
        <f>V6</f>
        <v>2027</v>
      </c>
      <c r="AJ6" s="2226"/>
      <c r="AK6" s="2226">
        <f>W6</f>
        <v>2028</v>
      </c>
      <c r="AL6" s="2226"/>
      <c r="AM6" s="2226">
        <f>X6</f>
        <v>2029</v>
      </c>
      <c r="AN6" s="2226"/>
      <c r="AO6" s="2226">
        <f>Y6</f>
        <v>2030</v>
      </c>
      <c r="AP6" s="2226"/>
      <c r="AR6" s="2281"/>
      <c r="AS6" s="2281"/>
      <c r="AT6" s="2282"/>
      <c r="AU6" s="2282"/>
      <c r="AV6" s="2279"/>
      <c r="AW6" s="2279"/>
      <c r="AX6" s="2279"/>
      <c r="AY6" s="2279"/>
    </row>
    <row r="7" spans="2:51" ht="11.25" customHeight="1" x14ac:dyDescent="0.2">
      <c r="B7" s="1379" t="s">
        <v>538</v>
      </c>
      <c r="C7" s="1376"/>
      <c r="D7" s="1376"/>
      <c r="E7" s="1377"/>
      <c r="F7" s="1377"/>
      <c r="G7" s="1377"/>
      <c r="H7" s="1377"/>
      <c r="I7" s="2266" t="s">
        <v>739</v>
      </c>
      <c r="J7" s="2266"/>
      <c r="K7" s="2266"/>
      <c r="L7" s="2266"/>
      <c r="M7" s="2266"/>
      <c r="N7" s="2266"/>
      <c r="O7" s="2266"/>
      <c r="Q7" s="757" t="s">
        <v>158</v>
      </c>
      <c r="R7" s="760" t="s">
        <v>159</v>
      </c>
      <c r="S7" s="752"/>
      <c r="T7" s="758">
        <f>'3. T3 TASE '!F11/1000</f>
        <v>0</v>
      </c>
      <c r="U7" s="756">
        <f>'3. T3 TASE '!G11/1000</f>
        <v>0</v>
      </c>
      <c r="V7" s="756">
        <f>'3. T3 TASE '!H11/1000</f>
        <v>0</v>
      </c>
      <c r="W7" s="756">
        <f>'3. T3 TASE '!I11/1000</f>
        <v>0</v>
      </c>
      <c r="X7" s="756">
        <f>'3. T3 TASE '!J11/1000</f>
        <v>0</v>
      </c>
      <c r="Y7" s="756">
        <f>'3. T3 TASE '!K11/1000</f>
        <v>0</v>
      </c>
      <c r="AA7" s="775" t="s">
        <v>407</v>
      </c>
      <c r="AB7" s="776"/>
      <c r="AC7" s="776"/>
      <c r="AD7" s="1753" t="s">
        <v>47</v>
      </c>
      <c r="AE7" s="2236">
        <f>'8. T4 RAHOITUSSUUN. '!F49/1000</f>
        <v>0</v>
      </c>
      <c r="AF7" s="2214"/>
      <c r="AG7" s="2214">
        <f>'8. T4 RAHOITUSSUUN. '!G49/1000</f>
        <v>0</v>
      </c>
      <c r="AH7" s="2214"/>
      <c r="AI7" s="2214">
        <f>'8. T4 RAHOITUSSUUN. '!H49/1000</f>
        <v>0</v>
      </c>
      <c r="AJ7" s="2214"/>
      <c r="AK7" s="2214">
        <f>'8. T4 RAHOITUSSUUN. '!I49/1000</f>
        <v>0</v>
      </c>
      <c r="AL7" s="2214"/>
      <c r="AM7" s="2214">
        <f>'8. T4 RAHOITUSSUUN. '!J49/1000</f>
        <v>0</v>
      </c>
      <c r="AN7" s="2214"/>
      <c r="AO7" s="2214">
        <f>'8. T4 RAHOITUSSUUN. '!K49/1000</f>
        <v>0</v>
      </c>
      <c r="AP7" s="2214"/>
      <c r="AR7" s="2281"/>
      <c r="AS7" s="2281"/>
      <c r="AT7" s="1181">
        <f>AE6</f>
        <v>2024</v>
      </c>
      <c r="AU7" s="1181">
        <f>AG6</f>
        <v>2025</v>
      </c>
      <c r="AV7" s="1181">
        <f>AI6</f>
        <v>2027</v>
      </c>
      <c r="AW7" s="1181">
        <f>AK6</f>
        <v>2028</v>
      </c>
      <c r="AX7" s="1181">
        <f>AM6</f>
        <v>2029</v>
      </c>
      <c r="AY7" s="1181">
        <f>AO6</f>
        <v>2030</v>
      </c>
    </row>
    <row r="8" spans="2:51" ht="11.25" customHeight="1" x14ac:dyDescent="0.2">
      <c r="B8" s="1546">
        <f>'1. T1 INVESTOINTISUUN.'!B9:D9</f>
        <v>0</v>
      </c>
      <c r="C8" s="1544"/>
      <c r="D8" s="1544"/>
      <c r="E8" s="1544"/>
      <c r="F8" s="1544"/>
      <c r="G8" s="1544"/>
      <c r="H8" s="1567"/>
      <c r="I8" s="2286">
        <f>'1. T1 INVESTOINTISUUN.'!E7</f>
        <v>0</v>
      </c>
      <c r="J8" s="2287"/>
      <c r="K8" s="2287"/>
      <c r="L8" s="2287"/>
      <c r="M8" s="2287"/>
      <c r="N8" s="2287"/>
      <c r="O8" s="2287"/>
      <c r="Q8" s="738"/>
      <c r="R8" s="745" t="s">
        <v>458</v>
      </c>
      <c r="S8" s="753"/>
      <c r="T8" s="759">
        <f>'3. T3 TASE '!F12/1000</f>
        <v>0</v>
      </c>
      <c r="U8" s="746">
        <f>'3. T3 TASE '!G12/1000</f>
        <v>0</v>
      </c>
      <c r="V8" s="746">
        <f>'3. T3 TASE '!H12/1000</f>
        <v>0</v>
      </c>
      <c r="W8" s="746">
        <f>'3. T3 TASE '!I12/1000</f>
        <v>0</v>
      </c>
      <c r="X8" s="746">
        <f>'3. T3 TASE '!J12/1000</f>
        <v>0</v>
      </c>
      <c r="Y8" s="746">
        <f>'3. T3 TASE '!K12/1000</f>
        <v>0</v>
      </c>
      <c r="AA8" s="2275" t="s">
        <v>467</v>
      </c>
      <c r="AB8" s="2275"/>
      <c r="AC8" s="2275"/>
      <c r="AD8" s="2276"/>
      <c r="AE8" s="2270">
        <f>'8. T4 RAHOITUSSUUN. '!F50</f>
        <v>0</v>
      </c>
      <c r="AF8" s="2271"/>
      <c r="AG8" s="2271">
        <f>'8. T4 RAHOITUSSUUN. '!G50</f>
        <v>0</v>
      </c>
      <c r="AH8" s="2271"/>
      <c r="AI8" s="2271">
        <f>'8. T4 RAHOITUSSUUN. '!H50</f>
        <v>0</v>
      </c>
      <c r="AJ8" s="2271"/>
      <c r="AK8" s="2271">
        <f>'8. T4 RAHOITUSSUUN. '!I50</f>
        <v>0</v>
      </c>
      <c r="AL8" s="2271"/>
      <c r="AM8" s="2271">
        <f>'8. T4 RAHOITUSSUUN. '!J50</f>
        <v>0</v>
      </c>
      <c r="AN8" s="2271"/>
      <c r="AO8" s="2271">
        <f>'8. T4 RAHOITUSSUUN. '!K50</f>
        <v>0</v>
      </c>
      <c r="AP8" s="2271"/>
      <c r="AR8" s="900" t="str">
        <f>'8. T4 RAHOITUSSUUN. '!M28</f>
        <v xml:space="preserve"> MAKSUVALMIUS</v>
      </c>
      <c r="AS8" s="120"/>
      <c r="AU8" s="126"/>
      <c r="AV8" s="126"/>
      <c r="AW8" s="779"/>
    </row>
    <row r="9" spans="2:51" ht="11.25" customHeight="1" x14ac:dyDescent="0.2">
      <c r="B9" s="2269" t="s">
        <v>539</v>
      </c>
      <c r="C9" s="2269"/>
      <c r="D9" s="2269"/>
      <c r="E9" s="1378"/>
      <c r="F9" s="1378"/>
      <c r="G9" s="1378"/>
      <c r="H9" s="1378"/>
      <c r="I9" s="2266" t="str">
        <f>'1. T1 INVESTOINTISUUN.'!E10</f>
        <v>Aloittamisajankohta</v>
      </c>
      <c r="J9" s="2266"/>
      <c r="K9" s="2266"/>
      <c r="L9" s="2266"/>
      <c r="M9" s="2266"/>
      <c r="N9" s="2266"/>
      <c r="O9" s="2266"/>
      <c r="Q9" s="738"/>
      <c r="R9" s="745" t="s">
        <v>459</v>
      </c>
      <c r="S9" s="753"/>
      <c r="T9" s="759">
        <f>'3. T3 TASE '!F16/1000</f>
        <v>0</v>
      </c>
      <c r="U9" s="746">
        <f>'3. T3 TASE '!G16/1000</f>
        <v>0</v>
      </c>
      <c r="V9" s="746">
        <f>'3. T3 TASE '!H16/1000</f>
        <v>0</v>
      </c>
      <c r="W9" s="746">
        <f>'3. T3 TASE '!I16/1000</f>
        <v>0</v>
      </c>
      <c r="X9" s="746">
        <f>'3. T3 TASE '!J16/1000</f>
        <v>0</v>
      </c>
      <c r="Y9" s="746">
        <f>'3. T3 TASE '!K16/1000</f>
        <v>0</v>
      </c>
      <c r="AA9" s="777" t="s">
        <v>408</v>
      </c>
      <c r="AB9" s="778"/>
      <c r="AC9" s="778"/>
      <c r="AD9" s="1753" t="s">
        <v>47</v>
      </c>
      <c r="AE9" s="2236">
        <f>'8. T4 RAHOITUSSUUN. '!F51/1000</f>
        <v>0</v>
      </c>
      <c r="AF9" s="2214"/>
      <c r="AG9" s="2214">
        <f>'8. T4 RAHOITUSSUUN. '!G51/1000</f>
        <v>0</v>
      </c>
      <c r="AH9" s="2214"/>
      <c r="AI9" s="2214">
        <f>'8. T4 RAHOITUSSUUN. '!H51/1000</f>
        <v>0</v>
      </c>
      <c r="AJ9" s="2214"/>
      <c r="AK9" s="2214">
        <f>'8. T4 RAHOITUSSUUN. '!I51/1000</f>
        <v>0</v>
      </c>
      <c r="AL9" s="2214"/>
      <c r="AM9" s="2214">
        <f>'8. T4 RAHOITUSSUUN. '!J51/1000</f>
        <v>0</v>
      </c>
      <c r="AN9" s="2214"/>
      <c r="AO9" s="2214">
        <f>'8. T4 RAHOITUSSUUN. '!K51/1000</f>
        <v>0</v>
      </c>
      <c r="AP9" s="2214"/>
      <c r="AR9" s="781" t="s">
        <v>222</v>
      </c>
      <c r="AS9" s="782"/>
      <c r="AT9" s="780">
        <f>'8. T4 RAHOITUSSUUN. '!P29</f>
        <v>0</v>
      </c>
      <c r="AU9" s="780">
        <f>'8. T4 RAHOITUSSUUN. '!Q29</f>
        <v>0</v>
      </c>
      <c r="AV9" s="780">
        <f>'8. T4 RAHOITUSSUUN. '!R29</f>
        <v>0</v>
      </c>
      <c r="AW9" s="780">
        <f>'8. T4 RAHOITUSSUUN. '!S29</f>
        <v>0</v>
      </c>
      <c r="AX9" s="780">
        <f>'8. T4 RAHOITUSSUUN. '!T29</f>
        <v>0</v>
      </c>
      <c r="AY9" s="780">
        <f>'8. T4 RAHOITUSSUUN. '!U29</f>
        <v>0</v>
      </c>
    </row>
    <row r="10" spans="2:51" ht="11.25" customHeight="1" x14ac:dyDescent="0.2">
      <c r="B10" s="2184">
        <f>'1. T1 INVESTOINTISUUN.'!B11</f>
        <v>0</v>
      </c>
      <c r="C10" s="2185"/>
      <c r="D10" s="2185"/>
      <c r="E10" s="2185"/>
      <c r="F10" s="2185"/>
      <c r="G10" s="2185"/>
      <c r="H10" s="2185"/>
      <c r="I10" s="2288">
        <f>'1. T1 INVESTOINTISUUN.'!E11</f>
        <v>0</v>
      </c>
      <c r="J10" s="2288"/>
      <c r="K10" s="2288"/>
      <c r="L10" s="2288"/>
      <c r="M10" s="2288"/>
      <c r="N10" s="2288"/>
      <c r="O10" s="2288"/>
      <c r="Q10" s="738"/>
      <c r="R10" s="744" t="s">
        <v>203</v>
      </c>
      <c r="S10" s="761"/>
      <c r="T10" s="759">
        <f>'3. T3 TASE '!F17/1000</f>
        <v>0</v>
      </c>
      <c r="U10" s="746">
        <f>'3. T3 TASE '!G17/1000</f>
        <v>0</v>
      </c>
      <c r="V10" s="746">
        <f>'3. T3 TASE '!H17/1000</f>
        <v>0</v>
      </c>
      <c r="W10" s="746">
        <f>'3. T3 TASE '!I17/1000</f>
        <v>0</v>
      </c>
      <c r="X10" s="746">
        <f>'3. T3 TASE '!J17/1000</f>
        <v>0</v>
      </c>
      <c r="Y10" s="746">
        <f>'3. T3 TASE '!K17/1000</f>
        <v>0</v>
      </c>
      <c r="AA10" s="2275" t="s">
        <v>207</v>
      </c>
      <c r="AB10" s="2275"/>
      <c r="AC10" s="2275"/>
      <c r="AD10" s="2276"/>
      <c r="AE10" s="2242">
        <f>'8. T4 RAHOITUSSUUN. '!F52</f>
        <v>0</v>
      </c>
      <c r="AF10" s="2241"/>
      <c r="AG10" s="2241">
        <f>'8. T4 RAHOITUSSUUN. '!G52</f>
        <v>0</v>
      </c>
      <c r="AH10" s="2241"/>
      <c r="AI10" s="2241">
        <f>'8. T4 RAHOITUSSUUN. '!H52</f>
        <v>0</v>
      </c>
      <c r="AJ10" s="2241"/>
      <c r="AK10" s="2241">
        <f>'8. T4 RAHOITUSSUUN. '!I52</f>
        <v>0</v>
      </c>
      <c r="AL10" s="2241"/>
      <c r="AM10" s="2241">
        <f>'8. T4 RAHOITUSSUUN. '!J52</f>
        <v>0</v>
      </c>
      <c r="AN10" s="2241"/>
      <c r="AO10" s="2241">
        <f>'8. T4 RAHOITUSSUUN. '!K52</f>
        <v>0</v>
      </c>
      <c r="AP10" s="2241"/>
      <c r="AR10" s="358"/>
      <c r="AS10" s="956" t="s">
        <v>244</v>
      </c>
      <c r="AT10" s="957">
        <f>'8. T4 RAHOITUSSUUN. '!P30</f>
        <v>0</v>
      </c>
      <c r="AU10" s="957">
        <f>'8. T4 RAHOITUSSUUN. '!Q30</f>
        <v>0</v>
      </c>
      <c r="AV10" s="957">
        <f>'8. T4 RAHOITUSSUUN. '!R30</f>
        <v>0</v>
      </c>
      <c r="AW10" s="957">
        <f>'8. T4 RAHOITUSSUUN. '!S30</f>
        <v>0</v>
      </c>
      <c r="AX10" s="957">
        <f>'8. T4 RAHOITUSSUUN. '!T30</f>
        <v>0</v>
      </c>
      <c r="AY10" s="957">
        <f>'8. T4 RAHOITUSSUUN. '!U30</f>
        <v>0</v>
      </c>
    </row>
    <row r="11" spans="2:51" ht="11.25" customHeight="1" x14ac:dyDescent="0.2">
      <c r="B11" s="2185"/>
      <c r="C11" s="2185"/>
      <c r="D11" s="2185"/>
      <c r="E11" s="2185"/>
      <c r="F11" s="2185"/>
      <c r="G11" s="2185"/>
      <c r="H11" s="2185"/>
      <c r="I11" s="2266" t="s">
        <v>541</v>
      </c>
      <c r="J11" s="2266"/>
      <c r="K11" s="2266"/>
      <c r="L11" s="2266"/>
      <c r="M11" s="2266"/>
      <c r="N11" s="2266"/>
      <c r="O11" s="2266"/>
      <c r="Q11" s="738"/>
      <c r="R11" s="745" t="s">
        <v>191</v>
      </c>
      <c r="S11" s="753"/>
      <c r="T11" s="759">
        <f>'3. T3 TASE '!F20/1000</f>
        <v>0</v>
      </c>
      <c r="U11" s="746">
        <f>'3. T3 TASE '!G20/1000</f>
        <v>0</v>
      </c>
      <c r="V11" s="746">
        <f>'3. T3 TASE '!H20/1000</f>
        <v>0</v>
      </c>
      <c r="W11" s="746">
        <f>'3. T3 TASE '!I20/1000</f>
        <v>0</v>
      </c>
      <c r="X11" s="746">
        <f>'3. T3 TASE '!J20/1000</f>
        <v>0</v>
      </c>
      <c r="Y11" s="746">
        <f>'3. T3 TASE '!K20/1000</f>
        <v>0</v>
      </c>
      <c r="AA11" s="777" t="s">
        <v>409</v>
      </c>
      <c r="AB11" s="778"/>
      <c r="AC11" s="778"/>
      <c r="AD11" s="1753" t="s">
        <v>47</v>
      </c>
      <c r="AE11" s="2236">
        <f>'8. T4 RAHOITUSSUUN. '!F53/1000</f>
        <v>0</v>
      </c>
      <c r="AF11" s="2214"/>
      <c r="AG11" s="2214">
        <f>'8. T4 RAHOITUSSUUN. '!G53/1000</f>
        <v>0</v>
      </c>
      <c r="AH11" s="2214"/>
      <c r="AI11" s="2214">
        <f>'8. T4 RAHOITUSSUUN. '!H53/1000</f>
        <v>0</v>
      </c>
      <c r="AJ11" s="2214"/>
      <c r="AK11" s="2214">
        <f>'8. T4 RAHOITUSSUUN. '!I53/1000</f>
        <v>0</v>
      </c>
      <c r="AL11" s="2214"/>
      <c r="AM11" s="2214">
        <f>'8. T4 RAHOITUSSUUN. '!J53/1000</f>
        <v>0</v>
      </c>
      <c r="AN11" s="2214"/>
      <c r="AO11" s="2214">
        <f>'8. T4 RAHOITUSSUUN. '!K53/1000</f>
        <v>0</v>
      </c>
      <c r="AP11" s="2214"/>
      <c r="AR11" s="781" t="s">
        <v>223</v>
      </c>
      <c r="AS11" s="782"/>
      <c r="AT11" s="780">
        <f>'8. T4 RAHOITUSSUUN. '!P31</f>
        <v>0</v>
      </c>
      <c r="AU11" s="780">
        <f>'8. T4 RAHOITUSSUUN. '!Q31</f>
        <v>0</v>
      </c>
      <c r="AV11" s="780">
        <f>'8. T4 RAHOITUSSUUN. '!R31</f>
        <v>0</v>
      </c>
      <c r="AW11" s="780">
        <f>'8. T4 RAHOITUSSUUN. '!S31</f>
        <v>0</v>
      </c>
      <c r="AX11" s="780">
        <f>'8. T4 RAHOITUSSUUN. '!T31</f>
        <v>0</v>
      </c>
      <c r="AY11" s="780">
        <f>'8. T4 RAHOITUSSUUN. '!U31</f>
        <v>0</v>
      </c>
    </row>
    <row r="12" spans="2:51" ht="11.25" customHeight="1" x14ac:dyDescent="0.2">
      <c r="B12" s="2186"/>
      <c r="C12" s="2186"/>
      <c r="D12" s="2186"/>
      <c r="E12" s="2186"/>
      <c r="F12" s="2186"/>
      <c r="G12" s="2186"/>
      <c r="H12" s="2186"/>
      <c r="I12" s="2289">
        <f>'1. T1 INVESTOINTISUUN.'!E13</f>
        <v>0</v>
      </c>
      <c r="J12" s="2289"/>
      <c r="K12" s="2289"/>
      <c r="L12" s="2289"/>
      <c r="M12" s="2289"/>
      <c r="N12" s="2289"/>
      <c r="O12" s="2289"/>
      <c r="Q12" s="738"/>
      <c r="R12" s="745" t="s">
        <v>192</v>
      </c>
      <c r="S12" s="753"/>
      <c r="T12" s="759">
        <f>'3. T3 TASE '!F24/1000</f>
        <v>0</v>
      </c>
      <c r="U12" s="746">
        <f>'3. T3 TASE '!G24/1000</f>
        <v>0</v>
      </c>
      <c r="V12" s="746">
        <f>'3. T3 TASE '!H24/1000</f>
        <v>0</v>
      </c>
      <c r="W12" s="746">
        <f>'3. T3 TASE '!I24/1000</f>
        <v>0</v>
      </c>
      <c r="X12" s="746">
        <f>'3. T3 TASE '!J24/1000</f>
        <v>0</v>
      </c>
      <c r="Y12" s="746">
        <f>'3. T3 TASE '!K24/1000</f>
        <v>0</v>
      </c>
      <c r="AA12" s="777" t="s">
        <v>410</v>
      </c>
      <c r="AB12" s="778"/>
      <c r="AC12" s="778"/>
      <c r="AD12" s="1753" t="s">
        <v>47</v>
      </c>
      <c r="AE12" s="2236"/>
      <c r="AF12" s="2214"/>
      <c r="AG12" s="2214"/>
      <c r="AH12" s="2214"/>
      <c r="AI12" s="2214">
        <f>'8. T4 RAHOITUSSUUN. '!H54/1000</f>
        <v>0</v>
      </c>
      <c r="AJ12" s="2214"/>
      <c r="AK12" s="2214">
        <f>'8. T4 RAHOITUSSUUN. '!I54/1000</f>
        <v>0</v>
      </c>
      <c r="AL12" s="2214"/>
      <c r="AM12" s="2214">
        <f>'8. T4 RAHOITUSSUUN. '!J54/1000</f>
        <v>0</v>
      </c>
      <c r="AN12" s="2214"/>
      <c r="AO12" s="2214">
        <f>'8. T4 RAHOITUSSUUN. '!K54/1000</f>
        <v>0</v>
      </c>
      <c r="AP12" s="2214"/>
      <c r="AR12" s="358"/>
      <c r="AS12" s="956" t="s">
        <v>244</v>
      </c>
      <c r="AT12" s="957">
        <f>'8. T4 RAHOITUSSUUN. '!P32</f>
        <v>0</v>
      </c>
      <c r="AU12" s="957">
        <f>'8. T4 RAHOITUSSUUN. '!Q32</f>
        <v>0</v>
      </c>
      <c r="AV12" s="957">
        <f>'8. T4 RAHOITUSSUUN. '!R32</f>
        <v>0</v>
      </c>
      <c r="AW12" s="957">
        <f>'8. T4 RAHOITUSSUUN. '!S32</f>
        <v>0</v>
      </c>
      <c r="AX12" s="957">
        <f>'8. T4 RAHOITUSSUUN. '!T32</f>
        <v>0</v>
      </c>
      <c r="AY12" s="957">
        <f>'8. T4 RAHOITUSSUUN. '!U32</f>
        <v>0</v>
      </c>
    </row>
    <row r="13" spans="2:51" ht="10.9" customHeight="1" x14ac:dyDescent="0.2">
      <c r="B13" s="470"/>
      <c r="C13" s="358"/>
      <c r="D13" s="358"/>
      <c r="E13" s="358"/>
      <c r="F13" s="358"/>
      <c r="G13" s="358"/>
      <c r="H13" s="358"/>
      <c r="I13" s="120"/>
      <c r="J13" s="120"/>
      <c r="K13" s="120"/>
      <c r="L13" s="120"/>
      <c r="M13" s="120"/>
      <c r="N13" s="120"/>
      <c r="O13" s="120"/>
      <c r="Q13" s="738"/>
      <c r="R13" s="744" t="s">
        <v>193</v>
      </c>
      <c r="S13" s="761"/>
      <c r="T13" s="759">
        <f>'3. T3 TASE '!F28/1000</f>
        <v>0</v>
      </c>
      <c r="U13" s="746">
        <f>'3. T3 TASE '!G28/1000</f>
        <v>0</v>
      </c>
      <c r="V13" s="746">
        <f>'3. T3 TASE '!H28/1000</f>
        <v>0</v>
      </c>
      <c r="W13" s="746">
        <f>'3. T3 TASE '!I28/1000</f>
        <v>0</v>
      </c>
      <c r="X13" s="746">
        <f>'3. T3 TASE '!J28/1000</f>
        <v>0</v>
      </c>
      <c r="Y13" s="746">
        <f>'3. T3 TASE '!K28/1000</f>
        <v>0</v>
      </c>
      <c r="AA13" s="2273" t="s">
        <v>470</v>
      </c>
      <c r="AB13" s="2273"/>
      <c r="AC13" s="2273"/>
      <c r="AD13" s="2274"/>
      <c r="AE13" s="2237">
        <f>'8. T4 RAHOITUSSUUN. '!F55</f>
        <v>0</v>
      </c>
      <c r="AF13" s="2238"/>
      <c r="AG13" s="2238">
        <f>'8. T4 RAHOITUSSUUN. '!G55</f>
        <v>0</v>
      </c>
      <c r="AH13" s="2238"/>
      <c r="AI13" s="2238">
        <f>'8. T4 RAHOITUSSUUN. '!H55</f>
        <v>0</v>
      </c>
      <c r="AJ13" s="2238"/>
      <c r="AK13" s="2238">
        <f>'8. T4 RAHOITUSSUUN. '!I55</f>
        <v>0</v>
      </c>
      <c r="AL13" s="2238"/>
      <c r="AM13" s="2238">
        <f>'8. T4 RAHOITUSSUUN. '!J55</f>
        <v>0</v>
      </c>
      <c r="AN13" s="2238"/>
      <c r="AO13" s="2238">
        <f>'8. T4 RAHOITUSSUUN. '!K55</f>
        <v>0</v>
      </c>
      <c r="AP13" s="2238"/>
      <c r="AR13" s="781" t="s">
        <v>334</v>
      </c>
      <c r="AS13" s="782"/>
      <c r="AT13" s="985"/>
      <c r="AU13" s="780">
        <f>'8. T4 RAHOITUSSUUN. '!Q33</f>
        <v>0</v>
      </c>
      <c r="AV13" s="780">
        <f>'8. T4 RAHOITUSSUUN. '!R33</f>
        <v>0</v>
      </c>
      <c r="AW13" s="780">
        <f>'8. T4 RAHOITUSSUUN. '!S33</f>
        <v>0</v>
      </c>
      <c r="AX13" s="780">
        <f>'8. T4 RAHOITUSSUUN. '!T33</f>
        <v>0</v>
      </c>
      <c r="AY13" s="780">
        <f>'8. T4 RAHOITUSSUUN. '!U33</f>
        <v>0</v>
      </c>
    </row>
    <row r="14" spans="2:51" ht="11.25" customHeight="1" x14ac:dyDescent="0.2">
      <c r="B14" s="2253" t="s">
        <v>609</v>
      </c>
      <c r="C14" s="2253"/>
      <c r="D14" s="1172" t="s">
        <v>323</v>
      </c>
      <c r="E14" s="1172" t="s">
        <v>324</v>
      </c>
      <c r="F14" s="1172" t="s">
        <v>325</v>
      </c>
      <c r="G14" s="1172" t="s">
        <v>326</v>
      </c>
      <c r="H14" s="2264" t="s">
        <v>327</v>
      </c>
      <c r="I14" s="2265" t="s">
        <v>383</v>
      </c>
      <c r="J14" s="2265"/>
      <c r="K14" s="2265"/>
      <c r="L14" s="2265"/>
      <c r="M14" s="2265"/>
      <c r="N14" s="2265"/>
      <c r="O14" s="2265"/>
      <c r="Q14" s="738"/>
      <c r="R14" s="745" t="s">
        <v>460</v>
      </c>
      <c r="S14" s="753"/>
      <c r="T14" s="759">
        <f>'3. T3 TASE '!F32/1000</f>
        <v>0</v>
      </c>
      <c r="U14" s="746">
        <f>'3. T3 TASE '!G32/1000</f>
        <v>0</v>
      </c>
      <c r="V14" s="746">
        <f>'3. T3 TASE '!H32/1000</f>
        <v>0</v>
      </c>
      <c r="W14" s="746">
        <f>'3. T3 TASE '!I32/1000</f>
        <v>0</v>
      </c>
      <c r="X14" s="746">
        <f>'3. T3 TASE '!J32/1000</f>
        <v>0</v>
      </c>
      <c r="Y14" s="746">
        <f>'3. T3 TASE '!K32/1000</f>
        <v>0</v>
      </c>
      <c r="AA14" s="777" t="s">
        <v>411</v>
      </c>
      <c r="AB14" s="778"/>
      <c r="AC14" s="778"/>
      <c r="AD14" s="1754" t="s">
        <v>48</v>
      </c>
      <c r="AE14" s="2236">
        <f>'8. T4 RAHOITUSSUUN. '!F56/1000</f>
        <v>0</v>
      </c>
      <c r="AF14" s="2214"/>
      <c r="AG14" s="2214">
        <f>'8. T4 RAHOITUSSUUN. '!G56/1000</f>
        <v>0</v>
      </c>
      <c r="AH14" s="2214"/>
      <c r="AI14" s="2214">
        <f>'8. T4 RAHOITUSSUUN. '!H56/1000</f>
        <v>0</v>
      </c>
      <c r="AJ14" s="2214"/>
      <c r="AK14" s="2214">
        <f>'8. T4 RAHOITUSSUUN. '!I56/1000</f>
        <v>0</v>
      </c>
      <c r="AL14" s="2214"/>
      <c r="AM14" s="2214">
        <f>'8. T4 RAHOITUSSUUN. '!J56/1000</f>
        <v>0</v>
      </c>
      <c r="AN14" s="2214"/>
      <c r="AO14" s="2214">
        <f>'8. T4 RAHOITUSSUUN. '!K56/1000</f>
        <v>0</v>
      </c>
      <c r="AP14" s="2214"/>
      <c r="AR14" s="783" t="s">
        <v>237</v>
      </c>
      <c r="AS14" s="784"/>
      <c r="AT14" s="985"/>
      <c r="AU14" s="780">
        <f>'8. T4 RAHOITUSSUUN. '!Q34</f>
        <v>0</v>
      </c>
      <c r="AV14" s="780">
        <f>'8. T4 RAHOITUSSUUN. '!R34</f>
        <v>0</v>
      </c>
      <c r="AW14" s="780">
        <f>'8. T4 RAHOITUSSUUN. '!S34</f>
        <v>0</v>
      </c>
      <c r="AX14" s="780">
        <f>'8. T4 RAHOITUSSUUN. '!T34</f>
        <v>0</v>
      </c>
      <c r="AY14" s="780">
        <f>'8. T4 RAHOITUSSUUN. '!U34</f>
        <v>0</v>
      </c>
    </row>
    <row r="15" spans="2:51" ht="11.25" customHeight="1" x14ac:dyDescent="0.2">
      <c r="B15" s="2253"/>
      <c r="C15" s="2253"/>
      <c r="D15" s="1633">
        <f>'2. &amp; 7. T2 TULOSSUUN. '!I8</f>
        <v>2027</v>
      </c>
      <c r="E15" s="1633">
        <f>'2. &amp; 7. T2 TULOSSUUN. '!K8</f>
        <v>2028</v>
      </c>
      <c r="F15" s="1633">
        <f>'2. &amp; 7. T2 TULOSSUUN. '!M8</f>
        <v>2029</v>
      </c>
      <c r="G15" s="1633">
        <f>'2. &amp; 7. T2 TULOSSUUN. '!O8</f>
        <v>2030</v>
      </c>
      <c r="H15" s="2264"/>
      <c r="I15" s="2265"/>
      <c r="J15" s="2265"/>
      <c r="K15" s="2265"/>
      <c r="L15" s="2265"/>
      <c r="M15" s="2265"/>
      <c r="N15" s="2265"/>
      <c r="O15" s="2265"/>
      <c r="Q15" s="757" t="s">
        <v>156</v>
      </c>
      <c r="R15" s="762" t="s">
        <v>157</v>
      </c>
      <c r="S15" s="754"/>
      <c r="T15" s="758">
        <f>'3. T3 TASE '!F36/1000</f>
        <v>0</v>
      </c>
      <c r="U15" s="756">
        <f>'3. T3 TASE '!G36/1000</f>
        <v>0</v>
      </c>
      <c r="V15" s="756">
        <f>'3. T3 TASE '!H36/1000</f>
        <v>0</v>
      </c>
      <c r="W15" s="756">
        <f>'3. T3 TASE '!I36/1000</f>
        <v>0</v>
      </c>
      <c r="X15" s="756">
        <f>'3. T3 TASE '!J36/1000</f>
        <v>0</v>
      </c>
      <c r="Y15" s="756">
        <f>'3. T3 TASE '!K36/1000</f>
        <v>0</v>
      </c>
      <c r="AA15" s="2273" t="s">
        <v>332</v>
      </c>
      <c r="AB15" s="2273"/>
      <c r="AC15" s="2273"/>
      <c r="AD15" s="2274"/>
      <c r="AE15" s="2243">
        <f>'8. T4 RAHOITUSSUUN. '!F57</f>
        <v>0</v>
      </c>
      <c r="AF15" s="2200"/>
      <c r="AG15" s="2200">
        <f>'8. T4 RAHOITUSSUUN. '!G57</f>
        <v>0</v>
      </c>
      <c r="AH15" s="2200"/>
      <c r="AI15" s="2200">
        <f>'8. T4 RAHOITUSSUUN. '!H57</f>
        <v>0</v>
      </c>
      <c r="AJ15" s="2200"/>
      <c r="AK15" s="2200">
        <f>'8. T4 RAHOITUSSUUN. '!I57</f>
        <v>0</v>
      </c>
      <c r="AL15" s="2200"/>
      <c r="AM15" s="2200">
        <f>'8. T4 RAHOITUSSUUN. '!J57</f>
        <v>0</v>
      </c>
      <c r="AN15" s="2200"/>
      <c r="AO15" s="2200">
        <f>'8. T4 RAHOITUSSUUN. '!K57</f>
        <v>0</v>
      </c>
      <c r="AP15" s="2200"/>
      <c r="AR15" s="358"/>
      <c r="AS15" s="956" t="s">
        <v>244</v>
      </c>
      <c r="AT15" s="958"/>
      <c r="AU15" s="957">
        <f>'8. T4 RAHOITUSSUUN. '!Q35</f>
        <v>0</v>
      </c>
      <c r="AV15" s="957">
        <f>'8. T4 RAHOITUSSUUN. '!R35</f>
        <v>0</v>
      </c>
      <c r="AW15" s="957">
        <f>'8. T4 RAHOITUSSUUN. '!S35</f>
        <v>0</v>
      </c>
      <c r="AX15" s="957">
        <f>'8. T4 RAHOITUSSUUN. '!T35</f>
        <v>0</v>
      </c>
      <c r="AY15" s="957">
        <f>'8. T4 RAHOITUSSUUN. '!U35</f>
        <v>0</v>
      </c>
    </row>
    <row r="16" spans="2:51" ht="11.25" customHeight="1" x14ac:dyDescent="0.2">
      <c r="B16" s="1639" t="s">
        <v>2</v>
      </c>
      <c r="C16" s="761" t="s">
        <v>95</v>
      </c>
      <c r="D16" s="1371">
        <f>'1. T1 INVESTOINTISUUN.'!D17/1000</f>
        <v>0</v>
      </c>
      <c r="E16" s="1371">
        <f>'1. T1 INVESTOINTISUUN.'!E17/1000</f>
        <v>0</v>
      </c>
      <c r="F16" s="1371">
        <f>'1. T1 INVESTOINTISUUN.'!F17/1000</f>
        <v>0</v>
      </c>
      <c r="G16" s="1371">
        <f>'1. T1 INVESTOINTISUUN.'!G17/1000</f>
        <v>0</v>
      </c>
      <c r="H16" s="1371">
        <f>SUM(D16:G16)</f>
        <v>0</v>
      </c>
      <c r="I16" s="1636">
        <f>'1. T1 INVESTOINTISUUN.'!J17</f>
        <v>0</v>
      </c>
      <c r="J16" s="1636"/>
      <c r="K16" s="1636"/>
      <c r="L16" s="1636"/>
      <c r="M16" s="1636"/>
      <c r="N16" s="1636"/>
      <c r="O16" s="1660"/>
      <c r="Q16" s="738"/>
      <c r="R16" s="745" t="s">
        <v>461</v>
      </c>
      <c r="S16" s="753"/>
      <c r="T16" s="759">
        <f>'3. T3 TASE '!F37/1000</f>
        <v>0</v>
      </c>
      <c r="U16" s="746">
        <f>'3. T3 TASE '!G37/1000</f>
        <v>0</v>
      </c>
      <c r="V16" s="746">
        <f>'3. T3 TASE '!H37/1000</f>
        <v>0</v>
      </c>
      <c r="W16" s="746">
        <f>'3. T3 TASE '!I37/1000</f>
        <v>0</v>
      </c>
      <c r="X16" s="746">
        <f>'3. T3 TASE '!J37/1000</f>
        <v>0</v>
      </c>
      <c r="Y16" s="746">
        <f>'3. T3 TASE '!K37/1000</f>
        <v>0</v>
      </c>
      <c r="AA16" s="777" t="s">
        <v>412</v>
      </c>
      <c r="AB16" s="778"/>
      <c r="AC16" s="778"/>
      <c r="AD16" s="1754" t="s">
        <v>48</v>
      </c>
      <c r="AE16" s="2236">
        <f>'8. T4 RAHOITUSSUUN. '!F58/1000</f>
        <v>0</v>
      </c>
      <c r="AF16" s="2214"/>
      <c r="AG16" s="2214">
        <f>'8. T4 RAHOITUSSUUN. '!G58/1000</f>
        <v>0</v>
      </c>
      <c r="AH16" s="2214"/>
      <c r="AI16" s="2214">
        <f>'8. T4 RAHOITUSSUUN. '!H58/1000</f>
        <v>0</v>
      </c>
      <c r="AJ16" s="2214"/>
      <c r="AK16" s="2214">
        <f>'8. T4 RAHOITUSSUUN. '!I58/1000</f>
        <v>0</v>
      </c>
      <c r="AL16" s="2214"/>
      <c r="AM16" s="2214">
        <f>'8. T4 RAHOITUSSUUN. '!J58/1000</f>
        <v>0</v>
      </c>
      <c r="AN16" s="2214"/>
      <c r="AO16" s="2214">
        <f>'8. T4 RAHOITUSSUUN. '!K58/1000</f>
        <v>0</v>
      </c>
      <c r="AP16" s="2214"/>
      <c r="AR16" s="901" t="s">
        <v>224</v>
      </c>
      <c r="AS16" s="122"/>
      <c r="AT16" s="966"/>
      <c r="AU16" s="966"/>
      <c r="AV16" s="966"/>
      <c r="AW16" s="966"/>
      <c r="AX16" s="966"/>
      <c r="AY16" s="967"/>
    </row>
    <row r="17" spans="1:51" ht="11.25" customHeight="1" x14ac:dyDescent="0.2">
      <c r="A17" s="45"/>
      <c r="B17" s="1640"/>
      <c r="C17" s="753" t="s">
        <v>139</v>
      </c>
      <c r="D17" s="747">
        <f>'1. T1 INVESTOINTISUUN.'!D19</f>
        <v>0</v>
      </c>
      <c r="E17" s="747">
        <f>'1. T1 INVESTOINTISUUN.'!E19</f>
        <v>0</v>
      </c>
      <c r="F17" s="747">
        <f>'1. T1 INVESTOINTISUUN.'!F19</f>
        <v>0</v>
      </c>
      <c r="G17" s="747">
        <f>'1. T1 INVESTOINTISUUN.'!G19</f>
        <v>0</v>
      </c>
      <c r="H17" s="748"/>
      <c r="I17" s="1636" t="s">
        <v>0</v>
      </c>
      <c r="J17" s="1636"/>
      <c r="K17" s="1636"/>
      <c r="L17" s="1636"/>
      <c r="M17" s="1636"/>
      <c r="N17" s="1636"/>
      <c r="O17" s="1660"/>
      <c r="Q17" s="738"/>
      <c r="R17" s="745" t="s">
        <v>462</v>
      </c>
      <c r="S17" s="753"/>
      <c r="T17" s="759">
        <f>'3. T3 TASE '!F39/1000</f>
        <v>0</v>
      </c>
      <c r="U17" s="746">
        <f>'3. T3 TASE '!G39/1000</f>
        <v>0</v>
      </c>
      <c r="V17" s="746">
        <f>'3. T3 TASE '!H39/1000</f>
        <v>0</v>
      </c>
      <c r="W17" s="746">
        <f>'3. T3 TASE '!I39/1000</f>
        <v>0</v>
      </c>
      <c r="X17" s="746">
        <f>'3. T3 TASE '!J39/1000</f>
        <v>0</v>
      </c>
      <c r="Y17" s="746">
        <f>'3. T3 TASE '!K39/1000</f>
        <v>0</v>
      </c>
      <c r="AA17" s="2290" t="s">
        <v>469</v>
      </c>
      <c r="AB17" s="2290"/>
      <c r="AC17" s="2290"/>
      <c r="AD17" s="2291"/>
      <c r="AE17" s="2244">
        <f>'8. T4 RAHOITUSSUUN. '!F59</f>
        <v>0</v>
      </c>
      <c r="AF17" s="2213"/>
      <c r="AG17" s="2213">
        <f>'8. T4 RAHOITUSSUUN. '!G59</f>
        <v>0</v>
      </c>
      <c r="AH17" s="2213"/>
      <c r="AI17" s="2213">
        <f>'8. T4 RAHOITUSSUUN. '!H59</f>
        <v>0</v>
      </c>
      <c r="AJ17" s="2213"/>
      <c r="AK17" s="2213">
        <f>'8. T4 RAHOITUSSUUN. '!I59</f>
        <v>0</v>
      </c>
      <c r="AL17" s="2213"/>
      <c r="AM17" s="2213">
        <f>'8. T4 RAHOITUSSUUN. '!J59</f>
        <v>0</v>
      </c>
      <c r="AN17" s="2213"/>
      <c r="AO17" s="2213">
        <f>'8. T4 RAHOITUSSUUN. '!K59</f>
        <v>0</v>
      </c>
      <c r="AP17" s="2213"/>
      <c r="AR17" s="781" t="s">
        <v>225</v>
      </c>
      <c r="AS17" s="785"/>
      <c r="AT17" s="960">
        <f>'8. T4 RAHOITUSSUUN. '!P37</f>
        <v>0</v>
      </c>
      <c r="AU17" s="960">
        <f>'8. T4 RAHOITUSSUUN. '!Q37</f>
        <v>0</v>
      </c>
      <c r="AV17" s="960">
        <f>'8. T4 RAHOITUSSUUN. '!R37</f>
        <v>0</v>
      </c>
      <c r="AW17" s="960">
        <f>'8. T4 RAHOITUSSUUN. '!S37</f>
        <v>0</v>
      </c>
      <c r="AX17" s="960">
        <f>'8. T4 RAHOITUSSUUN. '!T37</f>
        <v>0</v>
      </c>
      <c r="AY17" s="960">
        <f>'8. T4 RAHOITUSSUUN. '!U37</f>
        <v>0</v>
      </c>
    </row>
    <row r="18" spans="1:51" ht="11.25" customHeight="1" x14ac:dyDescent="0.2">
      <c r="B18" s="1640" t="s">
        <v>3</v>
      </c>
      <c r="C18" s="753" t="s">
        <v>397</v>
      </c>
      <c r="D18" s="746">
        <f>'1. T1 INVESTOINTISUUN.'!D20/1000</f>
        <v>0</v>
      </c>
      <c r="E18" s="746">
        <f>'1. T1 INVESTOINTISUUN.'!E20/1000</f>
        <v>0</v>
      </c>
      <c r="F18" s="746">
        <f>'1. T1 INVESTOINTISUUN.'!F20/1000</f>
        <v>0</v>
      </c>
      <c r="G18" s="746">
        <f>'1. T1 INVESTOINTISUUN.'!G20/1000</f>
        <v>0</v>
      </c>
      <c r="H18" s="746">
        <f>SUM(D18:G18)</f>
        <v>0</v>
      </c>
      <c r="I18" s="1636">
        <f>'1. T1 INVESTOINTISUUN.'!J20</f>
        <v>0</v>
      </c>
      <c r="J18" s="1636"/>
      <c r="K18" s="1636"/>
      <c r="L18" s="1636"/>
      <c r="M18" s="1636"/>
      <c r="N18" s="1636"/>
      <c r="O18" s="1660"/>
      <c r="Q18" s="738" t="s">
        <v>0</v>
      </c>
      <c r="R18" s="744" t="s">
        <v>150</v>
      </c>
      <c r="S18" s="761"/>
      <c r="T18" s="759">
        <f>'3. T3 TASE '!F40/1000</f>
        <v>0</v>
      </c>
      <c r="U18" s="746">
        <f>'3. T3 TASE '!G40/1000</f>
        <v>0</v>
      </c>
      <c r="V18" s="746">
        <f>'3. T3 TASE '!H40/1000</f>
        <v>0</v>
      </c>
      <c r="W18" s="746">
        <f>'3. T3 TASE '!I40/1000</f>
        <v>0</v>
      </c>
      <c r="X18" s="746">
        <f>'3. T3 TASE '!J40/1000</f>
        <v>0</v>
      </c>
      <c r="Y18" s="746">
        <f>'3. T3 TASE '!K40/1000</f>
        <v>0</v>
      </c>
      <c r="AA18" s="1183" t="s">
        <v>413</v>
      </c>
      <c r="AB18" s="1184"/>
      <c r="AC18" s="1184"/>
      <c r="AD18" s="1755" t="s">
        <v>102</v>
      </c>
      <c r="AE18" s="2236">
        <f>'8. T4 RAHOITUSSUUN. '!F60/1000</f>
        <v>0</v>
      </c>
      <c r="AF18" s="2214"/>
      <c r="AG18" s="2214">
        <f>'8. T4 RAHOITUSSUUN. '!G60/1000</f>
        <v>0</v>
      </c>
      <c r="AH18" s="2214"/>
      <c r="AI18" s="2214">
        <f>'8. T4 RAHOITUSSUUN. '!H60/1000</f>
        <v>0</v>
      </c>
      <c r="AJ18" s="2214"/>
      <c r="AK18" s="2214">
        <f>'8. T4 RAHOITUSSUUN. '!I60/1000</f>
        <v>0</v>
      </c>
      <c r="AL18" s="2214"/>
      <c r="AM18" s="2214">
        <f>'8. T4 RAHOITUSSUUN. '!J60/1000</f>
        <v>0</v>
      </c>
      <c r="AN18" s="2214"/>
      <c r="AO18" s="2214">
        <f>'8. T4 RAHOITUSSUUN. '!K60/1000</f>
        <v>0</v>
      </c>
      <c r="AP18" s="2214"/>
      <c r="AR18" s="358"/>
      <c r="AS18" s="959" t="s">
        <v>244</v>
      </c>
      <c r="AT18" s="957">
        <f>'8. T4 RAHOITUSSUUN. '!P38</f>
        <v>0</v>
      </c>
      <c r="AU18" s="957">
        <f>'8. T4 RAHOITUSSUUN. '!Q38</f>
        <v>0</v>
      </c>
      <c r="AV18" s="957">
        <f>'8. T4 RAHOITUSSUUN. '!R38</f>
        <v>0</v>
      </c>
      <c r="AW18" s="957">
        <f>'8. T4 RAHOITUSSUUN. '!S38</f>
        <v>0</v>
      </c>
      <c r="AX18" s="957">
        <f>'8. T4 RAHOITUSSUUN. '!T38</f>
        <v>0</v>
      </c>
      <c r="AY18" s="957">
        <f>'8. T4 RAHOITUSSUUN. '!U38</f>
        <v>0</v>
      </c>
    </row>
    <row r="19" spans="1:51" ht="11.25" customHeight="1" x14ac:dyDescent="0.2">
      <c r="B19" s="1640"/>
      <c r="C19" s="753" t="s">
        <v>139</v>
      </c>
      <c r="D19" s="747">
        <f>'1. T1 INVESTOINTISUUN.'!D23</f>
        <v>0</v>
      </c>
      <c r="E19" s="747">
        <f>'1. T1 INVESTOINTISUUN.'!E23</f>
        <v>0</v>
      </c>
      <c r="F19" s="747">
        <f>'1. T1 INVESTOINTISUUN.'!F23</f>
        <v>0</v>
      </c>
      <c r="G19" s="747">
        <f>'1. T1 INVESTOINTISUUN.'!G23</f>
        <v>0</v>
      </c>
      <c r="H19" s="748"/>
      <c r="I19" s="1636"/>
      <c r="J19" s="1636"/>
      <c r="K19" s="1636"/>
      <c r="L19" s="1636"/>
      <c r="M19" s="1636"/>
      <c r="N19" s="1636"/>
      <c r="O19" s="1660"/>
      <c r="R19" s="745" t="s">
        <v>187</v>
      </c>
      <c r="S19" s="753"/>
      <c r="T19" s="746">
        <f>'3. T3 TASE '!F42/1000</f>
        <v>0</v>
      </c>
      <c r="U19" s="746">
        <f>'3. T3 TASE '!G42/1000</f>
        <v>0</v>
      </c>
      <c r="V19" s="746">
        <f>'3. T3 TASE '!H42/1000</f>
        <v>0</v>
      </c>
      <c r="W19" s="746">
        <f>'3. T3 TASE '!I42/1000</f>
        <v>0</v>
      </c>
      <c r="X19" s="746">
        <f>'3. T3 TASE '!J42/1000</f>
        <v>0</v>
      </c>
      <c r="Y19" s="746">
        <f>'3. T3 TASE '!K42/1000</f>
        <v>0</v>
      </c>
      <c r="AA19" s="1183" t="s">
        <v>414</v>
      </c>
      <c r="AB19" s="1184"/>
      <c r="AC19" s="1184"/>
      <c r="AD19" s="1756" t="s">
        <v>53</v>
      </c>
      <c r="AE19" s="2239">
        <v>0</v>
      </c>
      <c r="AF19" s="2240"/>
      <c r="AG19" s="2214">
        <f>'8. T4 RAHOITUSSUUN. '!G61/1000</f>
        <v>0</v>
      </c>
      <c r="AH19" s="2214"/>
      <c r="AI19" s="2214">
        <f>'8. T4 RAHOITUSSUUN. '!H61/1000</f>
        <v>0</v>
      </c>
      <c r="AJ19" s="2214"/>
      <c r="AK19" s="2214">
        <f>'8. T4 RAHOITUSSUUN. '!I61/1000</f>
        <v>0</v>
      </c>
      <c r="AL19" s="2214"/>
      <c r="AM19" s="2214">
        <f>'8. T4 RAHOITUSSUUN. '!J61/1000</f>
        <v>0</v>
      </c>
      <c r="AN19" s="2214"/>
      <c r="AO19" s="2214">
        <f>'8. T4 RAHOITUSSUUN. '!K61/1000</f>
        <v>0</v>
      </c>
      <c r="AP19" s="2214"/>
      <c r="AR19" s="781" t="str">
        <f>'8. T4 RAHOITUSSUUN. '!M39</f>
        <v xml:space="preserve"> Net Gearing (nettovelkaantumisaste)</v>
      </c>
      <c r="AS19" s="785"/>
      <c r="AT19" s="961">
        <f>'8. T4 RAHOITUSSUUN. '!P39</f>
        <v>0</v>
      </c>
      <c r="AU19" s="961">
        <f>'8. T4 RAHOITUSSUUN. '!Q39</f>
        <v>0</v>
      </c>
      <c r="AV19" s="961">
        <f>'8. T4 RAHOITUSSUUN. '!R39</f>
        <v>0</v>
      </c>
      <c r="AW19" s="961">
        <f>'8. T4 RAHOITUSSUUN. '!S39</f>
        <v>0</v>
      </c>
      <c r="AX19" s="961">
        <f>'8. T4 RAHOITUSSUUN. '!T39</f>
        <v>0</v>
      </c>
      <c r="AY19" s="961">
        <f>'8. T4 RAHOITUSSUUN. '!U39</f>
        <v>0</v>
      </c>
    </row>
    <row r="20" spans="1:51" ht="11.25" customHeight="1" x14ac:dyDescent="0.2">
      <c r="B20" s="1640" t="s">
        <v>4</v>
      </c>
      <c r="C20" s="753" t="s">
        <v>396</v>
      </c>
      <c r="D20" s="746">
        <f>'1. T1 INVESTOINTISUUN.'!D24/1000</f>
        <v>0</v>
      </c>
      <c r="E20" s="746">
        <f>'1. T1 INVESTOINTISUUN.'!E24/1000</f>
        <v>0</v>
      </c>
      <c r="F20" s="746">
        <f>'1. T1 INVESTOINTISUUN.'!F24/1000</f>
        <v>0</v>
      </c>
      <c r="G20" s="746">
        <f>'1. T1 INVESTOINTISUUN.'!G24/1000</f>
        <v>0</v>
      </c>
      <c r="H20" s="746">
        <f>SUM(D20:G20)</f>
        <v>0</v>
      </c>
      <c r="I20" s="1636">
        <f>'1. T1 INVESTOINTISUUN.'!J24</f>
        <v>0</v>
      </c>
      <c r="J20" s="1636"/>
      <c r="K20" s="1636"/>
      <c r="L20" s="1636"/>
      <c r="M20" s="1636"/>
      <c r="N20" s="1636"/>
      <c r="O20" s="1660"/>
      <c r="Q20" s="738"/>
      <c r="R20" s="745" t="s">
        <v>231</v>
      </c>
      <c r="S20" s="753"/>
      <c r="T20" s="746">
        <f>'3. T3 TASE '!F44/1000</f>
        <v>0</v>
      </c>
      <c r="U20" s="746">
        <f>'3. T3 TASE '!G44/1000</f>
        <v>0</v>
      </c>
      <c r="V20" s="746">
        <f>'3. T3 TASE '!H44/1000</f>
        <v>0</v>
      </c>
      <c r="W20" s="746">
        <f>'3. T3 TASE '!I44/1000</f>
        <v>0</v>
      </c>
      <c r="X20" s="746">
        <f>'3. T3 TASE '!J44/1000</f>
        <v>0</v>
      </c>
      <c r="Y20" s="746">
        <f>'3. T3 TASE '!K44/1000</f>
        <v>0</v>
      </c>
      <c r="AR20" s="358"/>
      <c r="AS20" s="986" t="s">
        <v>244</v>
      </c>
      <c r="AT20" s="987" t="str">
        <f>'8. T4 RAHOITUSSUUN. '!P40</f>
        <v/>
      </c>
      <c r="AU20" s="987" t="str">
        <f>'8. T4 RAHOITUSSUUN. '!Q40</f>
        <v/>
      </c>
      <c r="AV20" s="987" t="str">
        <f>'8. T4 RAHOITUSSUUN. '!R40</f>
        <v/>
      </c>
      <c r="AW20" s="987" t="str">
        <f>'8. T4 RAHOITUSSUUN. '!S40</f>
        <v/>
      </c>
      <c r="AX20" s="987" t="str">
        <f>'8. T4 RAHOITUSSUUN. '!T40</f>
        <v/>
      </c>
      <c r="AY20" s="987" t="str">
        <f>'8. T4 RAHOITUSSUUN. '!U40</f>
        <v/>
      </c>
    </row>
    <row r="21" spans="1:51" ht="11.25" customHeight="1" x14ac:dyDescent="0.2">
      <c r="B21" s="1640" t="s">
        <v>5</v>
      </c>
      <c r="C21" s="753" t="s">
        <v>521</v>
      </c>
      <c r="D21" s="746">
        <f>'1. T1 INVESTOINTISUUN.'!D27/1000</f>
        <v>0</v>
      </c>
      <c r="E21" s="746">
        <f>'1. T1 INVESTOINTISUUN.'!E27/1000</f>
        <v>0</v>
      </c>
      <c r="F21" s="746">
        <f>'1. T1 INVESTOINTISUUN.'!F27/1000</f>
        <v>0</v>
      </c>
      <c r="G21" s="746">
        <f>'1. T1 INVESTOINTISUUN.'!G27/1000</f>
        <v>0</v>
      </c>
      <c r="H21" s="746">
        <f>SUM(D21:G21)</f>
        <v>0</v>
      </c>
      <c r="I21" s="1636">
        <f>'1. T1 INVESTOINTISUUN.'!J27</f>
        <v>0</v>
      </c>
      <c r="J21" s="1636"/>
      <c r="K21" s="1636"/>
      <c r="L21" s="1636"/>
      <c r="M21" s="1636"/>
      <c r="N21" s="1636"/>
      <c r="O21" s="1660"/>
      <c r="Q21" s="738" t="s">
        <v>0</v>
      </c>
      <c r="R21" s="744" t="s">
        <v>232</v>
      </c>
      <c r="S21" s="761"/>
      <c r="T21" s="759">
        <f>'3. T3 TASE '!F45/1000</f>
        <v>0</v>
      </c>
      <c r="U21" s="746">
        <f>'3. T3 TASE '!G45/1000</f>
        <v>0</v>
      </c>
      <c r="V21" s="746">
        <f>'3. T3 TASE '!H45/1000</f>
        <v>0</v>
      </c>
      <c r="W21" s="746">
        <f>'3. T3 TASE '!I45/1000</f>
        <v>0</v>
      </c>
      <c r="X21" s="746">
        <f>'3. T3 TASE '!J45/1000</f>
        <v>0</v>
      </c>
      <c r="Y21" s="746">
        <f>'3. T3 TASE '!K45/1000</f>
        <v>0</v>
      </c>
    </row>
    <row r="22" spans="1:51" ht="11.25" customHeight="1" x14ac:dyDescent="0.2">
      <c r="B22" s="1640"/>
      <c r="C22" s="753" t="s">
        <v>139</v>
      </c>
      <c r="D22" s="747">
        <f>'1. T1 INVESTOINTISUUN.'!D29</f>
        <v>0</v>
      </c>
      <c r="E22" s="747">
        <f>'1. T1 INVESTOINTISUUN.'!E29</f>
        <v>0</v>
      </c>
      <c r="F22" s="747">
        <f>'1. T1 INVESTOINTISUUN.'!F29</f>
        <v>0</v>
      </c>
      <c r="G22" s="747">
        <f>'1. T1 INVESTOINTISUUN.'!G29</f>
        <v>0</v>
      </c>
      <c r="H22" s="748"/>
      <c r="I22" s="1636"/>
      <c r="J22" s="1636"/>
      <c r="K22" s="1636"/>
      <c r="L22" s="1636"/>
      <c r="M22" s="1636"/>
      <c r="N22" s="1636"/>
      <c r="O22" s="1660"/>
      <c r="Q22" s="738"/>
      <c r="R22" s="745" t="s">
        <v>463</v>
      </c>
      <c r="S22" s="753"/>
      <c r="T22" s="759">
        <f>'3. T3 TASE '!F46/1000</f>
        <v>0</v>
      </c>
      <c r="U22" s="746">
        <f>'3. T3 TASE '!G46/1000</f>
        <v>0</v>
      </c>
      <c r="V22" s="746">
        <f>'3. T3 TASE '!H46/1000</f>
        <v>0</v>
      </c>
      <c r="W22" s="746">
        <f>'3. T3 TASE '!I46/1000</f>
        <v>0</v>
      </c>
      <c r="X22" s="746">
        <f>'3. T3 TASE '!J46/1000</f>
        <v>0</v>
      </c>
      <c r="Y22" s="746">
        <f>'3. T3 TASE '!K46/1000</f>
        <v>0</v>
      </c>
    </row>
    <row r="23" spans="1:51" ht="11.25" customHeight="1" x14ac:dyDescent="0.2">
      <c r="B23" s="1640" t="s">
        <v>6</v>
      </c>
      <c r="C23" s="753" t="s">
        <v>395</v>
      </c>
      <c r="D23" s="746">
        <f>'1. T1 INVESTOINTISUUN.'!D30/1000</f>
        <v>0</v>
      </c>
      <c r="E23" s="746">
        <f>'1. T1 INVESTOINTISUUN.'!E30/1000</f>
        <v>0</v>
      </c>
      <c r="F23" s="746">
        <f>'1. T1 INVESTOINTISUUN.'!F30/1000</f>
        <v>0</v>
      </c>
      <c r="G23" s="746">
        <f>'1. T1 INVESTOINTISUUN.'!G30/1000</f>
        <v>0</v>
      </c>
      <c r="H23" s="746">
        <f>SUM(D23:G23)</f>
        <v>0</v>
      </c>
      <c r="I23" s="1636">
        <f>'1. T1 INVESTOINTISUUN.'!J30</f>
        <v>0</v>
      </c>
      <c r="J23" s="1636"/>
      <c r="K23" s="1636"/>
      <c r="L23" s="1636"/>
      <c r="M23" s="1636"/>
      <c r="N23" s="1636"/>
      <c r="O23" s="1660"/>
      <c r="Q23" s="738"/>
      <c r="R23" s="745" t="s">
        <v>464</v>
      </c>
      <c r="S23" s="753"/>
      <c r="T23" s="794">
        <f>'3. T3 TASE '!F47/1000</f>
        <v>0</v>
      </c>
      <c r="U23" s="795">
        <f>'3. T3 TASE '!G47/1000</f>
        <v>0</v>
      </c>
      <c r="V23" s="795">
        <f>'3. T3 TASE '!H47/1000</f>
        <v>0</v>
      </c>
      <c r="W23" s="795">
        <f>'3. T3 TASE '!I47/1000</f>
        <v>0</v>
      </c>
      <c r="X23" s="795">
        <f>'3. T3 TASE '!J47/1000</f>
        <v>0</v>
      </c>
      <c r="Y23" s="795">
        <f>'3. T3 TASE '!K47/1000</f>
        <v>0</v>
      </c>
      <c r="AA23" s="2235" t="s">
        <v>428</v>
      </c>
      <c r="AB23" s="2235"/>
    </row>
    <row r="24" spans="1:51" ht="11.25" customHeight="1" x14ac:dyDescent="0.2">
      <c r="B24" s="1640" t="s">
        <v>7</v>
      </c>
      <c r="C24" s="753" t="s">
        <v>542</v>
      </c>
      <c r="D24" s="746">
        <f>'1. T1 INVESTOINTISUUN.'!D32/1000</f>
        <v>0</v>
      </c>
      <c r="E24" s="746">
        <f>'1. T1 INVESTOINTISUUN.'!E32/1000</f>
        <v>0</v>
      </c>
      <c r="F24" s="746">
        <f>'1. T1 INVESTOINTISUUN.'!F32/1000</f>
        <v>0</v>
      </c>
      <c r="G24" s="746">
        <f>'1. T1 INVESTOINTISUUN.'!G32/1000</f>
        <v>0</v>
      </c>
      <c r="H24" s="746">
        <f>SUM(D24:G24)</f>
        <v>0</v>
      </c>
      <c r="I24" s="1636">
        <f>'1. T1 INVESTOINTISUUN.'!J32</f>
        <v>0</v>
      </c>
      <c r="J24" s="1636"/>
      <c r="K24" s="1636"/>
      <c r="L24" s="1636"/>
      <c r="M24" s="1636"/>
      <c r="N24" s="1636"/>
      <c r="O24" s="1660"/>
      <c r="Q24" s="2216" t="s">
        <v>184</v>
      </c>
      <c r="R24" s="2217"/>
      <c r="S24" s="2217"/>
      <c r="T24" s="796">
        <f>'3. T3 TASE '!F49/1000</f>
        <v>0</v>
      </c>
      <c r="U24" s="797">
        <f>'3. T3 TASE '!G49/1000</f>
        <v>0</v>
      </c>
      <c r="V24" s="797">
        <f>'3. T3 TASE '!H49/1000</f>
        <v>0</v>
      </c>
      <c r="W24" s="797">
        <f>'3. T3 TASE '!I49/1000</f>
        <v>0</v>
      </c>
      <c r="X24" s="797">
        <f>'3. T3 TASE '!J49/1000</f>
        <v>0</v>
      </c>
      <c r="Y24" s="797">
        <f>'3. T3 TASE '!K49/1000</f>
        <v>0</v>
      </c>
      <c r="AE24" s="2257" t="s">
        <v>79</v>
      </c>
      <c r="AF24" s="2257"/>
      <c r="AG24" s="2257"/>
      <c r="AH24" s="2257"/>
      <c r="AI24" s="2257"/>
      <c r="AJ24" s="2257"/>
      <c r="AK24" s="2257"/>
      <c r="AL24" s="2257"/>
      <c r="AM24" s="2257"/>
      <c r="AN24" s="2257"/>
      <c r="AO24" s="2257"/>
      <c r="AP24" s="2257"/>
    </row>
    <row r="25" spans="1:51" ht="11.25" customHeight="1" x14ac:dyDescent="0.2">
      <c r="B25" s="1640"/>
      <c r="C25" s="753" t="s">
        <v>139</v>
      </c>
      <c r="D25" s="747">
        <f>'1. T1 INVESTOINTISUUN.'!D34</f>
        <v>0</v>
      </c>
      <c r="E25" s="747">
        <f>'1. T1 INVESTOINTISUUN.'!E34</f>
        <v>0</v>
      </c>
      <c r="F25" s="747">
        <f>'1. T1 INVESTOINTISUUN.'!F34</f>
        <v>0</v>
      </c>
      <c r="G25" s="747">
        <f>'1. T1 INVESTOINTISUUN.'!G34</f>
        <v>0</v>
      </c>
      <c r="H25" s="748"/>
      <c r="I25" s="1636"/>
      <c r="J25" s="1636"/>
      <c r="K25" s="1636"/>
      <c r="L25" s="1636"/>
      <c r="M25" s="1636"/>
      <c r="N25" s="1636"/>
      <c r="O25" s="1660"/>
      <c r="Q25" s="474"/>
      <c r="R25" s="474"/>
      <c r="S25" s="474"/>
      <c r="T25" s="757"/>
      <c r="U25" s="757">
        <f>T25</f>
        <v>0</v>
      </c>
      <c r="V25" s="757"/>
      <c r="W25" s="757"/>
      <c r="X25" s="757"/>
      <c r="Y25" s="757"/>
      <c r="AA25" s="2261" t="s">
        <v>298</v>
      </c>
      <c r="AB25" s="2220" t="s">
        <v>456</v>
      </c>
      <c r="AC25" s="2220" t="s">
        <v>454</v>
      </c>
      <c r="AD25" s="2221" t="str">
        <f>'4. T7 LAINAT '!E7</f>
        <v>Korko-%</v>
      </c>
      <c r="AE25" s="2257"/>
      <c r="AF25" s="2257"/>
      <c r="AG25" s="2257"/>
      <c r="AH25" s="2257"/>
      <c r="AI25" s="2257"/>
      <c r="AJ25" s="2257"/>
      <c r="AK25" s="2257"/>
      <c r="AL25" s="2257"/>
      <c r="AM25" s="2257"/>
      <c r="AN25" s="2257"/>
      <c r="AO25" s="2257"/>
      <c r="AP25" s="2257"/>
    </row>
    <row r="26" spans="1:51" ht="11.25" customHeight="1" x14ac:dyDescent="0.2">
      <c r="B26" s="1640" t="s">
        <v>8</v>
      </c>
      <c r="C26" s="753" t="s">
        <v>394</v>
      </c>
      <c r="D26" s="746">
        <f>'1. T1 INVESTOINTISUUN.'!D35/1000</f>
        <v>0</v>
      </c>
      <c r="E26" s="746">
        <f>'1. T1 INVESTOINTISUUN.'!E35/1000</f>
        <v>0</v>
      </c>
      <c r="F26" s="746">
        <f>'1. T1 INVESTOINTISUUN.'!F35/1000</f>
        <v>0</v>
      </c>
      <c r="G26" s="746">
        <f>'1. T1 INVESTOINTISUUN.'!G35/1000</f>
        <v>0</v>
      </c>
      <c r="H26" s="746">
        <f>SUM(D26:G26)</f>
        <v>0</v>
      </c>
      <c r="I26" s="1636">
        <f>'1. T1 INVESTOINTISUUN.'!J35</f>
        <v>0</v>
      </c>
      <c r="J26" s="1636"/>
      <c r="K26" s="1636"/>
      <c r="L26" s="1636"/>
      <c r="M26" s="1636"/>
      <c r="N26" s="1636"/>
      <c r="O26" s="1660"/>
      <c r="Q26" s="2253" t="s">
        <v>430</v>
      </c>
      <c r="R26" s="2253"/>
      <c r="S26" s="2253"/>
      <c r="T26" s="1172" t="str">
        <f t="shared" ref="T26:Y27" si="0">T5</f>
        <v>Tot. tilikausi</v>
      </c>
      <c r="U26" s="1172" t="str">
        <f t="shared" si="0"/>
        <v>Tot. tilikausi</v>
      </c>
      <c r="V26" s="1172" t="str">
        <f t="shared" si="0"/>
        <v>Ennuste 1</v>
      </c>
      <c r="W26" s="1172" t="str">
        <f t="shared" si="0"/>
        <v>Ennuste 2</v>
      </c>
      <c r="X26" s="1172" t="str">
        <f t="shared" si="0"/>
        <v>Ennuste 3</v>
      </c>
      <c r="Y26" s="1172" t="str">
        <f t="shared" si="0"/>
        <v>Ennuste 4</v>
      </c>
      <c r="AA26" s="2261"/>
      <c r="AB26" s="2220"/>
      <c r="AC26" s="2220"/>
      <c r="AD26" s="2220"/>
      <c r="AE26" s="2231" t="str">
        <f>'4. T7 LAINAT '!F8</f>
        <v>Ennuste  1</v>
      </c>
      <c r="AF26" s="1946"/>
      <c r="AG26" s="2232"/>
      <c r="AH26" s="2231" t="str">
        <f>'4. T7 LAINAT '!I8</f>
        <v>Ennuste 2</v>
      </c>
      <c r="AI26" s="1946"/>
      <c r="AJ26" s="2232"/>
      <c r="AK26" s="1946" t="str">
        <f>'4. T7 LAINAT '!L8</f>
        <v>Ennuste 3</v>
      </c>
      <c r="AL26" s="1946"/>
      <c r="AM26" s="1946"/>
      <c r="AN26" s="2231" t="str">
        <f>'4. T7 LAINAT '!O8</f>
        <v>Ennuste 4</v>
      </c>
      <c r="AO26" s="1946"/>
      <c r="AP26" s="2232"/>
    </row>
    <row r="27" spans="1:51" ht="11.25" customHeight="1" x14ac:dyDescent="0.2">
      <c r="B27" s="1640"/>
      <c r="C27" s="753" t="s">
        <v>139</v>
      </c>
      <c r="D27" s="747">
        <f>'1. T1 INVESTOINTISUUN.'!D37</f>
        <v>0</v>
      </c>
      <c r="E27" s="747">
        <f>'1. T1 INVESTOINTISUUN.'!E37</f>
        <v>0</v>
      </c>
      <c r="F27" s="747">
        <f>'1. T1 INVESTOINTISUUN.'!F37</f>
        <v>0</v>
      </c>
      <c r="G27" s="747">
        <f>'1. T1 INVESTOINTISUUN.'!G37</f>
        <v>0</v>
      </c>
      <c r="H27" s="748"/>
      <c r="I27" s="1636"/>
      <c r="J27" s="1636"/>
      <c r="K27" s="1636"/>
      <c r="L27" s="1636"/>
      <c r="M27" s="1636"/>
      <c r="N27" s="1636"/>
      <c r="O27" s="1660"/>
      <c r="Q27" s="2253"/>
      <c r="R27" s="2253"/>
      <c r="S27" s="2253"/>
      <c r="T27" s="1176">
        <f t="shared" si="0"/>
        <v>2024</v>
      </c>
      <c r="U27" s="1176">
        <f t="shared" si="0"/>
        <v>2025</v>
      </c>
      <c r="V27" s="1176">
        <f t="shared" si="0"/>
        <v>2027</v>
      </c>
      <c r="W27" s="1176">
        <f t="shared" si="0"/>
        <v>2028</v>
      </c>
      <c r="X27" s="1176">
        <f t="shared" si="0"/>
        <v>2029</v>
      </c>
      <c r="Y27" s="1176">
        <f t="shared" si="0"/>
        <v>2030</v>
      </c>
      <c r="AA27" s="2261"/>
      <c r="AB27" s="2220"/>
      <c r="AC27" s="2220"/>
      <c r="AD27" s="2220"/>
      <c r="AE27" s="2231">
        <f>'4. T7 LAINAT '!F9</f>
        <v>2027</v>
      </c>
      <c r="AF27" s="1946"/>
      <c r="AG27" s="2232"/>
      <c r="AH27" s="2231">
        <f>'4. T7 LAINAT '!I9</f>
        <v>2028</v>
      </c>
      <c r="AI27" s="1946"/>
      <c r="AJ27" s="2232"/>
      <c r="AK27" s="1946">
        <f>'4. T7 LAINAT '!L9</f>
        <v>2029</v>
      </c>
      <c r="AL27" s="1946"/>
      <c r="AM27" s="1946"/>
      <c r="AN27" s="2231">
        <f>'4. T7 LAINAT '!O9</f>
        <v>2030</v>
      </c>
      <c r="AO27" s="1946"/>
      <c r="AP27" s="2232"/>
    </row>
    <row r="28" spans="1:51" ht="11.25" customHeight="1" x14ac:dyDescent="0.2">
      <c r="B28" s="1640" t="s">
        <v>9</v>
      </c>
      <c r="C28" s="753" t="s">
        <v>148</v>
      </c>
      <c r="D28" s="746">
        <f>'1. T1 INVESTOINTISUUN.'!D38/1000</f>
        <v>0</v>
      </c>
      <c r="E28" s="746">
        <f>'1. T1 INVESTOINTISUUN.'!E38/1000</f>
        <v>0</v>
      </c>
      <c r="F28" s="746">
        <f>'1. T1 INVESTOINTISUUN.'!F38/1000</f>
        <v>0</v>
      </c>
      <c r="G28" s="746">
        <f>'1. T1 INVESTOINTISUUN.'!G38/1000</f>
        <v>0</v>
      </c>
      <c r="H28" s="746">
        <f>SUM(D28:G28)</f>
        <v>0</v>
      </c>
      <c r="I28" s="1636">
        <f>'1. T1 INVESTOINTISUUN.'!J38</f>
        <v>0</v>
      </c>
      <c r="J28" s="1636"/>
      <c r="K28" s="1636"/>
      <c r="L28" s="1636"/>
      <c r="M28" s="1636"/>
      <c r="N28" s="1636"/>
      <c r="O28" s="1660"/>
      <c r="Q28" s="757" t="s">
        <v>163</v>
      </c>
      <c r="R28" s="760" t="s">
        <v>155</v>
      </c>
      <c r="S28" s="752"/>
      <c r="T28" s="758">
        <f>'3. T3 TASE '!F54/1000</f>
        <v>0</v>
      </c>
      <c r="U28" s="756">
        <f>'3. T3 TASE '!G54/1000</f>
        <v>0</v>
      </c>
      <c r="V28" s="756">
        <f>'3. T3 TASE '!H54/1000</f>
        <v>0</v>
      </c>
      <c r="W28" s="756">
        <f>'3. T3 TASE '!I54/1000</f>
        <v>0</v>
      </c>
      <c r="X28" s="756">
        <f>'3. T3 TASE '!J54/1000</f>
        <v>0</v>
      </c>
      <c r="Y28" s="756">
        <f>'3. T3 TASE '!K54/1000</f>
        <v>0</v>
      </c>
      <c r="AA28" s="1683" t="str">
        <f>'4. T7 LAINAT '!B10</f>
        <v>Luotonantaja</v>
      </c>
      <c r="AB28" s="2220"/>
      <c r="AC28" s="2220"/>
      <c r="AD28" s="2220"/>
      <c r="AE28" s="2223" t="str">
        <f>'4. T7 LAINAT '!F10</f>
        <v>Lyhennys</v>
      </c>
      <c r="AF28" s="2224"/>
      <c r="AG28" s="1678" t="str">
        <f>'4. T7 LAINAT '!H10</f>
        <v>Korko</v>
      </c>
      <c r="AH28" s="2223" t="str">
        <f>AE28</f>
        <v>Lyhennys</v>
      </c>
      <c r="AI28" s="2224"/>
      <c r="AJ28" s="1678" t="str">
        <f>'4. T7 LAINAT '!K10</f>
        <v>Korko</v>
      </c>
      <c r="AK28" s="2224" t="str">
        <f>AH28</f>
        <v>Lyhennys</v>
      </c>
      <c r="AL28" s="2224"/>
      <c r="AM28" s="20" t="str">
        <f>'4. T7 LAINAT '!N10</f>
        <v>Korko</v>
      </c>
      <c r="AN28" s="2223" t="str">
        <f>AK28</f>
        <v>Lyhennys</v>
      </c>
      <c r="AO28" s="2224"/>
      <c r="AP28" s="1678" t="str">
        <f>'4. T7 LAINAT '!Q10</f>
        <v>Korko</v>
      </c>
    </row>
    <row r="29" spans="1:51" ht="11.25" customHeight="1" x14ac:dyDescent="0.2">
      <c r="B29" s="1640" t="s">
        <v>10</v>
      </c>
      <c r="C29" s="753" t="s">
        <v>393</v>
      </c>
      <c r="D29" s="746">
        <f>'1. T1 INVESTOINTISUUN.'!D39/1000</f>
        <v>0</v>
      </c>
      <c r="E29" s="746">
        <f>'1. T1 INVESTOINTISUUN.'!E39/1000</f>
        <v>0</v>
      </c>
      <c r="F29" s="746">
        <f>'1. T1 INVESTOINTISUUN.'!F39/1000</f>
        <v>0</v>
      </c>
      <c r="G29" s="746">
        <f>'1. T1 INVESTOINTISUUN.'!G39/1000</f>
        <v>0</v>
      </c>
      <c r="H29" s="746">
        <f>SUM(D29:G29)</f>
        <v>0</v>
      </c>
      <c r="I29" s="1636">
        <f>'1. T1 INVESTOINTISUUN.'!J39</f>
        <v>0</v>
      </c>
      <c r="J29" s="1636"/>
      <c r="K29" s="1636"/>
      <c r="L29" s="1636"/>
      <c r="M29" s="1636"/>
      <c r="N29" s="1636"/>
      <c r="O29" s="1660"/>
      <c r="Q29" s="738">
        <v>0</v>
      </c>
      <c r="R29" s="744" t="s">
        <v>201</v>
      </c>
      <c r="S29" s="761"/>
      <c r="T29" s="759">
        <f>'3. T3 TASE '!F55/1000</f>
        <v>0</v>
      </c>
      <c r="U29" s="746">
        <f>'3. T3 TASE '!G55/1000</f>
        <v>0</v>
      </c>
      <c r="V29" s="746">
        <f>'3. T3 TASE '!H55/1000</f>
        <v>0</v>
      </c>
      <c r="W29" s="746">
        <f>'3. T3 TASE '!I55/1000</f>
        <v>0</v>
      </c>
      <c r="X29" s="746">
        <f>'3. T3 TASE '!J55/1000</f>
        <v>0</v>
      </c>
      <c r="Y29" s="746">
        <f>'3. T3 TASE '!K55/1000</f>
        <v>0</v>
      </c>
      <c r="AA29" s="1684" t="str">
        <f>'4. T7 LAINAT '!B11</f>
        <v xml:space="preserve"> </v>
      </c>
      <c r="AB29" s="1238">
        <f>'4. T7 LAINAT '!C11/1000</f>
        <v>0</v>
      </c>
      <c r="AC29" s="788">
        <f>'4. T7 LAINAT '!D11</f>
        <v>0</v>
      </c>
      <c r="AD29" s="1675">
        <f>'4. T7 LAINAT '!E11*100</f>
        <v>0</v>
      </c>
      <c r="AE29" s="2187">
        <f>'4. T7 LAINAT '!F11/1000</f>
        <v>0</v>
      </c>
      <c r="AF29" s="2188"/>
      <c r="AG29" s="1680">
        <f>'4. T7 LAINAT '!H11/1000</f>
        <v>0</v>
      </c>
      <c r="AH29" s="2187">
        <f>'4. T7 LAINAT '!I11/1000</f>
        <v>0</v>
      </c>
      <c r="AI29" s="2188"/>
      <c r="AJ29" s="1680">
        <f>'4. T7 LAINAT '!K11/1000</f>
        <v>0</v>
      </c>
      <c r="AK29" s="2189">
        <f>'4. T7 LAINAT '!L11/1000</f>
        <v>0</v>
      </c>
      <c r="AL29" s="2188"/>
      <c r="AM29" s="1629">
        <f>'4. T7 LAINAT '!N11/1000</f>
        <v>0</v>
      </c>
      <c r="AN29" s="2187">
        <f>'4. T7 LAINAT '!O11/1000</f>
        <v>0</v>
      </c>
      <c r="AO29" s="2188"/>
      <c r="AP29" s="1680">
        <f>'4. T7 LAINAT '!Q11/1000</f>
        <v>0</v>
      </c>
    </row>
    <row r="30" spans="1:51" ht="11.25" customHeight="1" x14ac:dyDescent="0.2">
      <c r="B30" s="1670" t="s">
        <v>11</v>
      </c>
      <c r="C30" s="1671" t="s">
        <v>392</v>
      </c>
      <c r="D30" s="1672">
        <f>D16+D18+D20+D21+D23+D24+D29+D26+D28</f>
        <v>0</v>
      </c>
      <c r="E30" s="1672">
        <f>E16+E18+E20+E21+E23+E24+E29+E26+E28</f>
        <v>0</v>
      </c>
      <c r="F30" s="1672">
        <f t="shared" ref="F30:H30" si="1">F16+F18+F20+F21+F23+F24+F29+F26+F28</f>
        <v>0</v>
      </c>
      <c r="G30" s="1672">
        <f t="shared" si="1"/>
        <v>0</v>
      </c>
      <c r="H30" s="1672">
        <f t="shared" si="1"/>
        <v>0</v>
      </c>
      <c r="I30" s="1673">
        <f>'1. T1 INVESTOINTISUUN.'!J42</f>
        <v>0</v>
      </c>
      <c r="J30" s="1673"/>
      <c r="K30" s="1673"/>
      <c r="L30" s="1673"/>
      <c r="M30" s="1673"/>
      <c r="N30" s="1673"/>
      <c r="O30" s="1674"/>
      <c r="Q30" s="738">
        <v>0</v>
      </c>
      <c r="R30" s="744" t="s">
        <v>202</v>
      </c>
      <c r="S30" s="761"/>
      <c r="T30" s="759">
        <f>'3. T3 TASE '!F56/1000</f>
        <v>0</v>
      </c>
      <c r="U30" s="746">
        <f>'3. T3 TASE '!G56/1000</f>
        <v>0</v>
      </c>
      <c r="V30" s="746">
        <f>'3. T3 TASE '!H56/1000</f>
        <v>0</v>
      </c>
      <c r="W30" s="746">
        <f>'3. T3 TASE '!I56/1000</f>
        <v>0</v>
      </c>
      <c r="X30" s="746">
        <f>'3. T3 TASE '!J56/1000</f>
        <v>0</v>
      </c>
      <c r="Y30" s="746">
        <f>'3. T3 TASE '!K56/1000</f>
        <v>0</v>
      </c>
      <c r="AA30" s="1685">
        <f>'4. T7 LAINAT '!B12</f>
        <v>0</v>
      </c>
      <c r="AB30" s="1238">
        <f>'4. T7 LAINAT '!C12/1000</f>
        <v>0</v>
      </c>
      <c r="AC30" s="788">
        <f>'4. T7 LAINAT '!D12</f>
        <v>0</v>
      </c>
      <c r="AD30" s="1675">
        <f>'4. T7 LAINAT '!E12*100</f>
        <v>0</v>
      </c>
      <c r="AE30" s="2187">
        <f>'4. T7 LAINAT '!F12/1000</f>
        <v>0</v>
      </c>
      <c r="AF30" s="2188"/>
      <c r="AG30" s="1680">
        <f>'4. T7 LAINAT '!H12/1000</f>
        <v>0</v>
      </c>
      <c r="AH30" s="2187">
        <f>'4. T7 LAINAT '!I12/1000</f>
        <v>0</v>
      </c>
      <c r="AI30" s="2188"/>
      <c r="AJ30" s="1680">
        <f>'4. T7 LAINAT '!K12/1000</f>
        <v>0</v>
      </c>
      <c r="AK30" s="2189">
        <f>'4. T7 LAINAT '!L12/1000</f>
        <v>0</v>
      </c>
      <c r="AL30" s="2188"/>
      <c r="AM30" s="1629">
        <f>'4. T7 LAINAT '!N12/1000</f>
        <v>0</v>
      </c>
      <c r="AN30" s="2187">
        <f>'4. T7 LAINAT '!O12/1000</f>
        <v>0</v>
      </c>
      <c r="AO30" s="2188"/>
      <c r="AP30" s="1680">
        <f>'4. T7 LAINAT '!Q12/1000</f>
        <v>0</v>
      </c>
    </row>
    <row r="31" spans="1:51" ht="10.9" customHeight="1" x14ac:dyDescent="0.2">
      <c r="Q31" s="738">
        <v>0</v>
      </c>
      <c r="R31" s="744" t="s">
        <v>230</v>
      </c>
      <c r="S31" s="761"/>
      <c r="T31" s="759">
        <f>'3. T3 TASE '!F57/1000</f>
        <v>0</v>
      </c>
      <c r="U31" s="746">
        <f>'3. T3 TASE '!G57/1000</f>
        <v>0</v>
      </c>
      <c r="V31" s="746">
        <f>'3. T3 TASE '!H57/1000</f>
        <v>0</v>
      </c>
      <c r="W31" s="746">
        <f>'3. T3 TASE '!I57/1000</f>
        <v>0</v>
      </c>
      <c r="X31" s="746">
        <f>'3. T3 TASE '!J57/1000</f>
        <v>0</v>
      </c>
      <c r="Y31" s="746">
        <f>'3. T3 TASE '!K57/1000</f>
        <v>0</v>
      </c>
      <c r="AA31" s="1685">
        <f>'4. T7 LAINAT '!B13</f>
        <v>0</v>
      </c>
      <c r="AB31" s="1238">
        <f>'4. T7 LAINAT '!C13/1000</f>
        <v>0</v>
      </c>
      <c r="AC31" s="788">
        <f>'4. T7 LAINAT '!D13</f>
        <v>0</v>
      </c>
      <c r="AD31" s="1675">
        <f>'4. T7 LAINAT '!E13*100</f>
        <v>0</v>
      </c>
      <c r="AE31" s="2187">
        <f>'4. T7 LAINAT '!F13/1000</f>
        <v>0</v>
      </c>
      <c r="AF31" s="2188"/>
      <c r="AG31" s="1680">
        <f>'4. T7 LAINAT '!H13/1000</f>
        <v>0</v>
      </c>
      <c r="AH31" s="2187">
        <f>'4. T7 LAINAT '!I13/1000</f>
        <v>0</v>
      </c>
      <c r="AI31" s="2188"/>
      <c r="AJ31" s="1680">
        <f>'4. T7 LAINAT '!K13/1000</f>
        <v>0</v>
      </c>
      <c r="AK31" s="2189">
        <f>'4. T7 LAINAT '!L13/1000</f>
        <v>0</v>
      </c>
      <c r="AL31" s="2188"/>
      <c r="AM31" s="1629">
        <f>'4. T7 LAINAT '!N13/1000</f>
        <v>0</v>
      </c>
      <c r="AN31" s="2187">
        <f>'4. T7 LAINAT '!O13/1000</f>
        <v>0</v>
      </c>
      <c r="AO31" s="2188"/>
      <c r="AP31" s="1680">
        <f>'4. T7 LAINAT '!Q13/1000</f>
        <v>0</v>
      </c>
    </row>
    <row r="32" spans="1:51" ht="11.25" customHeight="1" x14ac:dyDescent="0.2">
      <c r="Q32" s="738">
        <v>0</v>
      </c>
      <c r="R32" s="768" t="s">
        <v>253</v>
      </c>
      <c r="S32" s="769"/>
      <c r="T32" s="770">
        <f>'3. T3 TASE '!F58/1000</f>
        <v>0</v>
      </c>
      <c r="U32" s="748">
        <f>'3. T3 TASE '!G58/1000</f>
        <v>0</v>
      </c>
      <c r="V32" s="748">
        <f>'3. T3 TASE '!H58/1000</f>
        <v>0</v>
      </c>
      <c r="W32" s="748">
        <f>'3. T3 TASE '!I58/1000</f>
        <v>0</v>
      </c>
      <c r="X32" s="748">
        <f>'3. T3 TASE '!J58/1000</f>
        <v>0</v>
      </c>
      <c r="Y32" s="748">
        <f>'3. T3 TASE '!K58/1000</f>
        <v>0</v>
      </c>
      <c r="AA32" s="1685">
        <f>'4. T7 LAINAT '!B14</f>
        <v>0</v>
      </c>
      <c r="AB32" s="1238">
        <f>'4. T7 LAINAT '!C14/1000</f>
        <v>0</v>
      </c>
      <c r="AC32" s="788">
        <f>'4. T7 LAINAT '!D14</f>
        <v>0</v>
      </c>
      <c r="AD32" s="1675">
        <f>'4. T7 LAINAT '!E14*100</f>
        <v>0</v>
      </c>
      <c r="AE32" s="2187">
        <f>'4. T7 LAINAT '!F14/1000</f>
        <v>0</v>
      </c>
      <c r="AF32" s="2188"/>
      <c r="AG32" s="1680">
        <f>'4. T7 LAINAT '!H14/1000</f>
        <v>0</v>
      </c>
      <c r="AH32" s="2187">
        <f>'4. T7 LAINAT '!I14/1000</f>
        <v>0</v>
      </c>
      <c r="AI32" s="2188"/>
      <c r="AJ32" s="1680">
        <f>'4. T7 LAINAT '!K14/1000</f>
        <v>0</v>
      </c>
      <c r="AK32" s="2189">
        <f>'4. T7 LAINAT '!L14/1000</f>
        <v>0</v>
      </c>
      <c r="AL32" s="2188"/>
      <c r="AM32" s="1629">
        <f>'4. T7 LAINAT '!N14/1000</f>
        <v>0</v>
      </c>
      <c r="AN32" s="2187">
        <f>'4. T7 LAINAT '!O14/1000</f>
        <v>0</v>
      </c>
      <c r="AO32" s="2188"/>
      <c r="AP32" s="1680">
        <f>'4. T7 LAINAT '!Q14/1000</f>
        <v>0</v>
      </c>
    </row>
    <row r="33" spans="1:54" ht="11.25" customHeight="1" x14ac:dyDescent="0.2">
      <c r="B33" s="2253" t="s">
        <v>610</v>
      </c>
      <c r="C33" s="2253"/>
      <c r="D33" s="1172" t="s">
        <v>323</v>
      </c>
      <c r="E33" s="1172" t="s">
        <v>324</v>
      </c>
      <c r="F33" s="1172" t="s">
        <v>325</v>
      </c>
      <c r="G33" s="1172" t="s">
        <v>326</v>
      </c>
      <c r="H33" s="1632" t="s">
        <v>327</v>
      </c>
      <c r="I33" s="2265" t="s">
        <v>383</v>
      </c>
      <c r="J33" s="2265"/>
      <c r="K33" s="2265"/>
      <c r="L33" s="2265"/>
      <c r="M33" s="2265"/>
      <c r="N33" s="2265"/>
      <c r="O33" s="2265"/>
      <c r="Q33" s="738">
        <v>0</v>
      </c>
      <c r="R33" s="744" t="s">
        <v>264</v>
      </c>
      <c r="S33" s="761"/>
      <c r="T33" s="759">
        <f>'3. T3 TASE '!F59/1000</f>
        <v>0</v>
      </c>
      <c r="U33" s="746">
        <f>'3. T3 TASE '!G59/1000</f>
        <v>0</v>
      </c>
      <c r="V33" s="746">
        <f>'3. T3 TASE '!H59/1000</f>
        <v>0</v>
      </c>
      <c r="W33" s="746">
        <f>'3. T3 TASE '!I59/1000</f>
        <v>0</v>
      </c>
      <c r="X33" s="746">
        <f>'3. T3 TASE '!J59/1000</f>
        <v>0</v>
      </c>
      <c r="Y33" s="746">
        <f>'3. T3 TASE '!K59/1000</f>
        <v>0</v>
      </c>
      <c r="AA33" s="1685">
        <f>'4. T7 LAINAT '!B15</f>
        <v>0</v>
      </c>
      <c r="AB33" s="1238">
        <f>'4. T7 LAINAT '!C15/1000</f>
        <v>0</v>
      </c>
      <c r="AC33" s="788">
        <f>'4. T7 LAINAT '!D15</f>
        <v>0</v>
      </c>
      <c r="AD33" s="1675">
        <f>'4. T7 LAINAT '!E15*100</f>
        <v>0</v>
      </c>
      <c r="AE33" s="2187">
        <f>'4. T7 LAINAT '!F15/1000</f>
        <v>0</v>
      </c>
      <c r="AF33" s="2188"/>
      <c r="AG33" s="1680">
        <f>'4. T7 LAINAT '!H15/1000</f>
        <v>0</v>
      </c>
      <c r="AH33" s="2187">
        <f>'4. T7 LAINAT '!I15/1000</f>
        <v>0</v>
      </c>
      <c r="AI33" s="2188"/>
      <c r="AJ33" s="1680">
        <f>'4. T7 LAINAT '!K15/1000</f>
        <v>0</v>
      </c>
      <c r="AK33" s="2189">
        <f>'4. T7 LAINAT '!L15/1000</f>
        <v>0</v>
      </c>
      <c r="AL33" s="2188"/>
      <c r="AM33" s="1629">
        <f>'4. T7 LAINAT '!N15/1000</f>
        <v>0</v>
      </c>
      <c r="AN33" s="2187">
        <f>'4. T7 LAINAT '!O15/1000</f>
        <v>0</v>
      </c>
      <c r="AO33" s="2188"/>
      <c r="AP33" s="1680">
        <f>'4. T7 LAINAT '!Q15/1000</f>
        <v>0</v>
      </c>
    </row>
    <row r="34" spans="1:54" ht="11.25" customHeight="1" x14ac:dyDescent="0.2">
      <c r="B34" s="2253"/>
      <c r="C34" s="2253"/>
      <c r="D34" s="1172">
        <f>D15</f>
        <v>2027</v>
      </c>
      <c r="E34" s="1172">
        <f>E15</f>
        <v>2028</v>
      </c>
      <c r="F34" s="1172">
        <f>F15</f>
        <v>2029</v>
      </c>
      <c r="G34" s="1637">
        <f>G15</f>
        <v>2030</v>
      </c>
      <c r="H34" s="1632"/>
      <c r="I34" s="2265"/>
      <c r="J34" s="2265"/>
      <c r="K34" s="2265"/>
      <c r="L34" s="2265"/>
      <c r="M34" s="2265"/>
      <c r="N34" s="2265"/>
      <c r="O34" s="2265"/>
      <c r="Q34" s="757" t="s">
        <v>165</v>
      </c>
      <c r="R34" s="760" t="s">
        <v>160</v>
      </c>
      <c r="S34" s="752"/>
      <c r="T34" s="758">
        <f>'3. T3 TASE '!F60/1000</f>
        <v>0</v>
      </c>
      <c r="U34" s="756">
        <f>'3. T3 TASE '!G60/1000</f>
        <v>0</v>
      </c>
      <c r="V34" s="756">
        <f>'3. T3 TASE '!H60/1000</f>
        <v>0</v>
      </c>
      <c r="W34" s="756">
        <f>'3. T3 TASE '!I60/1000</f>
        <v>0</v>
      </c>
      <c r="X34" s="756">
        <f>'3. T3 TASE '!J60/1000</f>
        <v>0</v>
      </c>
      <c r="Y34" s="756">
        <f>'3. T3 TASE '!K60/1000</f>
        <v>0</v>
      </c>
      <c r="AA34" s="1685">
        <f>'4. T7 LAINAT '!B16</f>
        <v>0</v>
      </c>
      <c r="AB34" s="1238">
        <f>'4. T7 LAINAT '!C16/1000</f>
        <v>0</v>
      </c>
      <c r="AC34" s="788">
        <f>'4. T7 LAINAT '!D16</f>
        <v>0</v>
      </c>
      <c r="AD34" s="1675">
        <f>'4. T7 LAINAT '!E16*100</f>
        <v>0</v>
      </c>
      <c r="AE34" s="2187">
        <f>'4. T7 LAINAT '!F16/1000</f>
        <v>0</v>
      </c>
      <c r="AF34" s="2188"/>
      <c r="AG34" s="1680">
        <f>'4. T7 LAINAT '!H16/1000</f>
        <v>0</v>
      </c>
      <c r="AH34" s="2187">
        <f>'4. T7 LAINAT '!I16/1000</f>
        <v>0</v>
      </c>
      <c r="AI34" s="2188"/>
      <c r="AJ34" s="1680">
        <f>'4. T7 LAINAT '!K16/1000</f>
        <v>0</v>
      </c>
      <c r="AK34" s="2189">
        <f>'4. T7 LAINAT '!L16/1000</f>
        <v>0</v>
      </c>
      <c r="AL34" s="2188"/>
      <c r="AM34" s="1629">
        <f>'4. T7 LAINAT '!N16/1000</f>
        <v>0</v>
      </c>
      <c r="AN34" s="2187">
        <f>'4. T7 LAINAT '!O16/1000</f>
        <v>0</v>
      </c>
      <c r="AO34" s="2188"/>
      <c r="AP34" s="1680">
        <f>'4. T7 LAINAT '!Q16/1000</f>
        <v>0</v>
      </c>
    </row>
    <row r="35" spans="1:54" ht="11.25" customHeight="1" thickBot="1" x14ac:dyDescent="0.25">
      <c r="A35" s="1565"/>
      <c r="B35" s="718" t="s">
        <v>124</v>
      </c>
      <c r="C35" s="718"/>
      <c r="D35" s="1634"/>
      <c r="E35" s="1634"/>
      <c r="F35" s="1634"/>
      <c r="G35" s="1634"/>
      <c r="H35" s="1635" t="s">
        <v>0</v>
      </c>
      <c r="I35" s="1559"/>
      <c r="J35" s="1636"/>
      <c r="K35" s="1636"/>
      <c r="L35" s="1636"/>
      <c r="M35" s="1636"/>
      <c r="N35" s="1636"/>
      <c r="O35" s="1660"/>
      <c r="Q35" s="757" t="s">
        <v>177</v>
      </c>
      <c r="R35" s="762" t="s">
        <v>164</v>
      </c>
      <c r="S35" s="754"/>
      <c r="T35" s="758">
        <f>'3. T3 TASE '!F64/1000</f>
        <v>0</v>
      </c>
      <c r="U35" s="756">
        <f>'3. T3 TASE '!G64/1000</f>
        <v>0</v>
      </c>
      <c r="V35" s="756">
        <f>'3. T3 TASE '!H64/1000</f>
        <v>0</v>
      </c>
      <c r="W35" s="756">
        <f>'3. T3 TASE '!I64/1000</f>
        <v>0</v>
      </c>
      <c r="X35" s="756">
        <f>'3. T3 TASE '!J64/1000</f>
        <v>0</v>
      </c>
      <c r="Y35" s="756">
        <f>'3. T3 TASE '!K64/1000</f>
        <v>0</v>
      </c>
      <c r="AA35" s="1686" t="str">
        <f>'4. T7 LAINAT '!B17</f>
        <v xml:space="preserve"> Luotollinen tili</v>
      </c>
      <c r="AB35" s="1239">
        <f>'4. T7 LAINAT '!C17/1000</f>
        <v>0</v>
      </c>
      <c r="AC35" s="1071">
        <f>'4. T7 LAINAT '!D17</f>
        <v>0</v>
      </c>
      <c r="AD35" s="1676">
        <f>'4. T7 LAINAT '!E17*100</f>
        <v>0</v>
      </c>
      <c r="AE35" s="2247">
        <f>'4. T7 LAINAT '!F17/1000</f>
        <v>0</v>
      </c>
      <c r="AF35" s="2248"/>
      <c r="AG35" s="1682">
        <f>'4. T7 LAINAT '!H17/1000</f>
        <v>0</v>
      </c>
      <c r="AH35" s="2247">
        <f>'4. T7 LAINAT '!I17/1000</f>
        <v>0</v>
      </c>
      <c r="AI35" s="2248"/>
      <c r="AJ35" s="1682">
        <f>'4. T7 LAINAT '!K17/1000</f>
        <v>0</v>
      </c>
      <c r="AK35" s="2249">
        <f>'4. T7 LAINAT '!L17/1000</f>
        <v>0</v>
      </c>
      <c r="AL35" s="2248"/>
      <c r="AM35" s="1677">
        <f>'4. T7 LAINAT '!N17/1000</f>
        <v>0</v>
      </c>
      <c r="AN35" s="2247">
        <f>'4. T7 LAINAT '!O17/1000</f>
        <v>0</v>
      </c>
      <c r="AO35" s="2248"/>
      <c r="AP35" s="1682">
        <f>'4. T7 LAINAT '!Q17/1000</f>
        <v>0</v>
      </c>
    </row>
    <row r="36" spans="1:54" ht="11.25" customHeight="1" thickTop="1" x14ac:dyDescent="0.2">
      <c r="A36" s="1565"/>
      <c r="B36" s="738" t="s">
        <v>115</v>
      </c>
      <c r="C36" s="740" t="s">
        <v>391</v>
      </c>
      <c r="D36" s="739"/>
      <c r="E36" s="739"/>
      <c r="F36" s="739"/>
      <c r="G36" s="739"/>
      <c r="H36" s="1558"/>
      <c r="I36" s="1559"/>
      <c r="J36" s="1636"/>
      <c r="K36" s="1636"/>
      <c r="L36" s="1636"/>
      <c r="M36" s="1636"/>
      <c r="N36" s="1636"/>
      <c r="O36" s="1660"/>
      <c r="Q36" s="757" t="s">
        <v>251</v>
      </c>
      <c r="R36" s="762" t="s">
        <v>176</v>
      </c>
      <c r="S36" s="754"/>
      <c r="T36" s="758">
        <f>'3. T3 TASE '!F65/1000</f>
        <v>0</v>
      </c>
      <c r="U36" s="756">
        <f>'3. T3 TASE '!G65/1000</f>
        <v>0</v>
      </c>
      <c r="V36" s="756">
        <f>'3. T3 TASE '!H65/1000</f>
        <v>0</v>
      </c>
      <c r="W36" s="756">
        <f>'3. T3 TASE '!I65/1000</f>
        <v>0</v>
      </c>
      <c r="X36" s="756">
        <f>'3. T3 TASE '!J65/1000</f>
        <v>0</v>
      </c>
      <c r="Y36" s="756">
        <f>'3. T3 TASE '!K65/1000</f>
        <v>0</v>
      </c>
      <c r="AA36" s="760" t="str">
        <f>'4. T7 LAINAT '!B18</f>
        <v>Nykyiset lainat yhteensä</v>
      </c>
      <c r="AB36" s="1709">
        <f>'4. T7 LAINAT '!C18/1000</f>
        <v>0</v>
      </c>
      <c r="AC36" s="1699">
        <v>0</v>
      </c>
      <c r="AD36" s="1700">
        <v>0</v>
      </c>
      <c r="AE36" s="2245">
        <f>SUM(AE29:AF35)</f>
        <v>0</v>
      </c>
      <c r="AF36" s="2246"/>
      <c r="AG36" s="1710">
        <f>SUM(AG29:AG35)</f>
        <v>0</v>
      </c>
      <c r="AH36" s="2245">
        <f>SUM(AH29:AI35)</f>
        <v>0</v>
      </c>
      <c r="AI36" s="2246"/>
      <c r="AJ36" s="1710">
        <f>SUM(AJ29:AJ35)</f>
        <v>0</v>
      </c>
      <c r="AK36" s="2259">
        <f>SUM(AK29:AL35)</f>
        <v>0</v>
      </c>
      <c r="AL36" s="2260"/>
      <c r="AM36" s="1711">
        <f>SUM(AM29:AM35)</f>
        <v>0</v>
      </c>
      <c r="AN36" s="2245">
        <f>SUM(AN29:AO35)</f>
        <v>0</v>
      </c>
      <c r="AO36" s="2246"/>
      <c r="AP36" s="1710">
        <f>SUM(AP29:AP35)</f>
        <v>0</v>
      </c>
    </row>
    <row r="37" spans="1:54" ht="11.25" customHeight="1" x14ac:dyDescent="0.2">
      <c r="A37" s="1565"/>
      <c r="B37" s="1641"/>
      <c r="C37" s="743" t="s">
        <v>626</v>
      </c>
      <c r="D37" s="736">
        <f>'1. T1 INVESTOINTISUUN.'!D48/1000</f>
        <v>0</v>
      </c>
      <c r="E37" s="736">
        <f>'1. T1 INVESTOINTISUUN.'!E48/1000</f>
        <v>0</v>
      </c>
      <c r="F37" s="736">
        <f>'1. T1 INVESTOINTISUUN.'!F48/1000</f>
        <v>0</v>
      </c>
      <c r="G37" s="736">
        <f>'1. T1 INVESTOINTISUUN.'!G48/1000</f>
        <v>0</v>
      </c>
      <c r="H37" s="1557">
        <f>'1. T1 INVESTOINTISUUN.'!H48/1000</f>
        <v>0</v>
      </c>
      <c r="I37" s="1559"/>
      <c r="J37" s="1636"/>
      <c r="K37" s="1636"/>
      <c r="L37" s="1636"/>
      <c r="M37" s="1636"/>
      <c r="N37" s="1636"/>
      <c r="O37" s="1660"/>
      <c r="Q37" s="738" t="s">
        <v>0</v>
      </c>
      <c r="R37" s="745" t="s">
        <v>166</v>
      </c>
      <c r="S37" s="753"/>
      <c r="T37" s="759">
        <f>'3. T3 TASE '!F66/1000</f>
        <v>0</v>
      </c>
      <c r="U37" s="746">
        <f>'3. T3 TASE '!G66/1000</f>
        <v>0</v>
      </c>
      <c r="V37" s="746">
        <f>'3. T3 TASE '!H66/1000</f>
        <v>0</v>
      </c>
      <c r="W37" s="746">
        <f>'3. T3 TASE '!I66/1000</f>
        <v>0</v>
      </c>
      <c r="X37" s="746">
        <f>'3. T3 TASE '!J66/1000</f>
        <v>0</v>
      </c>
      <c r="Y37" s="746">
        <f>'3. T3 TASE '!K66/1000</f>
        <v>0</v>
      </c>
      <c r="AA37" s="120"/>
      <c r="AB37" s="238"/>
      <c r="AC37" s="238"/>
      <c r="AD37" s="238"/>
      <c r="AE37" s="238"/>
      <c r="AF37" s="238"/>
      <c r="AG37" s="238"/>
      <c r="AH37" s="238"/>
      <c r="AI37" s="238"/>
      <c r="AJ37" s="238"/>
      <c r="AK37" s="238"/>
      <c r="AL37" s="238"/>
      <c r="AM37" s="238"/>
      <c r="AN37" s="238"/>
      <c r="AO37" s="238"/>
      <c r="AP37" s="238"/>
    </row>
    <row r="38" spans="1:54" ht="11.25" customHeight="1" x14ac:dyDescent="0.2">
      <c r="A38" s="1565"/>
      <c r="B38" s="1642"/>
      <c r="C38" s="741" t="s">
        <v>390</v>
      </c>
      <c r="D38" s="736">
        <f>'1. T1 INVESTOINTISUUN.'!D49/1000</f>
        <v>0</v>
      </c>
      <c r="E38" s="736">
        <f>'1. T1 INVESTOINTISUUN.'!E49/1000</f>
        <v>0</v>
      </c>
      <c r="F38" s="736">
        <f>'1. T1 INVESTOINTISUUN.'!F49/1000</f>
        <v>0</v>
      </c>
      <c r="G38" s="736">
        <f>'1. T1 INVESTOINTISUUN.'!G49/1000</f>
        <v>0</v>
      </c>
      <c r="H38" s="1557">
        <f>'1. T1 INVESTOINTISUUN.'!H49/1000</f>
        <v>0</v>
      </c>
      <c r="I38" s="1559"/>
      <c r="J38" s="1636"/>
      <c r="K38" s="1636"/>
      <c r="L38" s="1636"/>
      <c r="M38" s="1636"/>
      <c r="N38" s="1636"/>
      <c r="O38" s="1660"/>
      <c r="Q38" s="738" t="s">
        <v>0</v>
      </c>
      <c r="R38" s="790" t="s">
        <v>181</v>
      </c>
      <c r="S38" s="791"/>
      <c r="T38" s="759">
        <f>'3. T3 TASE '!F67/1000</f>
        <v>0</v>
      </c>
      <c r="U38" s="746">
        <f>'3. T3 TASE '!G67/1000</f>
        <v>0</v>
      </c>
      <c r="V38" s="746">
        <f>'3. T3 TASE '!H67/1000</f>
        <v>0</v>
      </c>
      <c r="W38" s="746">
        <f>'3. T3 TASE '!I67/1000</f>
        <v>0</v>
      </c>
      <c r="X38" s="746">
        <f>'3. T3 TASE '!J67/1000</f>
        <v>0</v>
      </c>
      <c r="Y38" s="746">
        <f>'3. T3 TASE '!K67/1000</f>
        <v>0</v>
      </c>
      <c r="AA38" s="772" t="str">
        <f>'4. T7 LAINAT '!B19</f>
        <v>Nykyiset osamaksuvelat</v>
      </c>
      <c r="AB38" s="1705">
        <f>'4. T7 LAINAT '!C19/1000</f>
        <v>0</v>
      </c>
      <c r="AC38" s="993">
        <f>'4. T7 LAINAT '!D19</f>
        <v>0</v>
      </c>
      <c r="AD38" s="1706">
        <f>'4. T7 LAINAT '!E19*100</f>
        <v>0</v>
      </c>
      <c r="AE38" s="2250">
        <f>'4. T7 LAINAT '!F19/1000</f>
        <v>0</v>
      </c>
      <c r="AF38" s="2251"/>
      <c r="AG38" s="1707">
        <f>'4. T7 LAINAT '!H19/1000</f>
        <v>0</v>
      </c>
      <c r="AH38" s="2252">
        <f>'4. T7 LAINAT '!I19/1000</f>
        <v>0</v>
      </c>
      <c r="AI38" s="2251"/>
      <c r="AJ38" s="1708">
        <f>'4. T7 LAINAT '!K19/1000</f>
        <v>0</v>
      </c>
      <c r="AK38" s="2250">
        <f>'4. T7 LAINAT '!L19/1000</f>
        <v>0</v>
      </c>
      <c r="AL38" s="2251"/>
      <c r="AM38" s="1707">
        <f>'4. T7 LAINAT '!N19/1000</f>
        <v>0</v>
      </c>
      <c r="AN38" s="2252">
        <f>'4. T7 LAINAT '!O19/1000</f>
        <v>0</v>
      </c>
      <c r="AO38" s="2251"/>
      <c r="AP38" s="1382">
        <f>'4. T7 LAINAT '!Q19/1000</f>
        <v>0</v>
      </c>
    </row>
    <row r="39" spans="1:54" ht="11.25" customHeight="1" x14ac:dyDescent="0.2">
      <c r="A39" s="1565"/>
      <c r="B39" s="1641" t="s">
        <v>116</v>
      </c>
      <c r="C39" s="742" t="s">
        <v>389</v>
      </c>
      <c r="D39" s="736">
        <f>'1. T1 INVESTOINTISUUN.'!D50/1000</f>
        <v>0</v>
      </c>
      <c r="E39" s="736">
        <f>'1. T1 INVESTOINTISUUN.'!E50/1000</f>
        <v>0</v>
      </c>
      <c r="F39" s="736">
        <f>'1. T1 INVESTOINTISUUN.'!F50/1000</f>
        <v>0</v>
      </c>
      <c r="G39" s="736">
        <f>'1. T1 INVESTOINTISUUN.'!G50/1000</f>
        <v>0</v>
      </c>
      <c r="H39" s="1557">
        <f>'1. T1 INVESTOINTISUUN.'!H50/1000</f>
        <v>0</v>
      </c>
      <c r="I39" s="1559"/>
      <c r="J39" s="1636"/>
      <c r="K39" s="1636"/>
      <c r="L39" s="1636"/>
      <c r="M39" s="1636"/>
      <c r="N39" s="1636"/>
      <c r="O39" s="1660"/>
      <c r="Q39" s="738"/>
      <c r="R39" s="790" t="str">
        <f>'3. T3 TASE '!C68</f>
        <v xml:space="preserve">    Pääomalainen akordi</v>
      </c>
      <c r="S39" s="791"/>
      <c r="T39" s="759"/>
      <c r="U39" s="746"/>
      <c r="V39" s="746">
        <f>'3. T3 TASE '!H68/1000</f>
        <v>0</v>
      </c>
      <c r="W39" s="746">
        <f>'3. T3 TASE '!I68/1000</f>
        <v>0</v>
      </c>
      <c r="X39" s="746">
        <f>'3. T3 TASE '!J68/1000</f>
        <v>0</v>
      </c>
      <c r="Y39" s="746">
        <f>'3. T3 TASE '!K68/1000</f>
        <v>0</v>
      </c>
      <c r="AA39" s="906"/>
      <c r="AB39" s="906"/>
      <c r="AC39" s="648"/>
      <c r="AD39" s="648"/>
      <c r="AE39" s="907"/>
      <c r="AF39" s="907"/>
      <c r="AG39" s="907"/>
      <c r="AH39" s="907"/>
      <c r="AI39" s="907"/>
      <c r="AJ39" s="907"/>
      <c r="AK39" s="907"/>
      <c r="AL39" s="907"/>
      <c r="AM39" s="907"/>
      <c r="AN39" s="907"/>
      <c r="AO39" s="907"/>
      <c r="AP39" s="907"/>
    </row>
    <row r="40" spans="1:54" ht="11.25" customHeight="1" x14ac:dyDescent="0.2">
      <c r="A40" s="1565"/>
      <c r="B40" s="1643" t="s">
        <v>275</v>
      </c>
      <c r="C40" s="1446" t="s">
        <v>388</v>
      </c>
      <c r="D40" s="736">
        <f>'1. T1 INVESTOINTISUUN.'!D51/1000</f>
        <v>0</v>
      </c>
      <c r="E40" s="736">
        <f>'1. T1 INVESTOINTISUUN.'!E51/1000</f>
        <v>0</v>
      </c>
      <c r="F40" s="736">
        <f>'1. T1 INVESTOINTISUUN.'!F51/1000</f>
        <v>0</v>
      </c>
      <c r="G40" s="736">
        <f>'1. T1 INVESTOINTISUUN.'!G51/1000</f>
        <v>0</v>
      </c>
      <c r="H40" s="1557">
        <f>'1. T1 INVESTOINTISUUN.'!H51/1000</f>
        <v>0</v>
      </c>
      <c r="I40" s="1560"/>
      <c r="J40" s="1644"/>
      <c r="K40" s="2294"/>
      <c r="L40" s="1645"/>
      <c r="M40" s="1644"/>
      <c r="N40" s="1644"/>
      <c r="O40" s="1661"/>
      <c r="Q40" s="738" t="s">
        <v>0</v>
      </c>
      <c r="R40" s="744" t="s">
        <v>179</v>
      </c>
      <c r="S40" s="761"/>
      <c r="T40" s="759">
        <f>'3. T3 TASE '!F69/1000</f>
        <v>0</v>
      </c>
      <c r="U40" s="746">
        <f>'3. T3 TASE '!G69/1000</f>
        <v>0</v>
      </c>
      <c r="V40" s="746">
        <f>'3. T3 TASE '!H69/1000</f>
        <v>0</v>
      </c>
      <c r="W40" s="746">
        <f>'3. T3 TASE '!I69/1000</f>
        <v>0</v>
      </c>
      <c r="X40" s="746">
        <f>'3. T3 TASE '!J69/1000</f>
        <v>0</v>
      </c>
      <c r="Y40" s="746">
        <f>'3. T3 TASE '!K69/1000</f>
        <v>0</v>
      </c>
      <c r="AA40" s="2256" t="s">
        <v>611</v>
      </c>
      <c r="AB40" s="2222" t="s">
        <v>405</v>
      </c>
      <c r="AC40" s="2222" t="s">
        <v>457</v>
      </c>
      <c r="AD40" s="2258" t="str">
        <f>'4. T7 LAINAT '!E20</f>
        <v>Korko-%</v>
      </c>
      <c r="AE40" s="2225" t="str">
        <f>'4. T7 LAINAT '!F20</f>
        <v>Ennuste 1</v>
      </c>
      <c r="AF40" s="2226"/>
      <c r="AG40" s="2227"/>
      <c r="AH40" s="2195" t="str">
        <f>'4. T7 LAINAT '!I20</f>
        <v>Ennuste 2</v>
      </c>
      <c r="AI40" s="2195"/>
      <c r="AJ40" s="2195"/>
      <c r="AK40" s="2225" t="str">
        <f>'4. T7 LAINAT '!L20</f>
        <v>Ennuste 3</v>
      </c>
      <c r="AL40" s="2226"/>
      <c r="AM40" s="2227"/>
      <c r="AN40" s="2225" t="str">
        <f>'4. T7 LAINAT '!O20</f>
        <v>Ennuste 4</v>
      </c>
      <c r="AO40" s="2226"/>
      <c r="AP40" s="2227"/>
    </row>
    <row r="41" spans="1:54" ht="11.25" customHeight="1" x14ac:dyDescent="0.2">
      <c r="A41" s="1565"/>
      <c r="B41" s="1641" t="s">
        <v>117</v>
      </c>
      <c r="C41" s="742" t="s">
        <v>387</v>
      </c>
      <c r="D41" s="736">
        <f>'1. T1 INVESTOINTISUUN.'!D52/1000</f>
        <v>0</v>
      </c>
      <c r="E41" s="736">
        <f>'1. T1 INVESTOINTISUUN.'!E52/1000</f>
        <v>0</v>
      </c>
      <c r="F41" s="736">
        <f>'1. T1 INVESTOINTISUUN.'!F52/1000</f>
        <v>0</v>
      </c>
      <c r="G41" s="736">
        <f>'1. T1 INVESTOINTISUUN.'!G52/1000</f>
        <v>0</v>
      </c>
      <c r="H41" s="1557">
        <f>'1. T1 INVESTOINTISUUN.'!H52/1000</f>
        <v>0</v>
      </c>
      <c r="I41" s="1561"/>
      <c r="J41" s="1644"/>
      <c r="K41" s="2294"/>
      <c r="L41" s="1645"/>
      <c r="M41" s="2292"/>
      <c r="N41" s="2292"/>
      <c r="O41" s="2293"/>
      <c r="Q41" s="738">
        <v>0</v>
      </c>
      <c r="R41" s="744" t="s">
        <v>180</v>
      </c>
      <c r="S41" s="761"/>
      <c r="T41" s="759">
        <f>'3. T3 TASE '!F72/1000</f>
        <v>0</v>
      </c>
      <c r="U41" s="746">
        <f>'3. T3 TASE '!G72/1000</f>
        <v>0</v>
      </c>
      <c r="V41" s="746">
        <f>'3. T3 TASE '!H72/1000</f>
        <v>0</v>
      </c>
      <c r="W41" s="746">
        <f>'3. T3 TASE '!I72/1000</f>
        <v>0</v>
      </c>
      <c r="X41" s="746">
        <f>'3. T3 TASE '!J72/1000</f>
        <v>0</v>
      </c>
      <c r="Y41" s="746">
        <f>'3. T3 TASE '!K72/1000</f>
        <v>0</v>
      </c>
      <c r="AA41" s="2256"/>
      <c r="AB41" s="2222"/>
      <c r="AC41" s="2222"/>
      <c r="AD41" s="2258"/>
      <c r="AE41" s="2225">
        <f>AE27</f>
        <v>2027</v>
      </c>
      <c r="AF41" s="2226"/>
      <c r="AG41" s="2227"/>
      <c r="AH41" s="2195">
        <f>AH27</f>
        <v>2028</v>
      </c>
      <c r="AI41" s="2195"/>
      <c r="AJ41" s="2195"/>
      <c r="AK41" s="2225">
        <f>AK27</f>
        <v>2029</v>
      </c>
      <c r="AL41" s="2226"/>
      <c r="AM41" s="2227"/>
      <c r="AN41" s="2225">
        <f>AN27</f>
        <v>2030</v>
      </c>
      <c r="AO41" s="2226"/>
      <c r="AP41" s="2227"/>
    </row>
    <row r="42" spans="1:54" ht="11.25" customHeight="1" x14ac:dyDescent="0.2">
      <c r="A42" s="1565"/>
      <c r="B42" s="2295" t="s">
        <v>52</v>
      </c>
      <c r="C42" s="2296"/>
      <c r="D42" s="736"/>
      <c r="E42" s="736"/>
      <c r="F42" s="736"/>
      <c r="G42" s="736"/>
      <c r="H42" s="1557"/>
      <c r="I42" s="1562" t="s">
        <v>607</v>
      </c>
      <c r="J42" s="1646"/>
      <c r="K42" s="1647"/>
      <c r="L42" s="1648"/>
      <c r="M42" s="1649"/>
      <c r="N42" s="1650"/>
      <c r="O42" s="1662"/>
      <c r="Q42" s="757" t="s">
        <v>252</v>
      </c>
      <c r="R42" s="763" t="s">
        <v>178</v>
      </c>
      <c r="S42" s="764"/>
      <c r="T42" s="759">
        <f>'3. T3 TASE '!F73/1000</f>
        <v>0</v>
      </c>
      <c r="U42" s="756">
        <f>'3. T3 TASE '!G73/1000</f>
        <v>0</v>
      </c>
      <c r="V42" s="756">
        <f>'3. T3 TASE '!H73/1000</f>
        <v>0</v>
      </c>
      <c r="W42" s="756">
        <f>'3. T3 TASE '!I73/1000</f>
        <v>0</v>
      </c>
      <c r="X42" s="756">
        <f>'3. T3 TASE '!J73/1000</f>
        <v>0</v>
      </c>
      <c r="Y42" s="756">
        <f>'3. T3 TASE '!K73/1000</f>
        <v>0</v>
      </c>
      <c r="AA42" s="1735" t="str">
        <f>'4. T7 LAINAT '!B22</f>
        <v>Luotonantaja</v>
      </c>
      <c r="AB42" s="2222"/>
      <c r="AC42" s="2222"/>
      <c r="AD42" s="2258"/>
      <c r="AE42" s="1736" t="str">
        <f>'4. T7 LAINAT '!F22</f>
        <v>Nosto</v>
      </c>
      <c r="AF42" s="757" t="s">
        <v>91</v>
      </c>
      <c r="AG42" s="1737" t="str">
        <f>'4. T7 LAINAT '!H22</f>
        <v>Korko</v>
      </c>
      <c r="AH42" s="1736" t="s">
        <v>86</v>
      </c>
      <c r="AI42" s="757" t="s">
        <v>91</v>
      </c>
      <c r="AJ42" s="1737" t="s">
        <v>83</v>
      </c>
      <c r="AK42" s="1736" t="s">
        <v>86</v>
      </c>
      <c r="AL42" s="757" t="s">
        <v>91</v>
      </c>
      <c r="AM42" s="1737" t="s">
        <v>83</v>
      </c>
      <c r="AN42" s="1736" t="s">
        <v>86</v>
      </c>
      <c r="AO42" s="757" t="s">
        <v>91</v>
      </c>
      <c r="AP42" s="1737" t="s">
        <v>83</v>
      </c>
    </row>
    <row r="43" spans="1:54" ht="11.25" customHeight="1" x14ac:dyDescent="0.2">
      <c r="A43" s="1565"/>
      <c r="B43" s="1642" t="s">
        <v>118</v>
      </c>
      <c r="C43" s="741" t="str">
        <f>'1. T1 INVESTOINTISUUN.'!C55</f>
        <v>Pankki, Finnvera, eläkelaina yms.</v>
      </c>
      <c r="D43" s="736">
        <f>'1. T1 INVESTOINTISUUN.'!D55/1000</f>
        <v>0</v>
      </c>
      <c r="E43" s="736">
        <f>'1. T1 INVESTOINTISUUN.'!E55/1000</f>
        <v>0</v>
      </c>
      <c r="F43" s="736">
        <f>'1. T1 INVESTOINTISUUN.'!F55/1000</f>
        <v>0</v>
      </c>
      <c r="G43" s="736">
        <f>'1. T1 INVESTOINTISUUN.'!G55/1000</f>
        <v>0</v>
      </c>
      <c r="H43" s="1557">
        <f>'1. T1 INVESTOINTISUUN.'!H55/1000</f>
        <v>0</v>
      </c>
      <c r="I43" s="1566" t="s">
        <v>0</v>
      </c>
      <c r="J43" s="1646"/>
      <c r="K43" s="1651"/>
      <c r="L43" s="1651"/>
      <c r="M43" s="1650"/>
      <c r="N43" s="1650"/>
      <c r="O43" s="1662"/>
      <c r="Q43" s="738" t="s">
        <v>0</v>
      </c>
      <c r="R43" s="745" t="s">
        <v>166</v>
      </c>
      <c r="S43" s="753"/>
      <c r="T43" s="759">
        <f>'3. T3 TASE '!F74/1000</f>
        <v>0</v>
      </c>
      <c r="U43" s="746">
        <f>'3. T3 TASE '!G74/1000</f>
        <v>0</v>
      </c>
      <c r="V43" s="746">
        <f>'3. T3 TASE '!H74/1000</f>
        <v>0</v>
      </c>
      <c r="W43" s="746">
        <f>'3. T3 TASE '!I74/1000</f>
        <v>0</v>
      </c>
      <c r="X43" s="746">
        <f>'3. T3 TASE '!J74/1000</f>
        <v>0</v>
      </c>
      <c r="Y43" s="746">
        <f>'3. T3 TASE '!K74/1000</f>
        <v>0</v>
      </c>
      <c r="AA43" s="1742" t="str">
        <f>'4. T7 LAINAT '!B23</f>
        <v xml:space="preserve"> 1. vuonna nostettavat lainat</v>
      </c>
      <c r="AB43" s="1743"/>
      <c r="AC43" s="1743"/>
      <c r="AD43" s="1743"/>
      <c r="AE43" s="1744" t="s">
        <v>0</v>
      </c>
      <c r="AF43" s="1744"/>
      <c r="AG43" s="1744"/>
      <c r="AH43" s="1744" t="s">
        <v>0</v>
      </c>
      <c r="AI43" s="1744"/>
      <c r="AJ43" s="1744"/>
      <c r="AK43" s="1744"/>
      <c r="AL43" s="1744"/>
      <c r="AM43" s="1744"/>
      <c r="AN43" s="1744" t="s">
        <v>0</v>
      </c>
      <c r="AO43" s="1744"/>
      <c r="AP43" s="1744"/>
    </row>
    <row r="44" spans="1:54" ht="11.25" customHeight="1" x14ac:dyDescent="0.2">
      <c r="A44" s="1565"/>
      <c r="B44" s="1642" t="s">
        <v>119</v>
      </c>
      <c r="C44" s="743">
        <f>'1. T1 INVESTOINTISUUN.'!C56</f>
        <v>0</v>
      </c>
      <c r="D44" s="736">
        <f>'1. T1 INVESTOINTISUUN.'!D56/1000</f>
        <v>0</v>
      </c>
      <c r="E44" s="736">
        <f>'1. T1 INVESTOINTISUUN.'!E56/1000</f>
        <v>0</v>
      </c>
      <c r="F44" s="736">
        <f>'1. T1 INVESTOINTISUUN.'!F56/1000</f>
        <v>0</v>
      </c>
      <c r="G44" s="736">
        <f>'1. T1 INVESTOINTISUUN.'!G56/1000</f>
        <v>0</v>
      </c>
      <c r="H44" s="1557">
        <f>'1. T1 INVESTOINTISUUN.'!H56/1000</f>
        <v>0</v>
      </c>
      <c r="I44" s="1563"/>
      <c r="J44" s="1650"/>
      <c r="K44" s="1647"/>
      <c r="L44" s="1648"/>
      <c r="M44" s="1649"/>
      <c r="N44" s="1650"/>
      <c r="O44" s="1662"/>
      <c r="Q44" s="738">
        <v>0</v>
      </c>
      <c r="R44" s="745" t="s">
        <v>181</v>
      </c>
      <c r="S44" s="753"/>
      <c r="T44" s="759">
        <f>'3. T3 TASE '!F77/1000</f>
        <v>0</v>
      </c>
      <c r="U44" s="746">
        <f>'3. T3 TASE '!G77/1000</f>
        <v>0</v>
      </c>
      <c r="V44" s="746">
        <f>'3. T3 TASE '!H77/1000</f>
        <v>0</v>
      </c>
      <c r="W44" s="746">
        <f>'3. T3 TASE '!I77/1000</f>
        <v>0</v>
      </c>
      <c r="X44" s="746">
        <f>'3. T3 TASE '!J77/1000</f>
        <v>0</v>
      </c>
      <c r="Y44" s="746">
        <f>'3. T3 TASE '!K77/1000</f>
        <v>0</v>
      </c>
      <c r="AA44" s="771" t="str">
        <f>'4. T7 LAINAT '!B24</f>
        <v xml:space="preserve"> Rahoittaja/rahoitettava kohde</v>
      </c>
      <c r="AB44" s="1738">
        <f>'4. T7 LAINAT '!C24/1000</f>
        <v>0</v>
      </c>
      <c r="AC44" s="1370">
        <f>'4. T7 LAINAT '!D24</f>
        <v>0</v>
      </c>
      <c r="AD44" s="1739">
        <f>'4. T7 LAINAT '!E24*100</f>
        <v>0</v>
      </c>
      <c r="AE44" s="1688">
        <f>'4. T7 LAINAT '!F24/1000</f>
        <v>0</v>
      </c>
      <c r="AF44" s="1371">
        <f>'4. T7 LAINAT '!G24/1000</f>
        <v>0</v>
      </c>
      <c r="AG44" s="1691">
        <f>'4. T7 LAINAT '!H24/1000</f>
        <v>0</v>
      </c>
      <c r="AH44" s="1738"/>
      <c r="AI44" s="1371">
        <f>'4. T7 LAINAT '!J24/1000</f>
        <v>0</v>
      </c>
      <c r="AJ44" s="1740">
        <f>'4. T7 LAINAT '!K24/1000</f>
        <v>0</v>
      </c>
      <c r="AK44" s="1688"/>
      <c r="AL44" s="1371">
        <f>'4. T7 LAINAT '!M24/1000</f>
        <v>0</v>
      </c>
      <c r="AM44" s="1691">
        <f>'4. T7 LAINAT '!N24/1000</f>
        <v>0</v>
      </c>
      <c r="AN44" s="1738"/>
      <c r="AO44" s="1371">
        <f>'4. T7 LAINAT '!P24/1000</f>
        <v>0</v>
      </c>
      <c r="AP44" s="1741">
        <f>'4. T7 LAINAT '!Q24/1000</f>
        <v>0</v>
      </c>
    </row>
    <row r="45" spans="1:54" ht="11.25" customHeight="1" x14ac:dyDescent="0.2">
      <c r="A45" s="1565"/>
      <c r="B45" s="1641" t="s">
        <v>120</v>
      </c>
      <c r="C45" s="743">
        <f>'1. T1 INVESTOINTISUUN.'!C57</f>
        <v>0</v>
      </c>
      <c r="D45" s="736">
        <f>'1. T1 INVESTOINTISUUN.'!D57/1000</f>
        <v>0</v>
      </c>
      <c r="E45" s="736">
        <f>'1. T1 INVESTOINTISUUN.'!E57/1000</f>
        <v>0</v>
      </c>
      <c r="F45" s="736">
        <f>'1. T1 INVESTOINTISUUN.'!F57/1000</f>
        <v>0</v>
      </c>
      <c r="G45" s="736">
        <f>'1. T1 INVESTOINTISUUN.'!G57/1000</f>
        <v>0</v>
      </c>
      <c r="H45" s="1557">
        <f>'1. T1 INVESTOINTISUUN.'!H57/1000</f>
        <v>0</v>
      </c>
      <c r="I45" s="1564"/>
      <c r="J45" s="1650"/>
      <c r="K45" s="1651"/>
      <c r="L45" s="1651"/>
      <c r="M45" s="1650"/>
      <c r="N45" s="1650"/>
      <c r="O45" s="1662"/>
      <c r="Q45" s="738">
        <v>0</v>
      </c>
      <c r="R45" s="745" t="s">
        <v>179</v>
      </c>
      <c r="S45" s="753"/>
      <c r="T45" s="759">
        <f>'3. T3 TASE '!F78/1000</f>
        <v>0</v>
      </c>
      <c r="U45" s="746">
        <f>'3. T3 TASE '!G78/1000</f>
        <v>0</v>
      </c>
      <c r="V45" s="746">
        <f>'3. T3 TASE '!H78/1000</f>
        <v>0</v>
      </c>
      <c r="W45" s="746">
        <f>'3. T3 TASE '!I78/1000</f>
        <v>0</v>
      </c>
      <c r="X45" s="746">
        <f>'3. T3 TASE '!J78/1000</f>
        <v>0</v>
      </c>
      <c r="Y45" s="746">
        <f>'3. T3 TASE '!K78/1000</f>
        <v>0</v>
      </c>
      <c r="AA45" s="790">
        <f>'4. T7 LAINAT '!B25</f>
        <v>0</v>
      </c>
      <c r="AB45" s="1679">
        <f>'4. T7 LAINAT '!C25/1000</f>
        <v>0</v>
      </c>
      <c r="AC45" s="788">
        <f>'4. T7 LAINAT '!D25</f>
        <v>0</v>
      </c>
      <c r="AD45" s="1690">
        <f>'4. T7 LAINAT '!E25*100</f>
        <v>0</v>
      </c>
      <c r="AE45" s="1627">
        <f>'4. T7 LAINAT '!F25/1000</f>
        <v>0</v>
      </c>
      <c r="AF45" s="746">
        <f>'4. T7 LAINAT '!G25/1000</f>
        <v>0</v>
      </c>
      <c r="AG45" s="1629">
        <f>'4. T7 LAINAT '!H25/1000</f>
        <v>0</v>
      </c>
      <c r="AH45" s="1679"/>
      <c r="AI45" s="746">
        <f>'4. T7 LAINAT '!J25/1000</f>
        <v>0</v>
      </c>
      <c r="AJ45" s="1680">
        <f>'4. T7 LAINAT '!K25/1000</f>
        <v>0</v>
      </c>
      <c r="AK45" s="1627"/>
      <c r="AL45" s="746">
        <f>'4. T7 LAINAT '!M25/1000</f>
        <v>0</v>
      </c>
      <c r="AM45" s="1629">
        <f>'4. T7 LAINAT '!N25/1000</f>
        <v>0</v>
      </c>
      <c r="AN45" s="1679"/>
      <c r="AO45" s="746">
        <f>'4. T7 LAINAT '!P25/1000</f>
        <v>0</v>
      </c>
      <c r="AP45" s="1693">
        <f>'4. T7 LAINAT '!Q25/1000</f>
        <v>0</v>
      </c>
    </row>
    <row r="46" spans="1:54" ht="11.25" customHeight="1" x14ac:dyDescent="0.2">
      <c r="A46" s="1565"/>
      <c r="B46" s="1641" t="s">
        <v>121</v>
      </c>
      <c r="C46" s="742" t="s">
        <v>241</v>
      </c>
      <c r="D46" s="736">
        <f>'1. T1 INVESTOINTISUUN.'!D60/1000</f>
        <v>0</v>
      </c>
      <c r="E46" s="736">
        <f>'1. T1 INVESTOINTISUUN.'!E60/1000</f>
        <v>0</v>
      </c>
      <c r="F46" s="736">
        <f>'1. T1 INVESTOINTISUUN.'!F60/1000</f>
        <v>0</v>
      </c>
      <c r="G46" s="736">
        <f>'1. T1 INVESTOINTISUUN.'!G60/1000</f>
        <v>0</v>
      </c>
      <c r="H46" s="1557">
        <f>'1. T1 INVESTOINTISUUN.'!H60/1000</f>
        <v>0</v>
      </c>
      <c r="I46" s="1563"/>
      <c r="J46" s="1650"/>
      <c r="K46" s="1647"/>
      <c r="L46" s="1648"/>
      <c r="M46" s="1649"/>
      <c r="N46" s="1650"/>
      <c r="O46" s="1662"/>
      <c r="R46" s="745" t="s">
        <v>182</v>
      </c>
      <c r="S46" s="753"/>
      <c r="T46" s="759">
        <f>'3. T3 TASE '!F82/1000</f>
        <v>0</v>
      </c>
      <c r="U46" s="746">
        <f>'3. T3 TASE '!G82/1000</f>
        <v>0</v>
      </c>
      <c r="V46" s="746">
        <f>'3. T3 TASE '!H82/1000</f>
        <v>0</v>
      </c>
      <c r="W46" s="746">
        <f>'3. T3 TASE '!I82/1000</f>
        <v>0</v>
      </c>
      <c r="X46" s="746">
        <f>'3. T3 TASE '!J82/1000</f>
        <v>0</v>
      </c>
      <c r="Y46" s="746">
        <f>'3. T3 TASE '!K82/1000</f>
        <v>0</v>
      </c>
      <c r="AA46" s="1687">
        <f>'4. T7 LAINAT '!B26</f>
        <v>0</v>
      </c>
      <c r="AB46" s="1745">
        <f>'4. T7 LAINAT '!C26/1000</f>
        <v>0</v>
      </c>
      <c r="AC46" s="1369">
        <f>'4. T7 LAINAT '!D26</f>
        <v>0</v>
      </c>
      <c r="AD46" s="1746">
        <f>'4. T7 LAINAT '!E26*100</f>
        <v>0</v>
      </c>
      <c r="AE46" s="1689">
        <f>'4. T7 LAINAT '!F26/1000</f>
        <v>0</v>
      </c>
      <c r="AF46" s="795">
        <f>'4. T7 LAINAT '!G26/1000</f>
        <v>0</v>
      </c>
      <c r="AG46" s="1692">
        <f>'4. T7 LAINAT '!H26/1000</f>
        <v>0</v>
      </c>
      <c r="AH46" s="1745"/>
      <c r="AI46" s="795">
        <f>'4. T7 LAINAT '!J26/1000</f>
        <v>0</v>
      </c>
      <c r="AJ46" s="1747">
        <f>'4. T7 LAINAT '!K26/1000</f>
        <v>0</v>
      </c>
      <c r="AK46" s="1689"/>
      <c r="AL46" s="795">
        <f>'4. T7 LAINAT '!M26/1000</f>
        <v>0</v>
      </c>
      <c r="AM46" s="1692">
        <f>'4. T7 LAINAT '!N26/1000</f>
        <v>0</v>
      </c>
      <c r="AN46" s="1745"/>
      <c r="AO46" s="795">
        <f>'4. T7 LAINAT '!P26/1000</f>
        <v>0</v>
      </c>
      <c r="AP46" s="1748">
        <f>'4. T7 LAINAT '!Q26/1000</f>
        <v>0</v>
      </c>
      <c r="AQ46" s="120"/>
      <c r="AR46" s="120"/>
      <c r="AS46" s="120"/>
      <c r="AT46" s="120"/>
      <c r="AU46" s="120"/>
      <c r="AV46" s="120"/>
      <c r="AW46" s="120"/>
      <c r="AX46" s="120"/>
      <c r="AY46" s="120"/>
      <c r="AZ46" s="120"/>
      <c r="BA46" s="120"/>
      <c r="BB46" s="120"/>
    </row>
    <row r="47" spans="1:54" ht="11.25" customHeight="1" x14ac:dyDescent="0.2">
      <c r="A47" s="1565"/>
      <c r="B47" s="1641" t="s">
        <v>122</v>
      </c>
      <c r="C47" s="742" t="s">
        <v>737</v>
      </c>
      <c r="D47" s="736">
        <f>'1. T1 INVESTOINTISUUN.'!D61/1000</f>
        <v>0</v>
      </c>
      <c r="E47" s="736">
        <f>'1. T1 INVESTOINTISUUN.'!E61/1000</f>
        <v>0</v>
      </c>
      <c r="F47" s="736">
        <f>'1. T1 INVESTOINTISUUN.'!F61/1000</f>
        <v>0</v>
      </c>
      <c r="G47" s="736">
        <f>'1. T1 INVESTOINTISUUN.'!G61/1000</f>
        <v>0</v>
      </c>
      <c r="H47" s="1557">
        <f>'1. T1 INVESTOINTISUUN.'!H61/1000</f>
        <v>0</v>
      </c>
      <c r="I47" s="1564"/>
      <c r="J47" s="1650"/>
      <c r="K47" s="1651"/>
      <c r="L47" s="1651"/>
      <c r="M47" s="1650"/>
      <c r="N47" s="1650"/>
      <c r="O47" s="1662"/>
      <c r="R47" s="745" t="s">
        <v>183</v>
      </c>
      <c r="S47" s="753"/>
      <c r="T47" s="759">
        <f>'3. T3 TASE '!F89/1000</f>
        <v>0</v>
      </c>
      <c r="U47" s="746">
        <f>'3. T3 TASE '!G89/1000</f>
        <v>0</v>
      </c>
      <c r="V47" s="746">
        <f>'3. T3 TASE '!H89/1000</f>
        <v>0</v>
      </c>
      <c r="W47" s="746">
        <f>'3. T3 TASE '!I89/1000</f>
        <v>0</v>
      </c>
      <c r="X47" s="746">
        <f>'3. T3 TASE '!J89/1000</f>
        <v>0</v>
      </c>
      <c r="Y47" s="746">
        <f>'3. T3 TASE '!K89/1000</f>
        <v>0</v>
      </c>
      <c r="AA47" s="1742" t="str">
        <f>'4. T7 LAINAT '!B27</f>
        <v xml:space="preserve"> 2. vuonna nostettavat lainat</v>
      </c>
      <c r="AB47" s="1749"/>
      <c r="AC47" s="1750"/>
      <c r="AD47" s="1751"/>
      <c r="AE47" s="1749"/>
      <c r="AF47" s="1749"/>
      <c r="AG47" s="1752"/>
      <c r="AH47" s="1749"/>
      <c r="AI47" s="1749"/>
      <c r="AJ47" s="1749"/>
      <c r="AK47" s="1749"/>
      <c r="AL47" s="1749"/>
      <c r="AM47" s="1749"/>
      <c r="AN47" s="1749"/>
      <c r="AO47" s="1749"/>
      <c r="AP47" s="1751"/>
      <c r="AQ47" s="120"/>
      <c r="AR47" s="120"/>
      <c r="AS47" s="120"/>
      <c r="AT47" s="120"/>
      <c r="AU47" s="120"/>
      <c r="AV47" s="120"/>
      <c r="AW47" s="120"/>
      <c r="AX47" s="120"/>
      <c r="AY47" s="120"/>
      <c r="AZ47" s="120"/>
      <c r="BA47" s="120"/>
      <c r="BB47" s="120"/>
    </row>
    <row r="48" spans="1:54" ht="11.25" customHeight="1" x14ac:dyDescent="0.2">
      <c r="A48" s="1565"/>
      <c r="B48" s="1663" t="s">
        <v>338</v>
      </c>
      <c r="C48" s="1664" t="s">
        <v>242</v>
      </c>
      <c r="D48" s="1760">
        <f>'1. T1 INVESTOINTISUUN.'!D62/1000</f>
        <v>0</v>
      </c>
      <c r="E48" s="1760">
        <f>'1. T1 INVESTOINTISUUN.'!E62/1000</f>
        <v>0</v>
      </c>
      <c r="F48" s="1760">
        <f>'1. T1 INVESTOINTISUUN.'!F62/1000</f>
        <v>0</v>
      </c>
      <c r="G48" s="1760">
        <f>'1. T1 INVESTOINTISUUN.'!G62/1000</f>
        <v>0</v>
      </c>
      <c r="H48" s="1665">
        <f>'1. T1 INVESTOINTISUUN.'!H62/1000</f>
        <v>0</v>
      </c>
      <c r="I48" s="1666"/>
      <c r="J48" s="1667"/>
      <c r="K48" s="1668"/>
      <c r="L48" s="1668"/>
      <c r="M48" s="1667"/>
      <c r="N48" s="1667"/>
      <c r="O48" s="1669"/>
      <c r="Q48" s="738"/>
      <c r="R48" s="745" t="s">
        <v>188</v>
      </c>
      <c r="S48" s="753"/>
      <c r="T48" s="759">
        <f>'3. T3 TASE '!F94/1000</f>
        <v>0</v>
      </c>
      <c r="U48" s="746">
        <f>'3. T3 TASE '!G94/1000</f>
        <v>0</v>
      </c>
      <c r="V48" s="746">
        <f>'3. T3 TASE '!H94/1000</f>
        <v>0</v>
      </c>
      <c r="W48" s="746">
        <f>'3. T3 TASE '!I94/1000</f>
        <v>0</v>
      </c>
      <c r="X48" s="746">
        <f>'3. T3 TASE '!J94/1000</f>
        <v>0</v>
      </c>
      <c r="Y48" s="746">
        <f>'3. T3 TASE '!K94/1000</f>
        <v>0</v>
      </c>
      <c r="AA48" s="771" t="str">
        <f>'4. T7 LAINAT '!B28</f>
        <v xml:space="preserve"> Rahoittaja/rahoitettava kohde</v>
      </c>
      <c r="AB48" s="1738">
        <f>'4. T7 LAINAT '!C28/1000</f>
        <v>0</v>
      </c>
      <c r="AC48" s="1370">
        <f>'4. T7 LAINAT '!D28</f>
        <v>0</v>
      </c>
      <c r="AD48" s="1739">
        <f>'4. T7 LAINAT '!E28*100</f>
        <v>0</v>
      </c>
      <c r="AE48" s="1688"/>
      <c r="AF48" s="1371"/>
      <c r="AG48" s="1691"/>
      <c r="AH48" s="1738">
        <f>'4. T7 LAINAT '!I28/1000</f>
        <v>0</v>
      </c>
      <c r="AI48" s="1371">
        <f>'4. T7 LAINAT '!J28/1000</f>
        <v>0</v>
      </c>
      <c r="AJ48" s="1740">
        <f>'4. T7 LAINAT '!K28/1000</f>
        <v>0</v>
      </c>
      <c r="AK48" s="1688"/>
      <c r="AL48" s="1371">
        <f>'4. T7 LAINAT '!M28/1000</f>
        <v>0</v>
      </c>
      <c r="AM48" s="1691">
        <f>'4. T7 LAINAT '!N28/1000</f>
        <v>0</v>
      </c>
      <c r="AN48" s="1738"/>
      <c r="AO48" s="1371">
        <f>'4. T7 LAINAT '!P28/1000</f>
        <v>0</v>
      </c>
      <c r="AP48" s="1741">
        <f>'4. T7 LAINAT '!Q28/1000</f>
        <v>0</v>
      </c>
      <c r="AQ48" s="120"/>
      <c r="AR48" s="120"/>
      <c r="AS48" s="120"/>
      <c r="AT48" s="120"/>
      <c r="AU48" s="120"/>
      <c r="AV48" s="120"/>
      <c r="AW48" s="120"/>
      <c r="AX48" s="120"/>
      <c r="AY48" s="120"/>
      <c r="AZ48" s="120"/>
      <c r="BA48" s="120"/>
      <c r="BB48" s="120"/>
    </row>
    <row r="49" spans="2:54" ht="10.9" customHeight="1" x14ac:dyDescent="0.2">
      <c r="B49" s="2298" t="s">
        <v>748</v>
      </c>
      <c r="C49" s="2298"/>
      <c r="D49" s="1761">
        <v>0</v>
      </c>
      <c r="E49" s="1761">
        <v>0</v>
      </c>
      <c r="F49" s="1761">
        <v>0</v>
      </c>
      <c r="G49" s="1761">
        <v>0</v>
      </c>
      <c r="Q49" s="738" t="s">
        <v>0</v>
      </c>
      <c r="R49" s="2254" t="s">
        <v>197</v>
      </c>
      <c r="S49" s="2255"/>
      <c r="T49" s="758">
        <f>'3. T3 TASE '!F96/1000</f>
        <v>0</v>
      </c>
      <c r="U49" s="756">
        <f>'3. T3 TASE '!G96/1000</f>
        <v>0</v>
      </c>
      <c r="V49" s="756">
        <f>'3. T3 TASE '!H96/1000</f>
        <v>0</v>
      </c>
      <c r="W49" s="756">
        <f>'3. T3 TASE '!I96/1000</f>
        <v>0</v>
      </c>
      <c r="X49" s="756">
        <f>'3. T3 TASE '!J96/1000</f>
        <v>0</v>
      </c>
      <c r="Y49" s="756">
        <f>'3. T3 TASE '!K96/1000</f>
        <v>0</v>
      </c>
      <c r="AA49" s="790">
        <f>'4. T7 LAINAT '!B29</f>
        <v>0</v>
      </c>
      <c r="AB49" s="1679">
        <f>'4. T7 LAINAT '!C29/1000</f>
        <v>0</v>
      </c>
      <c r="AC49" s="788">
        <f>'4. T7 LAINAT '!D29</f>
        <v>0</v>
      </c>
      <c r="AD49" s="1690">
        <f>'4. T7 LAINAT '!E29*100</f>
        <v>0</v>
      </c>
      <c r="AE49" s="1627"/>
      <c r="AF49" s="746"/>
      <c r="AG49" s="1629"/>
      <c r="AH49" s="1679">
        <f>'4. T7 LAINAT '!I29/1000</f>
        <v>0</v>
      </c>
      <c r="AI49" s="746">
        <f>'4. T7 LAINAT '!J29/1000</f>
        <v>0</v>
      </c>
      <c r="AJ49" s="1680">
        <f>'4. T7 LAINAT '!K29/1000</f>
        <v>0</v>
      </c>
      <c r="AK49" s="1627"/>
      <c r="AL49" s="746">
        <f>'4. T7 LAINAT '!M29/1000</f>
        <v>0</v>
      </c>
      <c r="AM49" s="1629">
        <f>'4. T7 LAINAT '!N29/1000</f>
        <v>0</v>
      </c>
      <c r="AN49" s="1679"/>
      <c r="AO49" s="746">
        <f>'4. T7 LAINAT '!P29/1000</f>
        <v>0</v>
      </c>
      <c r="AP49" s="1693">
        <f>'4. T7 LAINAT '!Q29/1000</f>
        <v>0</v>
      </c>
      <c r="AQ49" s="120"/>
      <c r="AR49" s="120"/>
      <c r="AS49" s="120"/>
      <c r="AT49" s="120"/>
      <c r="AU49" s="120"/>
      <c r="AV49" s="120"/>
      <c r="AW49" s="120"/>
      <c r="AX49" s="120"/>
      <c r="AY49" s="120"/>
      <c r="AZ49" s="120"/>
      <c r="BA49" s="120"/>
      <c r="BB49" s="120"/>
    </row>
    <row r="50" spans="2:54" ht="11.25" customHeight="1" x14ac:dyDescent="0.2">
      <c r="Q50" s="792" t="s">
        <v>255</v>
      </c>
      <c r="R50" s="792"/>
      <c r="S50" s="792"/>
      <c r="T50" s="793"/>
      <c r="U50" s="793"/>
      <c r="V50" s="757"/>
      <c r="W50" s="757"/>
      <c r="X50" s="757"/>
      <c r="Y50" s="757"/>
      <c r="AA50" s="1687">
        <f>'4. T7 LAINAT '!B30</f>
        <v>0</v>
      </c>
      <c r="AB50" s="1745">
        <f>'4. T7 LAINAT '!C30/1000</f>
        <v>0</v>
      </c>
      <c r="AC50" s="1369">
        <f>'4. T7 LAINAT '!D30</f>
        <v>0</v>
      </c>
      <c r="AD50" s="1746">
        <f>'4. T7 LAINAT '!E30*100</f>
        <v>0</v>
      </c>
      <c r="AE50" s="1689"/>
      <c r="AF50" s="795"/>
      <c r="AG50" s="1692"/>
      <c r="AH50" s="1745">
        <f>'4. T7 LAINAT '!I30/1000</f>
        <v>0</v>
      </c>
      <c r="AI50" s="795">
        <f>'4. T7 LAINAT '!J30/1000</f>
        <v>0</v>
      </c>
      <c r="AJ50" s="1747">
        <f>'4. T7 LAINAT '!K30/1000</f>
        <v>0</v>
      </c>
      <c r="AK50" s="1689"/>
      <c r="AL50" s="795">
        <f>'4. T7 LAINAT '!M30/1000</f>
        <v>0</v>
      </c>
      <c r="AM50" s="1692">
        <f>'4. T7 LAINAT '!N30/1000</f>
        <v>0</v>
      </c>
      <c r="AN50" s="1745"/>
      <c r="AO50" s="795">
        <f>'4. T7 LAINAT '!P30/1000</f>
        <v>0</v>
      </c>
      <c r="AP50" s="1748">
        <f>'4. T7 LAINAT '!Q30/1000</f>
        <v>0</v>
      </c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</row>
    <row r="51" spans="2:54" ht="11.25" customHeight="1" x14ac:dyDescent="0.2">
      <c r="B51" s="2253" t="s">
        <v>333</v>
      </c>
      <c r="C51" s="2253"/>
      <c r="D51" s="2279" t="s">
        <v>64</v>
      </c>
      <c r="E51" s="2279"/>
      <c r="F51" s="2279" t="s">
        <v>64</v>
      </c>
      <c r="G51" s="2279"/>
      <c r="H51" s="2279" t="s">
        <v>67</v>
      </c>
      <c r="I51" s="2279"/>
      <c r="J51" s="2279" t="s">
        <v>55</v>
      </c>
      <c r="K51" s="2279"/>
      <c r="L51" s="2279" t="s">
        <v>57</v>
      </c>
      <c r="M51" s="2279"/>
      <c r="N51" s="2279" t="s">
        <v>195</v>
      </c>
      <c r="O51" s="2279"/>
      <c r="Q51" s="2215" t="s">
        <v>431</v>
      </c>
      <c r="R51" s="2215"/>
      <c r="S51" s="2215"/>
      <c r="T51" s="1177"/>
      <c r="U51" s="1177"/>
      <c r="V51" s="1172" t="str">
        <f t="shared" ref="V51:Y52" si="2">V5</f>
        <v>Ennuste 1</v>
      </c>
      <c r="W51" s="1172" t="str">
        <f t="shared" si="2"/>
        <v>Ennuste 2</v>
      </c>
      <c r="X51" s="1172" t="str">
        <f t="shared" si="2"/>
        <v>Ennuste 3</v>
      </c>
      <c r="Y51" s="1172" t="str">
        <f t="shared" si="2"/>
        <v>Ennuste 4</v>
      </c>
      <c r="AA51" s="1742" t="str">
        <f>'4. T7 LAINAT '!B31</f>
        <v xml:space="preserve"> 3. vuonna nostettavat lainat</v>
      </c>
      <c r="AB51" s="1749"/>
      <c r="AC51" s="1750"/>
      <c r="AD51" s="1751"/>
      <c r="AE51" s="1749"/>
      <c r="AF51" s="1749"/>
      <c r="AG51" s="1752"/>
      <c r="AH51" s="1749"/>
      <c r="AI51" s="1749"/>
      <c r="AJ51" s="1752"/>
      <c r="AK51" s="1749"/>
      <c r="AL51" s="1749"/>
      <c r="AM51" s="1749"/>
      <c r="AN51" s="1749"/>
      <c r="AO51" s="1749"/>
      <c r="AP51" s="1751"/>
      <c r="AQ51" s="120"/>
      <c r="AR51" s="120"/>
      <c r="AS51" s="120"/>
      <c r="AT51" s="120"/>
      <c r="AU51" s="120"/>
      <c r="AV51" s="120"/>
      <c r="AW51" s="120"/>
      <c r="AX51" s="120"/>
      <c r="AY51" s="120"/>
      <c r="AZ51" s="120"/>
      <c r="BA51" s="120"/>
      <c r="BB51" s="120"/>
    </row>
    <row r="52" spans="2:54" ht="12" customHeight="1" x14ac:dyDescent="0.2">
      <c r="B52" s="2253"/>
      <c r="C52" s="2253"/>
      <c r="D52" s="2279">
        <f>'2. &amp; 7. T2 TULOSSUUN. '!E8</f>
        <v>2024</v>
      </c>
      <c r="E52" s="2279"/>
      <c r="F52" s="2279">
        <f>'2. &amp; 7. T2 TULOSSUUN. '!G8</f>
        <v>2025</v>
      </c>
      <c r="G52" s="2279"/>
      <c r="H52" s="2297">
        <f>'2. &amp; 7. T2 TULOSSUUN. '!I8</f>
        <v>2027</v>
      </c>
      <c r="I52" s="2297"/>
      <c r="J52" s="2279">
        <f>'2. &amp; 7. T2 TULOSSUUN. '!K8</f>
        <v>2028</v>
      </c>
      <c r="K52" s="2279"/>
      <c r="L52" s="2279">
        <f>'2. &amp; 7. T2 TULOSSUUN. '!M8</f>
        <v>2029</v>
      </c>
      <c r="M52" s="2279"/>
      <c r="N52" s="2279">
        <f>'2. &amp; 7. T2 TULOSSUUN. '!O8</f>
        <v>2030</v>
      </c>
      <c r="O52" s="2279"/>
      <c r="Q52" s="2215"/>
      <c r="R52" s="2215"/>
      <c r="S52" s="2215"/>
      <c r="T52" s="1086"/>
      <c r="U52" s="1086"/>
      <c r="V52" s="1176">
        <f t="shared" si="2"/>
        <v>2027</v>
      </c>
      <c r="W52" s="1176">
        <f t="shared" si="2"/>
        <v>2028</v>
      </c>
      <c r="X52" s="1176">
        <f t="shared" si="2"/>
        <v>2029</v>
      </c>
      <c r="Y52" s="1176">
        <f t="shared" si="2"/>
        <v>2030</v>
      </c>
      <c r="AA52" s="771" t="str">
        <f>'4. T7 LAINAT '!B32</f>
        <v xml:space="preserve"> Rahoittaja/rahoitettava kohde</v>
      </c>
      <c r="AB52" s="1738">
        <f>'4. T7 LAINAT '!C32/1000</f>
        <v>0</v>
      </c>
      <c r="AC52" s="1370">
        <f>'4. T7 LAINAT '!D32</f>
        <v>0</v>
      </c>
      <c r="AD52" s="1739">
        <f>'4. T7 LAINAT '!E32*100</f>
        <v>0</v>
      </c>
      <c r="AE52" s="1688"/>
      <c r="AF52" s="1371"/>
      <c r="AG52" s="1691"/>
      <c r="AH52" s="1738"/>
      <c r="AI52" s="1371"/>
      <c r="AJ52" s="1740"/>
      <c r="AK52" s="1688">
        <f>'4. T7 LAINAT '!L32/1000</f>
        <v>0</v>
      </c>
      <c r="AL52" s="1371">
        <f>'4. T7 LAINAT '!M32/1000</f>
        <v>0</v>
      </c>
      <c r="AM52" s="1691">
        <f>'4. T7 LAINAT '!N32/1000</f>
        <v>0</v>
      </c>
      <c r="AN52" s="1738"/>
      <c r="AO52" s="1371">
        <f>'4. T7 LAINAT '!P32/1000</f>
        <v>0</v>
      </c>
      <c r="AP52" s="1741">
        <f>'4. T7 LAINAT '!Q32/1000</f>
        <v>0</v>
      </c>
      <c r="AQ52" s="120"/>
      <c r="AR52" s="120"/>
      <c r="AS52" s="120"/>
      <c r="AT52" s="120"/>
      <c r="AU52" s="120"/>
      <c r="AV52" s="120"/>
      <c r="AW52" s="120"/>
      <c r="AX52" s="120"/>
      <c r="AY52" s="120"/>
      <c r="AZ52" s="120"/>
      <c r="BA52" s="120"/>
      <c r="BB52" s="120"/>
    </row>
    <row r="53" spans="2:54" ht="11.25" customHeight="1" x14ac:dyDescent="0.2">
      <c r="B53" s="2253"/>
      <c r="C53" s="2253"/>
      <c r="D53" s="1173" t="s">
        <v>328</v>
      </c>
      <c r="E53" s="1174" t="s">
        <v>14</v>
      </c>
      <c r="F53" s="1173" t="s">
        <v>328</v>
      </c>
      <c r="G53" s="1174" t="s">
        <v>14</v>
      </c>
      <c r="H53" s="1173" t="s">
        <v>328</v>
      </c>
      <c r="I53" s="1174" t="s">
        <v>14</v>
      </c>
      <c r="J53" s="1173" t="s">
        <v>328</v>
      </c>
      <c r="K53" s="1174" t="s">
        <v>14</v>
      </c>
      <c r="L53" s="1173" t="s">
        <v>328</v>
      </c>
      <c r="M53" s="1174" t="s">
        <v>14</v>
      </c>
      <c r="N53" s="1173" t="s">
        <v>328</v>
      </c>
      <c r="O53" s="1638" t="s">
        <v>14</v>
      </c>
      <c r="Q53" s="718" t="s">
        <v>259</v>
      </c>
      <c r="R53" s="648"/>
      <c r="S53" s="648"/>
      <c r="T53" s="737"/>
      <c r="U53" s="358"/>
      <c r="V53" s="765"/>
      <c r="W53" s="765"/>
      <c r="X53" s="765"/>
      <c r="Y53" s="765"/>
      <c r="AA53" s="790">
        <f>'4. T7 LAINAT '!B33</f>
        <v>0</v>
      </c>
      <c r="AB53" s="1679">
        <f>'4. T7 LAINAT '!C33/1000</f>
        <v>0</v>
      </c>
      <c r="AC53" s="788">
        <f>'4. T7 LAINAT '!D33</f>
        <v>0</v>
      </c>
      <c r="AD53" s="1690">
        <f>'4. T7 LAINAT '!E33*100</f>
        <v>0</v>
      </c>
      <c r="AE53" s="1627"/>
      <c r="AF53" s="746"/>
      <c r="AG53" s="1629"/>
      <c r="AH53" s="1679"/>
      <c r="AI53" s="746"/>
      <c r="AJ53" s="1680"/>
      <c r="AK53" s="1627">
        <f>'4. T7 LAINAT '!L33/1000</f>
        <v>0</v>
      </c>
      <c r="AL53" s="746">
        <f>'4. T7 LAINAT '!M33/1000</f>
        <v>0</v>
      </c>
      <c r="AM53" s="1629">
        <f>'4. T7 LAINAT '!N33/1000</f>
        <v>0</v>
      </c>
      <c r="AN53" s="1679"/>
      <c r="AO53" s="746">
        <f>'4. T7 LAINAT '!P33/1000</f>
        <v>0</v>
      </c>
      <c r="AP53" s="1693">
        <f>'4. T7 LAINAT '!Q33/1000</f>
        <v>0</v>
      </c>
      <c r="AQ53" s="120"/>
      <c r="AR53" s="120"/>
      <c r="AS53" s="120"/>
      <c r="AT53" s="120"/>
      <c r="AU53" s="120"/>
      <c r="AV53" s="120"/>
      <c r="AW53" s="120"/>
      <c r="AX53" s="120"/>
      <c r="AY53" s="120"/>
      <c r="AZ53" s="120"/>
      <c r="BA53" s="120"/>
      <c r="BB53" s="120"/>
    </row>
    <row r="54" spans="2:54" ht="12" customHeight="1" x14ac:dyDescent="0.2">
      <c r="B54" s="1652"/>
      <c r="C54" s="1653" t="s">
        <v>299</v>
      </c>
      <c r="D54" s="1438">
        <f>'2. &amp; 7. T2 TULOSSUUN. '!E10</f>
        <v>12</v>
      </c>
      <c r="E54" s="1439"/>
      <c r="F54" s="1438" t="str">
        <f>'2. &amp; 7. T2 TULOSSUUN. '!G10</f>
        <v>12</v>
      </c>
      <c r="G54" s="1439"/>
      <c r="H54" s="1438">
        <f>'2. &amp; 7. T2 TULOSSUUN. '!I10</f>
        <v>12</v>
      </c>
      <c r="I54" s="1439"/>
      <c r="J54" s="1438" t="str">
        <f>'2. &amp; 7. T2 TULOSSUUN. '!K10</f>
        <v>12</v>
      </c>
      <c r="K54" s="1439"/>
      <c r="L54" s="1438" t="str">
        <f>'2. &amp; 7. T2 TULOSSUUN. '!M10</f>
        <v>12</v>
      </c>
      <c r="M54" s="1439"/>
      <c r="N54" s="1438" t="str">
        <f>'2. &amp; 7. T2 TULOSSUUN. '!O10</f>
        <v>12</v>
      </c>
      <c r="O54" s="1654"/>
      <c r="Q54" s="738"/>
      <c r="R54" s="771" t="s">
        <v>433</v>
      </c>
      <c r="S54" s="771"/>
      <c r="T54" s="771"/>
      <c r="U54" s="761"/>
      <c r="V54" s="746">
        <f>'8. T4 RAHOITUSSUUN. '!H15/1000</f>
        <v>0</v>
      </c>
      <c r="W54" s="746">
        <f>'8. T4 RAHOITUSSUUN. '!I15/1000</f>
        <v>0</v>
      </c>
      <c r="X54" s="746">
        <f>'8. T4 RAHOITUSSUUN. '!J15/1000</f>
        <v>0</v>
      </c>
      <c r="Y54" s="746">
        <f>'8. T4 RAHOITUSSUUN. '!K15/1000</f>
        <v>0</v>
      </c>
      <c r="AA54" s="1687">
        <f>'4. T7 LAINAT '!B34</f>
        <v>0</v>
      </c>
      <c r="AB54" s="1745">
        <f>'4. T7 LAINAT '!C34/1000</f>
        <v>0</v>
      </c>
      <c r="AC54" s="1369">
        <f>'4. T7 LAINAT '!D34</f>
        <v>0</v>
      </c>
      <c r="AD54" s="1746">
        <f>'4. T7 LAINAT '!E34*100</f>
        <v>0</v>
      </c>
      <c r="AE54" s="1689"/>
      <c r="AF54" s="795"/>
      <c r="AG54" s="1692"/>
      <c r="AH54" s="1745"/>
      <c r="AI54" s="795"/>
      <c r="AJ54" s="1747"/>
      <c r="AK54" s="1689">
        <f>'4. T7 LAINAT '!L34/1000</f>
        <v>0</v>
      </c>
      <c r="AL54" s="795">
        <f>'4. T7 LAINAT '!M34/1000</f>
        <v>0</v>
      </c>
      <c r="AM54" s="1692">
        <f>'4. T7 LAINAT '!N34/1000</f>
        <v>0</v>
      </c>
      <c r="AN54" s="1745"/>
      <c r="AO54" s="795">
        <f>'4. T7 LAINAT '!P34/1000</f>
        <v>0</v>
      </c>
      <c r="AP54" s="1748">
        <f>'4. T7 LAINAT '!Q34/1000</f>
        <v>0</v>
      </c>
      <c r="AQ54" s="120"/>
      <c r="AR54" s="120"/>
      <c r="AS54" s="120"/>
      <c r="AT54" s="120"/>
      <c r="AU54" s="120"/>
      <c r="AV54" s="120"/>
      <c r="AW54" s="120"/>
      <c r="AX54" s="120"/>
      <c r="AY54" s="120"/>
      <c r="AZ54" s="120"/>
      <c r="BA54" s="120"/>
      <c r="BB54" s="120"/>
    </row>
    <row r="55" spans="2:54" ht="11.25" customHeight="1" x14ac:dyDescent="0.2">
      <c r="B55" s="1639" t="s">
        <v>2</v>
      </c>
      <c r="C55" s="752" t="s">
        <v>37</v>
      </c>
      <c r="D55" s="756">
        <f>'2. &amp; 7. T2 TULOSSUUN. '!E11/1000</f>
        <v>0</v>
      </c>
      <c r="E55" s="749">
        <v>0</v>
      </c>
      <c r="F55" s="756">
        <f>'2. &amp; 7. T2 TULOSSUUN. '!G11/1000</f>
        <v>0</v>
      </c>
      <c r="G55" s="749">
        <v>0</v>
      </c>
      <c r="H55" s="756">
        <f>'2. &amp; 7. T2 TULOSSUUN. '!I11/1000</f>
        <v>0</v>
      </c>
      <c r="I55" s="749">
        <v>0</v>
      </c>
      <c r="J55" s="756">
        <f>'2. &amp; 7. T2 TULOSSUUN. '!K11/1000</f>
        <v>0</v>
      </c>
      <c r="K55" s="749">
        <v>0</v>
      </c>
      <c r="L55" s="756">
        <f>'2. &amp; 7. T2 TULOSSUUN. '!M11/1000</f>
        <v>0</v>
      </c>
      <c r="M55" s="749">
        <v>0</v>
      </c>
      <c r="N55" s="756">
        <f>'2. &amp; 7. T2 TULOSSUUN. '!O11/1000</f>
        <v>0</v>
      </c>
      <c r="O55" s="1655">
        <v>0</v>
      </c>
      <c r="Q55" s="738"/>
      <c r="R55" s="790" t="s">
        <v>434</v>
      </c>
      <c r="S55" s="790"/>
      <c r="T55" s="790"/>
      <c r="U55" s="753"/>
      <c r="V55" s="746">
        <f>'8. T4 RAHOITUSSUUN. '!H16/1000</f>
        <v>0</v>
      </c>
      <c r="W55" s="746">
        <f>'8. T4 RAHOITUSSUUN. '!I16/1000</f>
        <v>0</v>
      </c>
      <c r="X55" s="746">
        <f>'8. T4 RAHOITUSSUUN. '!J16/1000</f>
        <v>0</v>
      </c>
      <c r="Y55" s="746">
        <f>'8. T4 RAHOITUSSUUN. '!K16/1000</f>
        <v>0</v>
      </c>
      <c r="AA55" s="1742" t="str">
        <f>'4. T7 LAINAT '!B35</f>
        <v xml:space="preserve"> 4. vuonna nostettavat lainat</v>
      </c>
      <c r="AB55" s="1749"/>
      <c r="AC55" s="1750"/>
      <c r="AD55" s="1751"/>
      <c r="AE55" s="1749"/>
      <c r="AF55" s="1749"/>
      <c r="AG55" s="1752"/>
      <c r="AH55" s="1749"/>
      <c r="AI55" s="1749"/>
      <c r="AJ55" s="1752"/>
      <c r="AK55" s="1749"/>
      <c r="AL55" s="1749"/>
      <c r="AM55" s="1752"/>
      <c r="AN55" s="1749"/>
      <c r="AO55" s="1749"/>
      <c r="AP55" s="1751"/>
      <c r="AQ55" s="120"/>
      <c r="AR55" s="120"/>
      <c r="AS55" s="120"/>
      <c r="AT55" s="120"/>
      <c r="AU55" s="120"/>
      <c r="AV55" s="120"/>
      <c r="AW55" s="120"/>
      <c r="AX55" s="120"/>
      <c r="AY55" s="120"/>
      <c r="AZ55" s="120"/>
      <c r="BA55" s="120"/>
      <c r="BB55" s="120"/>
    </row>
    <row r="56" spans="2:54" ht="11.25" customHeight="1" x14ac:dyDescent="0.2">
      <c r="B56" s="1640" t="s">
        <v>3</v>
      </c>
      <c r="C56" s="753" t="s">
        <v>38</v>
      </c>
      <c r="D56" s="746">
        <f>'2. &amp; 7. T2 TULOSSUUN. '!E12/1000</f>
        <v>0</v>
      </c>
      <c r="E56" s="750">
        <v>0</v>
      </c>
      <c r="F56" s="746">
        <f>'2. &amp; 7. T2 TULOSSUUN. '!G12/1000</f>
        <v>0</v>
      </c>
      <c r="G56" s="750">
        <v>0</v>
      </c>
      <c r="H56" s="746">
        <f>'2. &amp; 7. T2 TULOSSUUN. '!I12/1000</f>
        <v>0</v>
      </c>
      <c r="I56" s="750"/>
      <c r="J56" s="746">
        <f>'2. &amp; 7. T2 TULOSSUUN. '!K12/1000</f>
        <v>0</v>
      </c>
      <c r="K56" s="750"/>
      <c r="L56" s="746">
        <f>'2. &amp; 7. T2 TULOSSUUN. '!M12/1000</f>
        <v>0</v>
      </c>
      <c r="M56" s="750"/>
      <c r="N56" s="746">
        <f>'2. &amp; 7. T2 TULOSSUUN. '!O12/1000</f>
        <v>0</v>
      </c>
      <c r="O56" s="1656"/>
      <c r="Q56" s="738"/>
      <c r="R56" s="790" t="s">
        <v>435</v>
      </c>
      <c r="S56" s="790"/>
      <c r="T56" s="790"/>
      <c r="U56" s="753"/>
      <c r="V56" s="746">
        <f>'8. T4 RAHOITUSSUUN. '!H17/1000</f>
        <v>0</v>
      </c>
      <c r="W56" s="746">
        <f>'8. T4 RAHOITUSSUUN. '!I17/1000</f>
        <v>0</v>
      </c>
      <c r="X56" s="746">
        <f>'8. T4 RAHOITUSSUUN. '!J17/1000</f>
        <v>0</v>
      </c>
      <c r="Y56" s="746">
        <f>'8. T4 RAHOITUSSUUN. '!K17/1000</f>
        <v>0</v>
      </c>
      <c r="AA56" s="771" t="str">
        <f>'4. T7 LAINAT '!B36</f>
        <v xml:space="preserve"> Rahoittaja/rahoitettava kohde</v>
      </c>
      <c r="AB56" s="1738">
        <f>'4. T7 LAINAT '!C36/1000</f>
        <v>0</v>
      </c>
      <c r="AC56" s="1370">
        <f>'4. T7 LAINAT '!D36</f>
        <v>0</v>
      </c>
      <c r="AD56" s="1739">
        <f>'4. T7 LAINAT '!E36*100</f>
        <v>0</v>
      </c>
      <c r="AE56" s="1688"/>
      <c r="AF56" s="1371"/>
      <c r="AG56" s="1691"/>
      <c r="AH56" s="1738"/>
      <c r="AI56" s="1371"/>
      <c r="AJ56" s="1740"/>
      <c r="AK56" s="1688"/>
      <c r="AL56" s="1371"/>
      <c r="AM56" s="1691"/>
      <c r="AN56" s="1738">
        <f>'4. T7 LAINAT '!O36/1000</f>
        <v>0</v>
      </c>
      <c r="AO56" s="1371">
        <f>'4. T7 LAINAT '!P36/1000</f>
        <v>0</v>
      </c>
      <c r="AP56" s="1741">
        <f>'4. T7 LAINAT '!Q36/1000</f>
        <v>0</v>
      </c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</row>
    <row r="57" spans="2:54" ht="11.25" customHeight="1" x14ac:dyDescent="0.2">
      <c r="B57" s="1640" t="s">
        <v>4</v>
      </c>
      <c r="C57" s="753" t="s">
        <v>320</v>
      </c>
      <c r="D57" s="746">
        <f>'2. &amp; 7. T2 TULOSSUUN. '!E13/1000</f>
        <v>0</v>
      </c>
      <c r="E57" s="750"/>
      <c r="F57" s="746">
        <f>'2. &amp; 7. T2 TULOSSUUN. '!G13/1000</f>
        <v>0</v>
      </c>
      <c r="G57" s="750"/>
      <c r="H57" s="746">
        <f>'2. &amp; 7. T2 TULOSSUUN. '!I13/1000</f>
        <v>0</v>
      </c>
      <c r="I57" s="750"/>
      <c r="J57" s="746">
        <f>'2. &amp; 7. T2 TULOSSUUN. '!K13/1000</f>
        <v>0</v>
      </c>
      <c r="K57" s="750"/>
      <c r="L57" s="746">
        <f>'2. &amp; 7. T2 TULOSSUUN. '!M13/1000</f>
        <v>0</v>
      </c>
      <c r="M57" s="750"/>
      <c r="N57" s="746">
        <f>'2. &amp; 7. T2 TULOSSUUN. '!O13/1000</f>
        <v>0</v>
      </c>
      <c r="O57" s="1656"/>
      <c r="Q57" s="738"/>
      <c r="R57" s="2190" t="s">
        <v>436</v>
      </c>
      <c r="S57" s="2190"/>
      <c r="T57" s="2190"/>
      <c r="U57" s="2191"/>
      <c r="V57" s="746">
        <f>'8. T4 RAHOITUSSUUN. '!H18/1000</f>
        <v>0</v>
      </c>
      <c r="W57" s="746">
        <f>'8. T4 RAHOITUSSUUN. '!I18/1000</f>
        <v>0</v>
      </c>
      <c r="X57" s="746">
        <f>'8. T4 RAHOITUSSUUN. '!J18/1000</f>
        <v>0</v>
      </c>
      <c r="Y57" s="746">
        <f>'8. T4 RAHOITUSSUUN. '!K18/1000</f>
        <v>0</v>
      </c>
      <c r="AA57" s="790">
        <f>'4. T7 LAINAT '!B37</f>
        <v>0</v>
      </c>
      <c r="AB57" s="1679">
        <f>'4. T7 LAINAT '!C37/1000</f>
        <v>0</v>
      </c>
      <c r="AC57" s="788">
        <f>'4. T7 LAINAT '!D37</f>
        <v>0</v>
      </c>
      <c r="AD57" s="1690">
        <f>'4. T7 LAINAT '!E37*100</f>
        <v>0</v>
      </c>
      <c r="AE57" s="1627"/>
      <c r="AF57" s="746"/>
      <c r="AG57" s="1629"/>
      <c r="AH57" s="1679"/>
      <c r="AI57" s="746"/>
      <c r="AJ57" s="1680"/>
      <c r="AK57" s="1627"/>
      <c r="AL57" s="746"/>
      <c r="AM57" s="1629"/>
      <c r="AN57" s="1679">
        <f>'4. T7 LAINAT '!O37/1000</f>
        <v>0</v>
      </c>
      <c r="AO57" s="746">
        <f>'4. T7 LAINAT '!P37/1000</f>
        <v>0</v>
      </c>
      <c r="AP57" s="1693">
        <f>'4. T7 LAINAT '!Q37/1000</f>
        <v>0</v>
      </c>
      <c r="AQ57" s="120"/>
      <c r="AR57" s="120"/>
      <c r="AS57" s="120"/>
      <c r="AT57" s="120"/>
      <c r="AU57" s="120"/>
      <c r="AV57" s="120"/>
      <c r="AW57" s="120"/>
      <c r="AX57" s="120"/>
      <c r="AY57" s="120"/>
      <c r="AZ57" s="120"/>
      <c r="BA57" s="120"/>
      <c r="BB57" s="120"/>
    </row>
    <row r="58" spans="2:54" ht="11.25" customHeight="1" thickBot="1" x14ac:dyDescent="0.25">
      <c r="B58" s="1640" t="s">
        <v>5</v>
      </c>
      <c r="C58" s="754" t="s">
        <v>42</v>
      </c>
      <c r="D58" s="756">
        <f>'2. &amp; 7. T2 TULOSSUUN. '!E14/1000</f>
        <v>0</v>
      </c>
      <c r="E58" s="751">
        <v>100</v>
      </c>
      <c r="F58" s="756">
        <f>'2. &amp; 7. T2 TULOSSUUN. '!G14/1000</f>
        <v>0</v>
      </c>
      <c r="G58" s="751">
        <v>100</v>
      </c>
      <c r="H58" s="756">
        <f>'2. &amp; 7. T2 TULOSSUUN. '!I14/1000</f>
        <v>0</v>
      </c>
      <c r="I58" s="751">
        <v>100</v>
      </c>
      <c r="J58" s="756">
        <f>'2. &amp; 7. T2 TULOSSUUN. '!K14/1000</f>
        <v>0</v>
      </c>
      <c r="K58" s="751">
        <v>100</v>
      </c>
      <c r="L58" s="756">
        <f>'2. &amp; 7. T2 TULOSSUUN. '!M14/1000</f>
        <v>0</v>
      </c>
      <c r="M58" s="751">
        <v>100</v>
      </c>
      <c r="N58" s="756">
        <f>'2. &amp; 7. T2 TULOSSUUN. '!O14/1000</f>
        <v>0</v>
      </c>
      <c r="O58" s="1657">
        <v>100</v>
      </c>
      <c r="Q58" s="738"/>
      <c r="R58" s="2190" t="s">
        <v>437</v>
      </c>
      <c r="S58" s="2190"/>
      <c r="T58" s="2190"/>
      <c r="U58" s="2191"/>
      <c r="V58" s="746">
        <f>'8. T4 RAHOITUSSUUN. '!H19/1000</f>
        <v>0</v>
      </c>
      <c r="W58" s="746">
        <f>'8. T4 RAHOITUSSUUN. '!I19/1000</f>
        <v>0</v>
      </c>
      <c r="X58" s="746">
        <f>'8. T4 RAHOITUSSUUN. '!J19/1000</f>
        <v>0</v>
      </c>
      <c r="Y58" s="746">
        <f>'8. T4 RAHOITUSSUUN. '!K19/1000</f>
        <v>0</v>
      </c>
      <c r="AA58" s="1381">
        <f>'4. T7 LAINAT '!B38</f>
        <v>0</v>
      </c>
      <c r="AB58" s="1681">
        <f>'4. T7 LAINAT '!C38/1000</f>
        <v>0</v>
      </c>
      <c r="AC58" s="1071">
        <f>'4. T7 LAINAT '!D38</f>
        <v>0</v>
      </c>
      <c r="AD58" s="1694">
        <f>'4. T7 LAINAT '!E38*100</f>
        <v>0</v>
      </c>
      <c r="AE58" s="1628"/>
      <c r="AF58" s="1072"/>
      <c r="AG58" s="1677"/>
      <c r="AH58" s="1681"/>
      <c r="AI58" s="1072"/>
      <c r="AJ58" s="1682"/>
      <c r="AK58" s="1628"/>
      <c r="AL58" s="1072"/>
      <c r="AM58" s="1677"/>
      <c r="AN58" s="1681">
        <f>'4. T7 LAINAT '!O38/1000</f>
        <v>0</v>
      </c>
      <c r="AO58" s="1072">
        <f>'4. T7 LAINAT '!P38/1000</f>
        <v>0</v>
      </c>
      <c r="AP58" s="1695">
        <f>'4. T7 LAINAT '!Q38/1000</f>
        <v>0</v>
      </c>
      <c r="AQ58" s="120"/>
      <c r="AR58" s="120"/>
      <c r="AS58" s="120"/>
      <c r="AT58" s="120"/>
      <c r="AU58" s="120"/>
      <c r="AV58" s="120"/>
      <c r="AW58" s="120"/>
      <c r="AX58" s="120"/>
      <c r="AY58" s="120"/>
      <c r="AZ58" s="120"/>
      <c r="BA58" s="120"/>
      <c r="BB58" s="120"/>
    </row>
    <row r="59" spans="2:54" ht="11.25" customHeight="1" thickTop="1" x14ac:dyDescent="0.2">
      <c r="B59" s="1640" t="s">
        <v>6</v>
      </c>
      <c r="C59" s="753" t="s">
        <v>39</v>
      </c>
      <c r="D59" s="746">
        <f>'2. &amp; 7. T2 TULOSSUUN. '!E15/1000</f>
        <v>0</v>
      </c>
      <c r="E59" s="750">
        <f>'2. &amp; 7. T2 TULOSSUUN. '!F15</f>
        <v>0</v>
      </c>
      <c r="F59" s="746">
        <f>'2. &amp; 7. T2 TULOSSUUN. '!G15/1000</f>
        <v>0</v>
      </c>
      <c r="G59" s="750">
        <f>'2. &amp; 7. T2 TULOSSUUN. '!H15</f>
        <v>0</v>
      </c>
      <c r="H59" s="746">
        <f>'2. &amp; 7. T2 TULOSSUUN. '!I15/1000</f>
        <v>0</v>
      </c>
      <c r="I59" s="750">
        <f>'2. &amp; 7. T2 TULOSSUUN. '!J15</f>
        <v>0</v>
      </c>
      <c r="J59" s="746">
        <f>'2. &amp; 7. T2 TULOSSUUN. '!K15/1000</f>
        <v>0</v>
      </c>
      <c r="K59" s="750">
        <f>'2. &amp; 7. T2 TULOSSUUN. '!L15</f>
        <v>0</v>
      </c>
      <c r="L59" s="746">
        <f>'2. &amp; 7. T2 TULOSSUUN. '!M15/1000</f>
        <v>0</v>
      </c>
      <c r="M59" s="750">
        <f>'2. &amp; 7. T2 TULOSSUUN. '!N15</f>
        <v>0</v>
      </c>
      <c r="N59" s="746">
        <f>'2. &amp; 7. T2 TULOSSUUN. '!O15/1000</f>
        <v>0</v>
      </c>
      <c r="O59" s="1656">
        <f>'2. &amp; 7. T2 TULOSSUUN. '!P15</f>
        <v>0</v>
      </c>
      <c r="Q59" s="738"/>
      <c r="R59" s="2192" t="s">
        <v>738</v>
      </c>
      <c r="S59" s="2192"/>
      <c r="T59" s="2192"/>
      <c r="U59" s="2193"/>
      <c r="V59" s="746">
        <f>'8. T4 RAHOITUSSUUN. '!H20/1000</f>
        <v>0</v>
      </c>
      <c r="W59" s="746">
        <f>'8. T4 RAHOITUSSUUN. '!I20/1000</f>
        <v>0</v>
      </c>
      <c r="X59" s="746">
        <f>'8. T4 RAHOITUSSUUN. '!J20/1000</f>
        <v>0</v>
      </c>
      <c r="Y59" s="746">
        <f>'8. T4 RAHOITUSSUUN. '!K20/1000</f>
        <v>0</v>
      </c>
      <c r="AA59" s="1696" t="str">
        <f>'4. T7 LAINAT '!B39</f>
        <v xml:space="preserve"> Uudet lainat yhteensä</v>
      </c>
      <c r="AB59" s="1698">
        <f>SUM(AB44:AB58)</f>
        <v>0</v>
      </c>
      <c r="AC59" s="1699">
        <v>0</v>
      </c>
      <c r="AD59" s="1700">
        <v>0</v>
      </c>
      <c r="AE59" s="1697">
        <f t="shared" ref="AE59:AM59" si="3">SUM(AE44:AE58)</f>
        <v>0</v>
      </c>
      <c r="AF59" s="1241">
        <f t="shared" si="3"/>
        <v>0</v>
      </c>
      <c r="AG59" s="1701">
        <f t="shared" si="3"/>
        <v>0</v>
      </c>
      <c r="AH59" s="1698">
        <f t="shared" si="3"/>
        <v>0</v>
      </c>
      <c r="AI59" s="1702">
        <f t="shared" si="3"/>
        <v>0</v>
      </c>
      <c r="AJ59" s="1703">
        <f t="shared" si="3"/>
        <v>0</v>
      </c>
      <c r="AK59" s="1697">
        <f t="shared" si="3"/>
        <v>0</v>
      </c>
      <c r="AL59" s="1241">
        <f t="shared" si="3"/>
        <v>0</v>
      </c>
      <c r="AM59" s="1701">
        <f t="shared" si="3"/>
        <v>0</v>
      </c>
      <c r="AN59" s="1698">
        <f>SUM(AN44:AN58)</f>
        <v>0</v>
      </c>
      <c r="AO59" s="1702">
        <f>SUM(AO44:AO58)</f>
        <v>0</v>
      </c>
      <c r="AP59" s="1704">
        <f>SUM(AP44:AP58)</f>
        <v>0</v>
      </c>
      <c r="AQ59" s="120"/>
      <c r="AR59" s="120"/>
      <c r="AS59" s="120"/>
      <c r="AT59" s="120"/>
      <c r="AU59" s="120"/>
      <c r="AV59" s="120"/>
      <c r="AW59" s="120"/>
      <c r="AX59" s="120"/>
      <c r="AY59" s="120"/>
      <c r="AZ59" s="120"/>
      <c r="BA59" s="120"/>
      <c r="BB59" s="120"/>
    </row>
    <row r="60" spans="2:54" ht="11.25" customHeight="1" x14ac:dyDescent="0.2">
      <c r="B60" s="1640" t="s">
        <v>7</v>
      </c>
      <c r="C60" s="753" t="s">
        <v>40</v>
      </c>
      <c r="D60" s="746">
        <f>'2. &amp; 7. T2 TULOSSUUN. '!E16/1000</f>
        <v>0</v>
      </c>
      <c r="E60" s="750">
        <f>'2. &amp; 7. T2 TULOSSUUN. '!F16</f>
        <v>0</v>
      </c>
      <c r="F60" s="746">
        <f>'2. &amp; 7. T2 TULOSSUUN. '!G16/1000</f>
        <v>0</v>
      </c>
      <c r="G60" s="750">
        <f>'2. &amp; 7. T2 TULOSSUUN. '!H16</f>
        <v>0</v>
      </c>
      <c r="H60" s="746">
        <f>'2. &amp; 7. T2 TULOSSUUN. '!I16/1000</f>
        <v>0</v>
      </c>
      <c r="I60" s="750">
        <f>'2. &amp; 7. T2 TULOSSUUN. '!J16</f>
        <v>0</v>
      </c>
      <c r="J60" s="746">
        <f>'2. &amp; 7. T2 TULOSSUUN. '!K16/1000</f>
        <v>0</v>
      </c>
      <c r="K60" s="750">
        <f>'2. &amp; 7. T2 TULOSSUUN. '!L16</f>
        <v>0</v>
      </c>
      <c r="L60" s="746">
        <f>'2. &amp; 7. T2 TULOSSUUN. '!M16/1000</f>
        <v>0</v>
      </c>
      <c r="M60" s="750">
        <f>'2. &amp; 7. T2 TULOSSUUN. '!N16</f>
        <v>0</v>
      </c>
      <c r="N60" s="746">
        <f>'2. &amp; 7. T2 TULOSSUUN. '!O16/1000</f>
        <v>0</v>
      </c>
      <c r="O60" s="1656">
        <f>'2. &amp; 7. T2 TULOSSUUN. '!P16</f>
        <v>0</v>
      </c>
      <c r="Q60" s="757"/>
      <c r="R60" s="772" t="s">
        <v>438</v>
      </c>
      <c r="S60" s="772"/>
      <c r="T60" s="773"/>
      <c r="U60" s="754"/>
      <c r="V60" s="756">
        <f>'8. T4 RAHOITUSSUUN. '!H21/1000</f>
        <v>0</v>
      </c>
      <c r="W60" s="756">
        <f>'8. T4 RAHOITUSSUUN. '!I21/1000</f>
        <v>0</v>
      </c>
      <c r="X60" s="756">
        <f>'8. T4 RAHOITUSSUUN. '!J21/1000</f>
        <v>0</v>
      </c>
      <c r="Y60" s="756">
        <f>'8. T4 RAHOITUSSUUN. '!K21/1000</f>
        <v>0</v>
      </c>
      <c r="AA60" s="737"/>
      <c r="AB60" s="647"/>
      <c r="AC60" s="648"/>
      <c r="AD60" s="648"/>
      <c r="AE60" s="649"/>
      <c r="AF60" s="649"/>
      <c r="AG60" s="649"/>
      <c r="AH60" s="649"/>
      <c r="AI60" s="649"/>
      <c r="AJ60" s="649"/>
      <c r="AK60" s="649"/>
      <c r="AL60" s="649"/>
      <c r="AM60" s="649"/>
      <c r="AN60" s="649"/>
      <c r="AO60" s="649"/>
      <c r="AP60" s="649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20"/>
    </row>
    <row r="61" spans="2:54" ht="11.25" customHeight="1" x14ac:dyDescent="0.2">
      <c r="B61" s="1640" t="s">
        <v>8</v>
      </c>
      <c r="C61" s="753" t="s">
        <v>13</v>
      </c>
      <c r="D61" s="746">
        <f>'2. &amp; 7. T2 TULOSSUUN. '!E17/1000</f>
        <v>0</v>
      </c>
      <c r="E61" s="750">
        <f>'2. &amp; 7. T2 TULOSSUUN. '!F17</f>
        <v>0</v>
      </c>
      <c r="F61" s="746">
        <f>'2. &amp; 7. T2 TULOSSUUN. '!G17/1000</f>
        <v>0</v>
      </c>
      <c r="G61" s="750">
        <f>'2. &amp; 7. T2 TULOSSUUN. '!H17</f>
        <v>0</v>
      </c>
      <c r="H61" s="746">
        <f>'2. &amp; 7. T2 TULOSSUUN. '!I17/1000</f>
        <v>0</v>
      </c>
      <c r="I61" s="750">
        <f>'2. &amp; 7. T2 TULOSSUUN. '!J17</f>
        <v>0</v>
      </c>
      <c r="J61" s="746">
        <f>'2. &amp; 7. T2 TULOSSUUN. '!K17/1000</f>
        <v>0</v>
      </c>
      <c r="K61" s="750">
        <f>'2. &amp; 7. T2 TULOSSUUN. '!L17</f>
        <v>0</v>
      </c>
      <c r="L61" s="746">
        <f>'2. &amp; 7. T2 TULOSSUUN. '!M17/1000</f>
        <v>0</v>
      </c>
      <c r="M61" s="750">
        <f>'2. &amp; 7. T2 TULOSSUUN. '!N17</f>
        <v>0</v>
      </c>
      <c r="N61" s="746">
        <f>'2. &amp; 7. T2 TULOSSUUN. '!O17/1000</f>
        <v>0</v>
      </c>
      <c r="O61" s="1656">
        <f>'2. &amp; 7. T2 TULOSSUUN. '!P17</f>
        <v>0</v>
      </c>
      <c r="Q61" s="718" t="s">
        <v>258</v>
      </c>
      <c r="R61" s="648"/>
      <c r="S61" s="648"/>
      <c r="T61" s="737"/>
      <c r="U61" s="737"/>
      <c r="V61" s="766"/>
      <c r="W61" s="766"/>
      <c r="X61" s="766"/>
      <c r="Y61" s="766"/>
      <c r="AA61" s="2233" t="str">
        <f>'4. T7 LAINAT '!B40</f>
        <v xml:space="preserve"> UUDET OSAMAKSUVELAT</v>
      </c>
      <c r="AB61" s="2228" t="s">
        <v>405</v>
      </c>
      <c r="AC61" s="2228" t="s">
        <v>455</v>
      </c>
      <c r="AD61" s="2228" t="s">
        <v>80</v>
      </c>
      <c r="AE61" s="2229">
        <f>AE41</f>
        <v>2027</v>
      </c>
      <c r="AF61" s="2226"/>
      <c r="AG61" s="2230"/>
      <c r="AH61" s="2226">
        <f>AH41</f>
        <v>2028</v>
      </c>
      <c r="AI61" s="2226"/>
      <c r="AJ61" s="2226"/>
      <c r="AK61" s="2229">
        <f>AK41</f>
        <v>2029</v>
      </c>
      <c r="AL61" s="2226"/>
      <c r="AM61" s="2230"/>
      <c r="AN61" s="2226">
        <f>AN41</f>
        <v>2030</v>
      </c>
      <c r="AO61" s="2226"/>
      <c r="AP61" s="2226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20"/>
    </row>
    <row r="62" spans="2:54" ht="11.25" customHeight="1" x14ac:dyDescent="0.2">
      <c r="B62" s="1640" t="s">
        <v>9</v>
      </c>
      <c r="C62" s="791" t="s">
        <v>41</v>
      </c>
      <c r="D62" s="746">
        <f>'2. &amp; 7. T2 TULOSSUUN. '!E18/1000</f>
        <v>0</v>
      </c>
      <c r="E62" s="750">
        <f>'2. &amp; 7. T2 TULOSSUUN. '!F18</f>
        <v>0</v>
      </c>
      <c r="F62" s="746">
        <f>'2. &amp; 7. T2 TULOSSUUN. '!G18/1000</f>
        <v>0</v>
      </c>
      <c r="G62" s="750">
        <f>'2. &amp; 7. T2 TULOSSUUN. '!H18</f>
        <v>0</v>
      </c>
      <c r="H62" s="746">
        <f>'2. &amp; 7. T2 TULOSSUUN. '!I18/1000</f>
        <v>0</v>
      </c>
      <c r="I62" s="750">
        <f>'2. &amp; 7. T2 TULOSSUUN. '!J18</f>
        <v>0</v>
      </c>
      <c r="J62" s="746">
        <f>'2. &amp; 7. T2 TULOSSUUN. '!K18/1000</f>
        <v>0</v>
      </c>
      <c r="K62" s="750">
        <f>'2. &amp; 7. T2 TULOSSUUN. '!L18</f>
        <v>0</v>
      </c>
      <c r="L62" s="746">
        <f>'2. &amp; 7. T2 TULOSSUUN. '!M18/1000</f>
        <v>0</v>
      </c>
      <c r="M62" s="750">
        <f>'2. &amp; 7. T2 TULOSSUUN. '!N18</f>
        <v>0</v>
      </c>
      <c r="N62" s="746">
        <f>'2. &amp; 7. T2 TULOSSUUN. '!O18/1000</f>
        <v>0</v>
      </c>
      <c r="O62" s="1656">
        <f>'2. &amp; 7. T2 TULOSSUUN. '!P18</f>
        <v>0</v>
      </c>
      <c r="Q62" s="738"/>
      <c r="R62" s="2208" t="s">
        <v>439</v>
      </c>
      <c r="S62" s="2208"/>
      <c r="T62" s="2208"/>
      <c r="U62" s="2209"/>
      <c r="V62" s="746">
        <f>('8. T4 RAHOITUSSUUN. '!H24+'8. T4 RAHOITUSSUUN. '!H25+'8. T4 RAHOITUSSUUN. '!H26+'8. T4 RAHOITUSSUUN. '!H27)/1000</f>
        <v>0</v>
      </c>
      <c r="W62" s="746">
        <f>('8. T4 RAHOITUSSUUN. '!I24+'8. T4 RAHOITUSSUUN. '!I25+'8. T4 RAHOITUSSUUN. '!I26+'8. T4 RAHOITUSSUUN. '!I27)/1000</f>
        <v>0</v>
      </c>
      <c r="X62" s="746">
        <f>('8. T4 RAHOITUSSUUN. '!J24+'8. T4 RAHOITUSSUUN. '!J25+'8. T4 RAHOITUSSUUN. '!J26+'8. T4 RAHOITUSSUUN. '!J27)/1000</f>
        <v>0</v>
      </c>
      <c r="Y62" s="746">
        <f>('8. T4 RAHOITUSSUUN. '!K24+'8. T4 RAHOITUSSUUN. '!K25+'8. T4 RAHOITUSSUUN. '!K26+'8. T4 RAHOITUSSUUN. '!K27)/1000</f>
        <v>0</v>
      </c>
      <c r="AA62" s="2233"/>
      <c r="AB62" s="2228"/>
      <c r="AC62" s="2228"/>
      <c r="AD62" s="2228"/>
      <c r="AE62" s="1714" t="s">
        <v>86</v>
      </c>
      <c r="AF62" s="1178" t="s">
        <v>91</v>
      </c>
      <c r="AG62" s="1715" t="s">
        <v>83</v>
      </c>
      <c r="AH62" s="1178" t="s">
        <v>86</v>
      </c>
      <c r="AI62" s="1178" t="s">
        <v>91</v>
      </c>
      <c r="AJ62" s="1178" t="s">
        <v>83</v>
      </c>
      <c r="AK62" s="1718" t="s">
        <v>86</v>
      </c>
      <c r="AL62" s="1178" t="s">
        <v>91</v>
      </c>
      <c r="AM62" s="1715" t="s">
        <v>83</v>
      </c>
      <c r="AN62" s="1179" t="s">
        <v>86</v>
      </c>
      <c r="AO62" s="1179" t="s">
        <v>91</v>
      </c>
      <c r="AP62" s="1180" t="s">
        <v>83</v>
      </c>
      <c r="AQ62" s="120"/>
      <c r="AR62" s="120"/>
      <c r="AS62" s="120"/>
      <c r="AT62" s="120"/>
      <c r="AU62" s="120"/>
      <c r="AV62" s="120"/>
      <c r="AW62" s="120"/>
      <c r="AX62" s="120"/>
      <c r="AY62" s="120"/>
      <c r="AZ62" s="120"/>
      <c r="BA62" s="120"/>
      <c r="BB62" s="120"/>
    </row>
    <row r="63" spans="2:54" ht="11.25" customHeight="1" x14ac:dyDescent="0.2">
      <c r="B63" s="1640" t="s">
        <v>10</v>
      </c>
      <c r="C63" s="791" t="s">
        <v>625</v>
      </c>
      <c r="D63" s="746">
        <f>'2. &amp; 7. T2 TULOSSUUN. '!E19/1000</f>
        <v>0</v>
      </c>
      <c r="E63" s="750">
        <f>'2. &amp; 7. T2 TULOSSUUN. '!F19</f>
        <v>0</v>
      </c>
      <c r="F63" s="746">
        <f>'2. &amp; 7. T2 TULOSSUUN. '!G19/1000</f>
        <v>0</v>
      </c>
      <c r="G63" s="750">
        <f>'2. &amp; 7. T2 TULOSSUUN. '!H19</f>
        <v>0</v>
      </c>
      <c r="H63" s="746">
        <f>'2. &amp; 7. T2 TULOSSUUN. '!I19/1000</f>
        <v>0</v>
      </c>
      <c r="I63" s="750">
        <f>'2. &amp; 7. T2 TULOSSUUN. '!J19</f>
        <v>0</v>
      </c>
      <c r="J63" s="746">
        <f>'2. &amp; 7. T2 TULOSSUUN. '!K19/1000</f>
        <v>0</v>
      </c>
      <c r="K63" s="750">
        <f>'2. &amp; 7. T2 TULOSSUUN. '!L19</f>
        <v>0</v>
      </c>
      <c r="L63" s="746">
        <f>'2. &amp; 7. T2 TULOSSUUN. '!M19/1000</f>
        <v>0</v>
      </c>
      <c r="M63" s="750">
        <f>'2. &amp; 7. T2 TULOSSUUN. '!N19</f>
        <v>0</v>
      </c>
      <c r="N63" s="746">
        <f>'2. &amp; 7. T2 TULOSSUUN. '!O19/1000</f>
        <v>0</v>
      </c>
      <c r="O63" s="1656">
        <f>'2. &amp; 7. T2 TULOSSUUN. '!P19</f>
        <v>0</v>
      </c>
      <c r="Q63" s="738"/>
      <c r="R63" s="2190" t="s">
        <v>440</v>
      </c>
      <c r="S63" s="2190"/>
      <c r="T63" s="2190"/>
      <c r="U63" s="2191"/>
      <c r="V63" s="746">
        <f>'8. T4 RAHOITUSSUUN. '!H28/1000</f>
        <v>0</v>
      </c>
      <c r="W63" s="746">
        <f>'8. T4 RAHOITUSSUUN. '!I28/1000</f>
        <v>0</v>
      </c>
      <c r="X63" s="746">
        <f>'8. T4 RAHOITUSSUUN. '!J28/1000</f>
        <v>0</v>
      </c>
      <c r="Y63" s="746">
        <f>'8. T4 RAHOITUSSUUN. '!K28/1000</f>
        <v>0</v>
      </c>
      <c r="AA63" s="1684" t="str">
        <f>'4. T7 LAINAT '!B41</f>
        <v xml:space="preserve"> Rahoittaja/rahoitettava kohde 1. vuosi</v>
      </c>
      <c r="AB63" s="1238">
        <f>'4. T7 LAINAT '!C41/1000</f>
        <v>0</v>
      </c>
      <c r="AC63" s="787">
        <f>'4. T7 LAINAT '!D41</f>
        <v>0</v>
      </c>
      <c r="AD63" s="1675">
        <f>'4. T7 LAINAT '!E41*100</f>
        <v>0</v>
      </c>
      <c r="AE63" s="1716">
        <f>'4. T7 LAINAT '!F41/1000</f>
        <v>0</v>
      </c>
      <c r="AF63" s="746">
        <f>'4. T7 LAINAT '!G41/1000</f>
        <v>0</v>
      </c>
      <c r="AG63" s="1680">
        <f>'4. T7 LAINAT '!H41/1000</f>
        <v>0</v>
      </c>
      <c r="AH63" s="1238"/>
      <c r="AI63" s="746">
        <f>'4. T7 LAINAT '!J41/1000</f>
        <v>0</v>
      </c>
      <c r="AJ63" s="1629">
        <f>'4. T7 LAINAT '!K41/1000</f>
        <v>0</v>
      </c>
      <c r="AK63" s="1716"/>
      <c r="AL63" s="746">
        <f>'4. T7 LAINAT '!M41/1000</f>
        <v>0</v>
      </c>
      <c r="AM63" s="1680">
        <f>'4. T7 LAINAT '!N41/1000</f>
        <v>0</v>
      </c>
      <c r="AN63" s="1238"/>
      <c r="AO63" s="746">
        <f>'4. T7 LAINAT '!P41/1000</f>
        <v>0</v>
      </c>
      <c r="AP63" s="746">
        <f>'4. T7 LAINAT '!Q41/1000</f>
        <v>0</v>
      </c>
      <c r="AQ63" s="69"/>
      <c r="AT63" s="914"/>
      <c r="AU63" s="914"/>
      <c r="AV63" s="914"/>
      <c r="AW63" s="914"/>
      <c r="AX63" s="914"/>
      <c r="AY63" s="914"/>
      <c r="AZ63" s="914"/>
      <c r="BB63" s="144"/>
    </row>
    <row r="64" spans="2:54" ht="11.25" customHeight="1" x14ac:dyDescent="0.2">
      <c r="B64" s="1640" t="s">
        <v>11</v>
      </c>
      <c r="C64" s="755" t="s">
        <v>43</v>
      </c>
      <c r="D64" s="756">
        <f>'2. &amp; 7. T2 TULOSSUUN. '!E20/1000</f>
        <v>0</v>
      </c>
      <c r="E64" s="1182">
        <f>'2. &amp; 7. T2 TULOSSUUN. '!F20</f>
        <v>0</v>
      </c>
      <c r="F64" s="756">
        <f>'2. &amp; 7. T2 TULOSSUUN. '!G20/1000</f>
        <v>0</v>
      </c>
      <c r="G64" s="1182">
        <f>'2. &amp; 7. T2 TULOSSUUN. '!H20</f>
        <v>0</v>
      </c>
      <c r="H64" s="756">
        <f>'2. &amp; 7. T2 TULOSSUUN. '!I20/1000</f>
        <v>0</v>
      </c>
      <c r="I64" s="1182">
        <f>'2. &amp; 7. T2 TULOSSUUN. '!J20</f>
        <v>0</v>
      </c>
      <c r="J64" s="756">
        <f>'2. &amp; 7. T2 TULOSSUUN. '!K20/1000</f>
        <v>0</v>
      </c>
      <c r="K64" s="1182">
        <f>'2. &amp; 7. T2 TULOSSUUN. '!L20</f>
        <v>0</v>
      </c>
      <c r="L64" s="756">
        <f>'2. &amp; 7. T2 TULOSSUUN. '!M20/1000</f>
        <v>0</v>
      </c>
      <c r="M64" s="1182">
        <f>'2. &amp; 7. T2 TULOSSUUN. '!N20</f>
        <v>0</v>
      </c>
      <c r="N64" s="756">
        <f>'2. &amp; 7. T2 TULOSSUUN. '!O20/1000</f>
        <v>0</v>
      </c>
      <c r="O64" s="1658">
        <f>'2. &amp; 7. T2 TULOSSUUN. '!P20</f>
        <v>0</v>
      </c>
      <c r="Q64" s="738"/>
      <c r="R64" s="2190" t="s">
        <v>441</v>
      </c>
      <c r="S64" s="2190"/>
      <c r="T64" s="2190"/>
      <c r="U64" s="2191"/>
      <c r="V64" s="746">
        <f>'8. T4 RAHOITUSSUUN. '!H29/1000</f>
        <v>0</v>
      </c>
      <c r="W64" s="746">
        <f>'8. T4 RAHOITUSSUUN. '!I29/1000</f>
        <v>0</v>
      </c>
      <c r="X64" s="746">
        <f>'8. T4 RAHOITUSSUUN. '!J29/1000</f>
        <v>0</v>
      </c>
      <c r="Y64" s="746">
        <f>'8. T4 RAHOITUSSUUN. '!K29/1000</f>
        <v>0</v>
      </c>
      <c r="AA64" s="1685" t="str">
        <f>'4. T7 LAINAT '!B42</f>
        <v xml:space="preserve"> Rahoittaja/rahoitettava kohde 2. vuosi</v>
      </c>
      <c r="AB64" s="1238">
        <f>'4. T7 LAINAT '!C42/1000</f>
        <v>0</v>
      </c>
      <c r="AC64" s="787">
        <f>'4. T7 LAINAT '!D42</f>
        <v>0</v>
      </c>
      <c r="AD64" s="1675">
        <f>'4. T7 LAINAT '!E42*100</f>
        <v>0</v>
      </c>
      <c r="AE64" s="1716"/>
      <c r="AF64" s="746"/>
      <c r="AG64" s="1680"/>
      <c r="AH64" s="1238">
        <f>'4. T7 LAINAT '!I42/1000</f>
        <v>0</v>
      </c>
      <c r="AI64" s="746">
        <f>'4. T7 LAINAT '!J42/1000</f>
        <v>0</v>
      </c>
      <c r="AJ64" s="1629">
        <f>'4. T7 LAINAT '!K42/1000</f>
        <v>0</v>
      </c>
      <c r="AK64" s="1716"/>
      <c r="AL64" s="746">
        <f>'4. T7 LAINAT '!M42/1000</f>
        <v>0</v>
      </c>
      <c r="AM64" s="1680">
        <f>'4. T7 LAINAT '!N42/1000</f>
        <v>0</v>
      </c>
      <c r="AN64" s="1238"/>
      <c r="AO64" s="746">
        <f>'4. T7 LAINAT '!P42/1000</f>
        <v>0</v>
      </c>
      <c r="AP64" s="746">
        <f>'4. T7 LAINAT '!Q42/1000</f>
        <v>0</v>
      </c>
    </row>
    <row r="65" spans="2:61" ht="11.25" customHeight="1" x14ac:dyDescent="0.2">
      <c r="B65" s="1640" t="s">
        <v>115</v>
      </c>
      <c r="C65" s="791" t="s">
        <v>271</v>
      </c>
      <c r="D65" s="746">
        <f>'2. &amp; 7. T2 TULOSSUUN. '!E21/1000</f>
        <v>0</v>
      </c>
      <c r="E65" s="750">
        <f>'2. &amp; 7. T2 TULOSSUUN. '!F21</f>
        <v>0</v>
      </c>
      <c r="F65" s="746">
        <f>'2. &amp; 7. T2 TULOSSUUN. '!G21/1000</f>
        <v>0</v>
      </c>
      <c r="G65" s="750">
        <f>'2. &amp; 7. T2 TULOSSUUN. '!H21</f>
        <v>0</v>
      </c>
      <c r="H65" s="746">
        <f>'2. &amp; 7. T2 TULOSSUUN. '!I21/1000</f>
        <v>0</v>
      </c>
      <c r="I65" s="750">
        <f>'2. &amp; 7. T2 TULOSSUUN. '!J21</f>
        <v>0</v>
      </c>
      <c r="J65" s="746">
        <f>'2. &amp; 7. T2 TULOSSUUN. '!K21/1000</f>
        <v>0</v>
      </c>
      <c r="K65" s="750">
        <f>'2. &amp; 7. T2 TULOSSUUN. '!L21</f>
        <v>0</v>
      </c>
      <c r="L65" s="746">
        <f>'2. &amp; 7. T2 TULOSSUUN. '!M21/1000</f>
        <v>0</v>
      </c>
      <c r="M65" s="750">
        <f>'2. &amp; 7. T2 TULOSSUUN. '!N21</f>
        <v>0</v>
      </c>
      <c r="N65" s="746">
        <f>'2. &amp; 7. T2 TULOSSUUN. '!O21/1000</f>
        <v>0</v>
      </c>
      <c r="O65" s="1656">
        <f>'2. &amp; 7. T2 TULOSSUUN. '!P21</f>
        <v>0</v>
      </c>
      <c r="Q65" s="738"/>
      <c r="R65" s="2192" t="s">
        <v>442</v>
      </c>
      <c r="S65" s="2192"/>
      <c r="T65" s="2192"/>
      <c r="U65" s="2193"/>
      <c r="V65" s="746">
        <f>'8. T4 RAHOITUSSUUN. '!H30/1000</f>
        <v>0</v>
      </c>
      <c r="W65" s="746">
        <f>'8. T4 RAHOITUSSUUN. '!I30/1000</f>
        <v>0</v>
      </c>
      <c r="X65" s="746">
        <f>'8. T4 RAHOITUSSUUN. '!J30/1000</f>
        <v>0</v>
      </c>
      <c r="Y65" s="746">
        <f>'8. T4 RAHOITUSSUUN. '!K30/1000</f>
        <v>0</v>
      </c>
      <c r="AA65" s="1712" t="str">
        <f>'4. T7 LAINAT '!B43</f>
        <v xml:space="preserve"> Rahoittaja/rahoitettava kohde 3. vuosi</v>
      </c>
      <c r="AB65" s="1238">
        <f>'4. T7 LAINAT '!C43/1000</f>
        <v>0</v>
      </c>
      <c r="AC65" s="787">
        <f>'4. T7 LAINAT '!D43</f>
        <v>0</v>
      </c>
      <c r="AD65" s="1675">
        <f>'4. T7 LAINAT '!E43*100</f>
        <v>0</v>
      </c>
      <c r="AE65" s="1716"/>
      <c r="AF65" s="746"/>
      <c r="AG65" s="1680"/>
      <c r="AH65" s="1238"/>
      <c r="AI65" s="746"/>
      <c r="AJ65" s="1629"/>
      <c r="AK65" s="1716">
        <f>'4. T7 LAINAT '!L43/1000</f>
        <v>0</v>
      </c>
      <c r="AL65" s="746">
        <f>'4. T7 LAINAT '!M43/1000</f>
        <v>0</v>
      </c>
      <c r="AM65" s="1680">
        <f>'4. T7 LAINAT '!N43/1000</f>
        <v>0</v>
      </c>
      <c r="AN65" s="1238"/>
      <c r="AO65" s="746">
        <f>'4. T7 LAINAT '!P43/1000</f>
        <v>0</v>
      </c>
      <c r="AP65" s="746">
        <f>'4. T7 LAINAT '!Q43/1000</f>
        <v>0</v>
      </c>
    </row>
    <row r="66" spans="2:61" ht="11.25" customHeight="1" thickBot="1" x14ac:dyDescent="0.25">
      <c r="B66" s="1640" t="s">
        <v>116</v>
      </c>
      <c r="C66" s="755" t="s">
        <v>272</v>
      </c>
      <c r="D66" s="756">
        <f>'2. &amp; 7. T2 TULOSSUUN. '!E22/1000</f>
        <v>0</v>
      </c>
      <c r="E66" s="1182">
        <f>'2. &amp; 7. T2 TULOSSUUN. '!F22</f>
        <v>0</v>
      </c>
      <c r="F66" s="756">
        <f>'2. &amp; 7. T2 TULOSSUUN. '!G22/1000</f>
        <v>0</v>
      </c>
      <c r="G66" s="1182">
        <f>'2. &amp; 7. T2 TULOSSUUN. '!H22</f>
        <v>0</v>
      </c>
      <c r="H66" s="756">
        <f>'2. &amp; 7. T2 TULOSSUUN. '!I22/1000</f>
        <v>0</v>
      </c>
      <c r="I66" s="1182">
        <f>'2. &amp; 7. T2 TULOSSUUN. '!J22</f>
        <v>0</v>
      </c>
      <c r="J66" s="756">
        <f>'2. &amp; 7. T2 TULOSSUUN. '!K22/1000</f>
        <v>0</v>
      </c>
      <c r="K66" s="1182">
        <f>'2. &amp; 7. T2 TULOSSUUN. '!L22</f>
        <v>0</v>
      </c>
      <c r="L66" s="756">
        <f>'2. &amp; 7. T2 TULOSSUUN. '!M22/1000</f>
        <v>0</v>
      </c>
      <c r="M66" s="1182">
        <f>'2. &amp; 7. T2 TULOSSUUN. '!N22</f>
        <v>0</v>
      </c>
      <c r="N66" s="756">
        <f>'2. &amp; 7. T2 TULOSSUUN. '!O22/1000</f>
        <v>0</v>
      </c>
      <c r="O66" s="1658">
        <f>'2. &amp; 7. T2 TULOSSUUN. '!P22</f>
        <v>0</v>
      </c>
      <c r="Q66" s="738"/>
      <c r="R66" s="2192" t="s">
        <v>443</v>
      </c>
      <c r="S66" s="2192"/>
      <c r="T66" s="2192"/>
      <c r="U66" s="2193"/>
      <c r="V66" s="746">
        <f>'8. T4 RAHOITUSSUUN. '!H31/1000+'8. T4 RAHOITUSSUUN. '!H32/1000</f>
        <v>0</v>
      </c>
      <c r="W66" s="746">
        <f>'8. T4 RAHOITUSSUUN. '!I31/1000+'8. T4 RAHOITUSSUUN. '!I32/1000</f>
        <v>0</v>
      </c>
      <c r="X66" s="746">
        <f>'8. T4 RAHOITUSSUUN. '!J31/1000+'8. T4 RAHOITUSSUUN. '!J32/1000</f>
        <v>0</v>
      </c>
      <c r="Y66" s="746">
        <f>'8. T4 RAHOITUSSUUN. '!K31/1000+'8. T4 RAHOITUSSUUN. '!K32/1000</f>
        <v>0</v>
      </c>
      <c r="AA66" s="1713" t="str">
        <f>'4. T7 LAINAT '!B44</f>
        <v xml:space="preserve"> Rahoittaja/rahoitettava kohde 4. vuosi</v>
      </c>
      <c r="AB66" s="1239">
        <f>'4. T7 LAINAT '!C44/1000</f>
        <v>0</v>
      </c>
      <c r="AC66" s="1071">
        <f>'4. T7 LAINAT '!D44</f>
        <v>0</v>
      </c>
      <c r="AD66" s="1676">
        <f>'4. T7 LAINAT '!E44*100</f>
        <v>0</v>
      </c>
      <c r="AE66" s="1717"/>
      <c r="AF66" s="1072"/>
      <c r="AG66" s="1682"/>
      <c r="AH66" s="1239"/>
      <c r="AI66" s="1072"/>
      <c r="AJ66" s="1677"/>
      <c r="AK66" s="1717"/>
      <c r="AL66" s="1072"/>
      <c r="AM66" s="1682"/>
      <c r="AN66" s="1239">
        <f>'4. T7 LAINAT '!O44/1000</f>
        <v>0</v>
      </c>
      <c r="AO66" s="1072">
        <f>'4. T7 LAINAT '!P44/1000</f>
        <v>0</v>
      </c>
      <c r="AP66" s="1072">
        <f>'4. T7 LAINAT '!Q44/1000</f>
        <v>0</v>
      </c>
    </row>
    <row r="67" spans="2:61" ht="11.25" customHeight="1" thickTop="1" x14ac:dyDescent="0.2">
      <c r="B67" s="1640" t="s">
        <v>275</v>
      </c>
      <c r="C67" s="791" t="s">
        <v>54</v>
      </c>
      <c r="D67" s="746">
        <f>'2. &amp; 7. T2 TULOSSUUN. '!E23/1000</f>
        <v>0</v>
      </c>
      <c r="E67" s="750">
        <f>'2. &amp; 7. T2 TULOSSUUN. '!F23</f>
        <v>0</v>
      </c>
      <c r="F67" s="746">
        <f>'2. &amp; 7. T2 TULOSSUUN. '!G23/1000</f>
        <v>0</v>
      </c>
      <c r="G67" s="750">
        <f>'2. &amp; 7. T2 TULOSSUUN. '!H23</f>
        <v>0</v>
      </c>
      <c r="H67" s="746">
        <f>'2. &amp; 7. T2 TULOSSUUN. '!I23/1000</f>
        <v>0</v>
      </c>
      <c r="I67" s="750">
        <f>'2. &amp; 7. T2 TULOSSUUN. '!J23</f>
        <v>0</v>
      </c>
      <c r="J67" s="746">
        <f>'2. &amp; 7. T2 TULOSSUUN. '!K23/1000</f>
        <v>0</v>
      </c>
      <c r="K67" s="750">
        <f>'2. &amp; 7. T2 TULOSSUUN. '!L23</f>
        <v>0</v>
      </c>
      <c r="L67" s="746">
        <f>'2. &amp; 7. T2 TULOSSUUN. '!M23/1000</f>
        <v>0</v>
      </c>
      <c r="M67" s="750">
        <f>'2. &amp; 7. T2 TULOSSUUN. '!N23</f>
        <v>0</v>
      </c>
      <c r="N67" s="746">
        <f>'2. &amp; 7. T2 TULOSSUUN. '!O23/1000</f>
        <v>0</v>
      </c>
      <c r="O67" s="1656">
        <f>'2. &amp; 7. T2 TULOSSUUN. '!P23</f>
        <v>0</v>
      </c>
      <c r="Q67" s="738"/>
      <c r="R67" s="2190" t="s">
        <v>444</v>
      </c>
      <c r="S67" s="2190"/>
      <c r="T67" s="2190"/>
      <c r="U67" s="2191"/>
      <c r="V67" s="746">
        <f>'8. T4 RAHOITUSSUUN. '!H34/1000+'8. T4 RAHOITUSSUUN. '!H33/1000</f>
        <v>0</v>
      </c>
      <c r="W67" s="746">
        <f>'8. T4 RAHOITUSSUUN. '!I34/1000+'8. T4 RAHOITUSSUUN. '!I33/1000</f>
        <v>0</v>
      </c>
      <c r="X67" s="746">
        <f>'8. T4 RAHOITUSSUUN. '!J34/1000+'8. T4 RAHOITUSSUUN. '!J33/1000</f>
        <v>0</v>
      </c>
      <c r="Y67" s="746">
        <f>'8. T4 RAHOITUSSUUN. '!K34/1000+'8. T4 RAHOITUSSUUN. '!K33/1000</f>
        <v>0</v>
      </c>
      <c r="AA67" s="1719" t="str">
        <f>'4. T7 LAINAT '!B45</f>
        <v>Uudet osamaksuvelat yht.</v>
      </c>
      <c r="AB67" s="1240">
        <f>SUM(AB63:AB66)</f>
        <v>0</v>
      </c>
      <c r="AC67" s="1188">
        <v>0</v>
      </c>
      <c r="AD67" s="1720">
        <v>0</v>
      </c>
      <c r="AE67" s="1240">
        <f>'4. T7 LAINAT '!F45/1000</f>
        <v>0</v>
      </c>
      <c r="AF67" s="1189">
        <f t="shared" ref="AF67:AO67" si="4">SUM(AF63:AF66)</f>
        <v>0</v>
      </c>
      <c r="AG67" s="1723">
        <f t="shared" si="4"/>
        <v>0</v>
      </c>
      <c r="AH67" s="1725">
        <f t="shared" si="4"/>
        <v>0</v>
      </c>
      <c r="AI67" s="1189">
        <f t="shared" si="4"/>
        <v>0</v>
      </c>
      <c r="AJ67" s="1726">
        <f t="shared" si="4"/>
        <v>0</v>
      </c>
      <c r="AK67" s="1240">
        <f t="shared" si="4"/>
        <v>0</v>
      </c>
      <c r="AL67" s="1189">
        <f t="shared" si="4"/>
        <v>0</v>
      </c>
      <c r="AM67" s="1723">
        <f t="shared" si="4"/>
        <v>0</v>
      </c>
      <c r="AN67" s="1725">
        <f t="shared" si="4"/>
        <v>0</v>
      </c>
      <c r="AO67" s="1189">
        <f t="shared" si="4"/>
        <v>0</v>
      </c>
      <c r="AP67" s="1726">
        <f>SUM(AP63:AP66)</f>
        <v>0</v>
      </c>
    </row>
    <row r="68" spans="2:61" ht="11.25" customHeight="1" x14ac:dyDescent="0.2">
      <c r="B68" s="1640" t="s">
        <v>117</v>
      </c>
      <c r="C68" s="753" t="s">
        <v>273</v>
      </c>
      <c r="D68" s="746">
        <f>'2. &amp; 7. T2 TULOSSUUN. '!E24/1000</f>
        <v>0</v>
      </c>
      <c r="E68" s="750">
        <f>'2. &amp; 7. T2 TULOSSUUN. '!F24</f>
        <v>0</v>
      </c>
      <c r="F68" s="746">
        <f>'2. &amp; 7. T2 TULOSSUUN. '!G24/1000</f>
        <v>0</v>
      </c>
      <c r="G68" s="750">
        <f>'2. &amp; 7. T2 TULOSSUUN. '!H24</f>
        <v>0</v>
      </c>
      <c r="H68" s="746">
        <f>'2. &amp; 7. T2 TULOSSUUN. '!I24/1000</f>
        <v>0</v>
      </c>
      <c r="I68" s="750">
        <f>'2. &amp; 7. T2 TULOSSUUN. '!J24</f>
        <v>0</v>
      </c>
      <c r="J68" s="746">
        <f>'2. &amp; 7. T2 TULOSSUUN. '!K24/1000</f>
        <v>0</v>
      </c>
      <c r="K68" s="750">
        <f>'2. &amp; 7. T2 TULOSSUUN. '!L24</f>
        <v>0</v>
      </c>
      <c r="L68" s="746">
        <f>'2. &amp; 7. T2 TULOSSUUN. '!M24/1000</f>
        <v>0</v>
      </c>
      <c r="M68" s="750">
        <f>'2. &amp; 7. T2 TULOSSUUN. '!N24</f>
        <v>0</v>
      </c>
      <c r="N68" s="746">
        <f>'2. &amp; 7. T2 TULOSSUUN. '!O24/1000</f>
        <v>0</v>
      </c>
      <c r="O68" s="1656">
        <f>'2. &amp; 7. T2 TULOSSUUN. '!P24</f>
        <v>0</v>
      </c>
      <c r="Q68" s="738"/>
      <c r="R68" s="2190" t="s">
        <v>445</v>
      </c>
      <c r="S68" s="2190"/>
      <c r="T68" s="2190"/>
      <c r="U68" s="2191"/>
      <c r="V68" s="746">
        <f>'8. T4 RAHOITUSSUUN. '!H35/1000</f>
        <v>0</v>
      </c>
      <c r="W68" s="746">
        <f>'8. T4 RAHOITUSSUUN. '!I35/1000</f>
        <v>0</v>
      </c>
      <c r="X68" s="746">
        <f>'8. T4 RAHOITUSSUUN. '!J35/1000</f>
        <v>0</v>
      </c>
      <c r="Y68" s="746">
        <f>'8. T4 RAHOITUSSUUN. '!K35/1000</f>
        <v>0</v>
      </c>
      <c r="AA68" s="1372" t="str">
        <f>'4. T7 LAINAT '!B46</f>
        <v>Lyhytaikaisten lainojen korot</v>
      </c>
      <c r="AB68" s="1373">
        <f>'4. T7 LAINAT '!C46/1000</f>
        <v>0</v>
      </c>
      <c r="AC68" s="1372"/>
      <c r="AD68" s="1721">
        <f>'4. T7 LAINAT '!E46*100</f>
        <v>10</v>
      </c>
      <c r="AE68" s="786"/>
      <c r="AF68" s="786"/>
      <c r="AG68" s="1711">
        <f>'4. T7 LAINAT '!H46/1000</f>
        <v>0</v>
      </c>
      <c r="AH68" s="1727"/>
      <c r="AI68" s="786"/>
      <c r="AJ68" s="1728">
        <f>'4. T7 LAINAT '!K46/1000</f>
        <v>0</v>
      </c>
      <c r="AK68" s="786"/>
      <c r="AL68" s="786"/>
      <c r="AM68" s="1711">
        <f>'4. T7 LAINAT '!N46/1000</f>
        <v>0</v>
      </c>
      <c r="AN68" s="1727"/>
      <c r="AO68" s="786"/>
      <c r="AP68" s="1728">
        <f>'4. T7 LAINAT '!Q46/1000</f>
        <v>0</v>
      </c>
    </row>
    <row r="69" spans="2:61" ht="10.9" customHeight="1" x14ac:dyDescent="0.2">
      <c r="B69" s="1640" t="s">
        <v>118</v>
      </c>
      <c r="C69" s="753" t="s">
        <v>274</v>
      </c>
      <c r="D69" s="746">
        <f>'2. &amp; 7. T2 TULOSSUUN. '!E25/1000</f>
        <v>0</v>
      </c>
      <c r="E69" s="750">
        <f>'2. &amp; 7. T2 TULOSSUUN. '!F25</f>
        <v>0</v>
      </c>
      <c r="F69" s="746">
        <f>'2. &amp; 7. T2 TULOSSUUN. '!G25/1000</f>
        <v>0</v>
      </c>
      <c r="G69" s="750">
        <f>'2. &amp; 7. T2 TULOSSUUN. '!H25</f>
        <v>0</v>
      </c>
      <c r="H69" s="746">
        <f>'2. &amp; 7. T2 TULOSSUUN. '!I25/1000</f>
        <v>0</v>
      </c>
      <c r="I69" s="750">
        <f>'2. &amp; 7. T2 TULOSSUUN. '!J25</f>
        <v>0</v>
      </c>
      <c r="J69" s="746">
        <f>'2. &amp; 7. T2 TULOSSUUN. '!K25/1000</f>
        <v>0</v>
      </c>
      <c r="K69" s="750">
        <f>'2. &amp; 7. T2 TULOSSUUN. '!L25</f>
        <v>0</v>
      </c>
      <c r="L69" s="746">
        <f>'2. &amp; 7. T2 TULOSSUUN. '!M25/1000</f>
        <v>0</v>
      </c>
      <c r="M69" s="750">
        <f>'2. &amp; 7. T2 TULOSSUUN. '!N25</f>
        <v>0</v>
      </c>
      <c r="N69" s="746">
        <f>'2. &amp; 7. T2 TULOSSUUN. '!O25/1000</f>
        <v>0</v>
      </c>
      <c r="O69" s="1656">
        <f>'2. &amp; 7. T2 TULOSSUUN. '!P25</f>
        <v>0</v>
      </c>
      <c r="Q69" s="738"/>
      <c r="R69" s="2190" t="s">
        <v>446</v>
      </c>
      <c r="S69" s="2190"/>
      <c r="T69" s="2190"/>
      <c r="U69" s="2191"/>
      <c r="V69" s="746">
        <f>'8. T4 RAHOITUSSUUN. '!H36/1000</f>
        <v>0</v>
      </c>
      <c r="W69" s="746">
        <f>'8. T4 RAHOITUSSUUN. '!I36/1000</f>
        <v>0</v>
      </c>
      <c r="X69" s="746">
        <f>'8. T4 RAHOITUSSUUN. '!J36/1000</f>
        <v>0</v>
      </c>
      <c r="Y69" s="746">
        <f>'8. T4 RAHOITUSSUUN. '!K36/1000</f>
        <v>0</v>
      </c>
      <c r="AA69" s="2196" t="str">
        <f>'4. T7 LAINAT '!B48</f>
        <v>Korot pitkäaikaisista veloista, 
ei velkakirjaa</v>
      </c>
      <c r="AB69" s="2196"/>
      <c r="AC69" s="2196"/>
      <c r="AD69" s="2197"/>
      <c r="AE69" s="786"/>
      <c r="AF69" s="786"/>
      <c r="AG69" s="1707">
        <f>'4. T7 LAINAT '!H48/1000</f>
        <v>0</v>
      </c>
      <c r="AH69" s="1727"/>
      <c r="AI69" s="786"/>
      <c r="AJ69" s="1708">
        <f>'4. T7 LAINAT '!K48/1000</f>
        <v>0</v>
      </c>
      <c r="AK69" s="786"/>
      <c r="AL69" s="786"/>
      <c r="AM69" s="1707">
        <f>'4. T7 LAINAT '!N48/1000</f>
        <v>0</v>
      </c>
      <c r="AN69" s="1727"/>
      <c r="AO69" s="786"/>
      <c r="AP69" s="1708">
        <f>'4. T7 LAINAT '!Q48/1000</f>
        <v>0</v>
      </c>
    </row>
    <row r="70" spans="2:61" ht="11.25" customHeight="1" x14ac:dyDescent="0.2">
      <c r="B70" s="2203" t="s">
        <v>119</v>
      </c>
      <c r="C70" s="2201" t="s">
        <v>44</v>
      </c>
      <c r="D70" s="756">
        <f>'2. &amp; 7. T2 TULOSSUUN. '!E26/1000</f>
        <v>0</v>
      </c>
      <c r="E70" s="1182">
        <f>'2. &amp; 7. T2 TULOSSUUN. '!F26</f>
        <v>0</v>
      </c>
      <c r="F70" s="756">
        <f>'2. &amp; 7. T2 TULOSSUUN. '!G26/1000</f>
        <v>0</v>
      </c>
      <c r="G70" s="1182">
        <f>'2. &amp; 7. T2 TULOSSUUN. '!H26</f>
        <v>0</v>
      </c>
      <c r="H70" s="756">
        <f>'2. &amp; 7. T2 TULOSSUUN. '!I26/1000</f>
        <v>0</v>
      </c>
      <c r="I70" s="1182">
        <f>'2. &amp; 7. T2 TULOSSUUN. '!J26</f>
        <v>0</v>
      </c>
      <c r="J70" s="756">
        <f>'2. &amp; 7. T2 TULOSSUUN. '!K26/1000</f>
        <v>0</v>
      </c>
      <c r="K70" s="1182">
        <f>'2. &amp; 7. T2 TULOSSUUN. '!L26</f>
        <v>0</v>
      </c>
      <c r="L70" s="756">
        <f>'2. &amp; 7. T2 TULOSSUUN. '!M26/1000</f>
        <v>0</v>
      </c>
      <c r="M70" s="1182">
        <f>'2. &amp; 7. T2 TULOSSUUN. '!N26</f>
        <v>0</v>
      </c>
      <c r="N70" s="756">
        <f>'2. &amp; 7. T2 TULOSSUUN. '!O26/1000</f>
        <v>0</v>
      </c>
      <c r="O70" s="1658">
        <f>'2. &amp; 7. T2 TULOSSUUN. '!P26</f>
        <v>0</v>
      </c>
      <c r="Q70" s="738"/>
      <c r="R70" s="2190" t="s">
        <v>447</v>
      </c>
      <c r="S70" s="2190"/>
      <c r="T70" s="2190"/>
      <c r="U70" s="2191"/>
      <c r="V70" s="746">
        <f>'8. T4 RAHOITUSSUUN. '!H37/1000</f>
        <v>0</v>
      </c>
      <c r="W70" s="746">
        <f>'8. T4 RAHOITUSSUUN. '!I37/1000</f>
        <v>0</v>
      </c>
      <c r="X70" s="746">
        <f>'8. T4 RAHOITUSSUUN. '!J37/1000</f>
        <v>0</v>
      </c>
      <c r="Y70" s="746">
        <f>'8. T4 RAHOITUSSUUN. '!K37/1000</f>
        <v>0</v>
      </c>
      <c r="AA70" s="1185" t="str">
        <f>'4. T7 LAINAT '!B49</f>
        <v>Lainojen toimitusmaksut, pankkitakausmaksut</v>
      </c>
      <c r="AB70" s="1186"/>
      <c r="AC70" s="1185"/>
      <c r="AD70" s="1722"/>
      <c r="AE70" s="1187"/>
      <c r="AF70" s="1187"/>
      <c r="AG70" s="1724">
        <f>'4. T7 LAINAT '!H49/1000</f>
        <v>0</v>
      </c>
      <c r="AH70" s="1729"/>
      <c r="AI70" s="1187"/>
      <c r="AJ70" s="1730">
        <f>'4. T7 LAINAT '!K49/1000</f>
        <v>0</v>
      </c>
      <c r="AK70" s="1187"/>
      <c r="AL70" s="1187"/>
      <c r="AM70" s="1724">
        <f>'4. T7 LAINAT '!N49/1000</f>
        <v>0</v>
      </c>
      <c r="AN70" s="1729"/>
      <c r="AO70" s="1187"/>
      <c r="AP70" s="1730">
        <f>'4. T7 LAINAT '!Q49/1000</f>
        <v>0</v>
      </c>
    </row>
    <row r="71" spans="2:61" ht="11.25" customHeight="1" x14ac:dyDescent="0.2">
      <c r="B71" s="2204"/>
      <c r="C71" s="2202"/>
      <c r="D71" s="756"/>
      <c r="E71" s="1182"/>
      <c r="F71" s="756"/>
      <c r="G71" s="1182"/>
      <c r="H71" s="756"/>
      <c r="I71" s="1182"/>
      <c r="J71" s="756"/>
      <c r="K71" s="1182"/>
      <c r="L71" s="756"/>
      <c r="M71" s="1182"/>
      <c r="N71" s="756"/>
      <c r="O71" s="1658"/>
      <c r="Q71" s="738"/>
      <c r="R71" s="2190" t="s">
        <v>448</v>
      </c>
      <c r="S71" s="2190"/>
      <c r="T71" s="2190"/>
      <c r="U71" s="2191"/>
      <c r="V71" s="746">
        <f>'8. T4 RAHOITUSSUUN. '!H38/1000</f>
        <v>0</v>
      </c>
      <c r="W71" s="746">
        <f>'8. T4 RAHOITUSSUUN. '!I38/1000</f>
        <v>0</v>
      </c>
      <c r="X71" s="746">
        <f>'8. T4 RAHOITUSSUUN. '!J38/1000</f>
        <v>0</v>
      </c>
      <c r="Y71" s="746">
        <f>'8. T4 RAHOITUSSUUN. '!K38/1000</f>
        <v>0</v>
      </c>
      <c r="AA71" s="650"/>
      <c r="AB71" s="651"/>
      <c r="AC71" s="649"/>
      <c r="AD71" s="652"/>
      <c r="AE71" s="653"/>
      <c r="AF71" s="653"/>
      <c r="AG71" s="651"/>
      <c r="AH71" s="653"/>
      <c r="AI71" s="653"/>
      <c r="AJ71" s="651"/>
      <c r="AK71" s="653"/>
      <c r="AL71" s="653"/>
      <c r="AM71" s="651"/>
      <c r="AN71" s="653"/>
      <c r="AO71" s="653"/>
      <c r="AP71" s="651"/>
    </row>
    <row r="72" spans="2:61" ht="11.25" customHeight="1" x14ac:dyDescent="0.2">
      <c r="B72" s="1640" t="s">
        <v>120</v>
      </c>
      <c r="C72" s="753" t="s">
        <v>45</v>
      </c>
      <c r="D72" s="746">
        <f>'2. &amp; 7. T2 TULOSSUUN. '!E27/1000</f>
        <v>0</v>
      </c>
      <c r="E72" s="750">
        <f>'2. &amp; 7. T2 TULOSSUUN. '!F27</f>
        <v>0</v>
      </c>
      <c r="F72" s="746">
        <f>'2. &amp; 7. T2 TULOSSUUN. '!G27/1000</f>
        <v>0</v>
      </c>
      <c r="G72" s="750">
        <f>'2. &amp; 7. T2 TULOSSUUN. '!H27</f>
        <v>0</v>
      </c>
      <c r="H72" s="746">
        <f>'2. &amp; 7. T2 TULOSSUUN. '!I27/1000</f>
        <v>0</v>
      </c>
      <c r="I72" s="750">
        <f>'2. &amp; 7. T2 TULOSSUUN. '!J27</f>
        <v>0</v>
      </c>
      <c r="J72" s="746">
        <f>'2. &amp; 7. T2 TULOSSUUN. '!K27/1000</f>
        <v>0</v>
      </c>
      <c r="K72" s="750">
        <f>'2. &amp; 7. T2 TULOSSUUN. '!L27</f>
        <v>0</v>
      </c>
      <c r="L72" s="746">
        <f>'2. &amp; 7. T2 TULOSSUUN. '!M27/1000</f>
        <v>0</v>
      </c>
      <c r="M72" s="750">
        <f>'2. &amp; 7. T2 TULOSSUUN. '!N27</f>
        <v>0</v>
      </c>
      <c r="N72" s="746">
        <f>'2. &amp; 7. T2 TULOSSUUN. '!O27/1000</f>
        <v>0</v>
      </c>
      <c r="O72" s="1656">
        <f>'2. &amp; 7. T2 TULOSSUUN. '!P27</f>
        <v>0</v>
      </c>
      <c r="Q72" s="738"/>
      <c r="R72" s="2190" t="s">
        <v>449</v>
      </c>
      <c r="S72" s="2190"/>
      <c r="T72" s="2190"/>
      <c r="U72" s="2191"/>
      <c r="V72" s="746">
        <f>'8. T4 RAHOITUSSUUN. '!H39/1000</f>
        <v>0</v>
      </c>
      <c r="W72" s="746">
        <f>'8. T4 RAHOITUSSUUN. '!I39/1000</f>
        <v>0</v>
      </c>
      <c r="X72" s="746">
        <f>'8. T4 RAHOITUSSUUN. '!J39/1000</f>
        <v>0</v>
      </c>
      <c r="Y72" s="746">
        <f>'8. T4 RAHOITUSSUUN. '!K39/1000</f>
        <v>0</v>
      </c>
      <c r="AA72" s="1731" t="str">
        <f>'4. T7 LAINAT '!B50</f>
        <v>KAIKKI YHTEENSÄ</v>
      </c>
      <c r="AB72" s="1732">
        <f>'4. T7 LAINAT '!C50/1000</f>
        <v>0</v>
      </c>
      <c r="AC72" s="1733"/>
      <c r="AD72" s="1733"/>
      <c r="AE72" s="1734">
        <f>'4. T7 LAINAT '!F50/1000</f>
        <v>0</v>
      </c>
      <c r="AF72" s="1734">
        <f>'4. T7 LAINAT '!G50/1000</f>
        <v>0</v>
      </c>
      <c r="AG72" s="1734">
        <f>'4. T7 LAINAT '!H50/1000</f>
        <v>0</v>
      </c>
      <c r="AH72" s="1732">
        <f>'4. T7 LAINAT '!I50/1000</f>
        <v>0</v>
      </c>
      <c r="AI72" s="1734">
        <f>'4. T7 LAINAT '!J50/1000</f>
        <v>0</v>
      </c>
      <c r="AJ72" s="1734">
        <f>'4. T7 LAINAT '!K50/1000</f>
        <v>0</v>
      </c>
      <c r="AK72" s="1732">
        <f>'4. T7 LAINAT '!L50/1000</f>
        <v>0</v>
      </c>
      <c r="AL72" s="1734">
        <f>'4. T7 LAINAT '!M50/1000</f>
        <v>0</v>
      </c>
      <c r="AM72" s="1734">
        <f>'4. T7 LAINAT '!N50/1000</f>
        <v>0</v>
      </c>
      <c r="AN72" s="1732">
        <f>'4. T7 LAINAT '!O50/1000</f>
        <v>0</v>
      </c>
      <c r="AO72" s="1734">
        <f>'4. T7 LAINAT '!P50/1000</f>
        <v>0</v>
      </c>
      <c r="AP72" s="1734">
        <f>'4. T7 LAINAT '!Q50/1000</f>
        <v>0</v>
      </c>
    </row>
    <row r="73" spans="2:61" ht="11.25" customHeight="1" x14ac:dyDescent="0.2">
      <c r="B73" s="1640" t="s">
        <v>121</v>
      </c>
      <c r="C73" s="753" t="s">
        <v>63</v>
      </c>
      <c r="D73" s="746">
        <f>'2. &amp; 7. T2 TULOSSUUN. '!E29/1000</f>
        <v>0</v>
      </c>
      <c r="E73" s="750">
        <f>'2. &amp; 7. T2 TULOSSUUN. '!F28</f>
        <v>0</v>
      </c>
      <c r="F73" s="746">
        <f>'2. &amp; 7. T2 TULOSSUUN. '!G29/1000</f>
        <v>0</v>
      </c>
      <c r="G73" s="750">
        <f>'2. &amp; 7. T2 TULOSSUUN. '!H28</f>
        <v>0</v>
      </c>
      <c r="H73" s="746">
        <f>'2. &amp; 7. T2 TULOSSUUN. '!I29/1000</f>
        <v>0</v>
      </c>
      <c r="I73" s="750">
        <f>'2. &amp; 7. T2 TULOSSUUN. '!J28</f>
        <v>0</v>
      </c>
      <c r="J73" s="746">
        <f>'2. &amp; 7. T2 TULOSSUUN. '!K29/1000</f>
        <v>0</v>
      </c>
      <c r="K73" s="750">
        <f>'2. &amp; 7. T2 TULOSSUUN. '!L28</f>
        <v>0</v>
      </c>
      <c r="L73" s="746">
        <f>'2. &amp; 7. T2 TULOSSUUN. '!M29/1000</f>
        <v>0</v>
      </c>
      <c r="M73" s="750">
        <f>'2. &amp; 7. T2 TULOSSUUN. '!N28</f>
        <v>0</v>
      </c>
      <c r="N73" s="746">
        <f>'2. &amp; 7. T2 TULOSSUUN. '!O29/1000</f>
        <v>0</v>
      </c>
      <c r="O73" s="1656">
        <f>'2. &amp; 7. T2 TULOSSUUN. '!P28</f>
        <v>0</v>
      </c>
      <c r="Q73" s="738"/>
      <c r="R73" s="2190" t="s">
        <v>450</v>
      </c>
      <c r="S73" s="2190"/>
      <c r="T73" s="2190"/>
      <c r="U73" s="2191"/>
      <c r="V73" s="746">
        <f>'8. T4 RAHOITUSSUUN. '!H40/1000</f>
        <v>0</v>
      </c>
      <c r="W73" s="746">
        <f>'8. T4 RAHOITUSSUUN. '!I40/1000</f>
        <v>0</v>
      </c>
      <c r="X73" s="746">
        <f>'8. T4 RAHOITUSSUUN. '!J40/1000</f>
        <v>0</v>
      </c>
      <c r="Y73" s="746">
        <f>'8. T4 RAHOITUSSUUN. '!K40/1000</f>
        <v>0</v>
      </c>
    </row>
    <row r="74" spans="2:61" ht="11.25" customHeight="1" x14ac:dyDescent="0.2">
      <c r="B74" s="1640" t="s">
        <v>122</v>
      </c>
      <c r="C74" s="753" t="s">
        <v>329</v>
      </c>
      <c r="D74" s="746">
        <f>'2. &amp; 7. T2 TULOSSUUN. '!E30/1000</f>
        <v>0</v>
      </c>
      <c r="E74" s="750">
        <f>'2. &amp; 7. T2 TULOSSUUN. '!F29</f>
        <v>0</v>
      </c>
      <c r="F74" s="746">
        <f>'2. &amp; 7. T2 TULOSSUUN. '!G30/1000</f>
        <v>0</v>
      </c>
      <c r="G74" s="750">
        <f>'2. &amp; 7. T2 TULOSSUUN. '!H29</f>
        <v>0</v>
      </c>
      <c r="H74" s="746">
        <f>'2. &amp; 7. T2 TULOSSUUN. '!I30/1000</f>
        <v>0</v>
      </c>
      <c r="I74" s="750">
        <f>'2. &amp; 7. T2 TULOSSUUN. '!J29</f>
        <v>0</v>
      </c>
      <c r="J74" s="746">
        <f>'2. &amp; 7. T2 TULOSSUUN. '!K30/1000</f>
        <v>0</v>
      </c>
      <c r="K74" s="750">
        <f>'2. &amp; 7. T2 TULOSSUUN. '!L29</f>
        <v>0</v>
      </c>
      <c r="L74" s="746">
        <f>'2. &amp; 7. T2 TULOSSUUN. '!M30/1000</f>
        <v>0</v>
      </c>
      <c r="M74" s="750">
        <f>'2. &amp; 7. T2 TULOSSUUN. '!N29</f>
        <v>0</v>
      </c>
      <c r="N74" s="746">
        <f>'2. &amp; 7. T2 TULOSSUUN. '!O30/1000</f>
        <v>0</v>
      </c>
      <c r="O74" s="1656">
        <f>'2. &amp; 7. T2 TULOSSUUN. '!P29</f>
        <v>0</v>
      </c>
      <c r="Q74" s="738"/>
      <c r="R74" s="2190" t="s">
        <v>451</v>
      </c>
      <c r="S74" s="2190"/>
      <c r="T74" s="2190"/>
      <c r="U74" s="2191"/>
      <c r="V74" s="746">
        <f>'8. T4 RAHOITUSSUUN. '!H41/1000</f>
        <v>0</v>
      </c>
      <c r="W74" s="746">
        <f>'8. T4 RAHOITUSSUUN. '!I41/1000</f>
        <v>0</v>
      </c>
      <c r="X74" s="746">
        <f>'8. T4 RAHOITUSSUUN. '!J41/1000</f>
        <v>0</v>
      </c>
      <c r="Y74" s="746">
        <f>'8. T4 RAHOITUSSUUN. '!K41/1000</f>
        <v>0</v>
      </c>
      <c r="AG74" s="32"/>
    </row>
    <row r="75" spans="2:61" ht="11.25" customHeight="1" x14ac:dyDescent="0.2">
      <c r="B75" s="1640" t="s">
        <v>338</v>
      </c>
      <c r="C75" s="755" t="s">
        <v>49</v>
      </c>
      <c r="D75" s="756">
        <f>'2. &amp; 7. T2 TULOSSUUN. '!E31/1000</f>
        <v>0</v>
      </c>
      <c r="E75" s="1182">
        <f>'2. &amp; 7. T2 TULOSSUUN. '!F30</f>
        <v>0</v>
      </c>
      <c r="F75" s="756">
        <f>'2. &amp; 7. T2 TULOSSUUN. '!G31/1000</f>
        <v>0</v>
      </c>
      <c r="G75" s="1182">
        <f>'2. &amp; 7. T2 TULOSSUUN. '!H30</f>
        <v>0</v>
      </c>
      <c r="H75" s="756">
        <f>'2. &amp; 7. T2 TULOSSUUN. '!I31/1000</f>
        <v>0</v>
      </c>
      <c r="I75" s="1182">
        <f>'2. &amp; 7. T2 TULOSSUUN. '!J30</f>
        <v>0</v>
      </c>
      <c r="J75" s="756">
        <f>'2. &amp; 7. T2 TULOSSUUN. '!K31/1000</f>
        <v>0</v>
      </c>
      <c r="K75" s="750">
        <f>'2. &amp; 7. T2 TULOSSUUN. '!L30</f>
        <v>0</v>
      </c>
      <c r="L75" s="756">
        <f>'2. &amp; 7. T2 TULOSSUUN. '!M31/1000</f>
        <v>0</v>
      </c>
      <c r="M75" s="1182">
        <f>'2. &amp; 7. T2 TULOSSUUN. '!N30</f>
        <v>0</v>
      </c>
      <c r="N75" s="756">
        <f>'2. &amp; 7. T2 TULOSSUUN. '!O31/1000</f>
        <v>0</v>
      </c>
      <c r="O75" s="1658">
        <f>'2. &amp; 7. T2 TULOSSUUN. '!P30</f>
        <v>0</v>
      </c>
      <c r="Q75" s="738"/>
      <c r="R75" s="2190" t="s">
        <v>452</v>
      </c>
      <c r="S75" s="2190"/>
      <c r="T75" s="2190"/>
      <c r="U75" s="2191"/>
      <c r="V75" s="746">
        <f>'8. T4 RAHOITUSSUUN. '!H42/1000</f>
        <v>0</v>
      </c>
      <c r="W75" s="746">
        <f>'8. T4 RAHOITUSSUUN. '!I42/1000</f>
        <v>0</v>
      </c>
      <c r="X75" s="746">
        <f>'8. T4 RAHOITUSSUUN. '!J42/1000</f>
        <v>0</v>
      </c>
      <c r="Y75" s="746">
        <f>'8. T4 RAHOITUSSUUN. '!K42/1000</f>
        <v>0</v>
      </c>
    </row>
    <row r="76" spans="2:61" ht="10.9" customHeight="1" x14ac:dyDescent="0.2">
      <c r="B76" s="738"/>
      <c r="C76" s="753" t="s">
        <v>59</v>
      </c>
      <c r="D76" s="2207">
        <f>'2. &amp; 7. T2 TULOSSUUN. '!E33</f>
        <v>1</v>
      </c>
      <c r="E76" s="2189"/>
      <c r="F76" s="2207">
        <f>'2. &amp; 7. T2 TULOSSUUN. '!G33</f>
        <v>1</v>
      </c>
      <c r="G76" s="2189"/>
      <c r="H76" s="2207">
        <f>'2. &amp; 7. T2 TULOSSUUN. '!I33</f>
        <v>1</v>
      </c>
      <c r="I76" s="2189"/>
      <c r="J76" s="2207">
        <f>'2. &amp; 7. T2 TULOSSUUN. '!K33</f>
        <v>1</v>
      </c>
      <c r="K76" s="2189"/>
      <c r="L76" s="2207">
        <f>'2. &amp; 7. T2 TULOSSUUN. '!M33</f>
        <v>1</v>
      </c>
      <c r="M76" s="2189"/>
      <c r="N76" s="2207">
        <f>'2. &amp; 7. T2 TULOSSUUN. '!O33</f>
        <v>1</v>
      </c>
      <c r="O76" s="2212"/>
      <c r="Q76" s="757"/>
      <c r="R76" s="762" t="s">
        <v>453</v>
      </c>
      <c r="S76" s="762"/>
      <c r="T76" s="774">
        <v>0</v>
      </c>
      <c r="U76" s="754"/>
      <c r="V76" s="756">
        <f>'8. T4 RAHOITUSSUUN. '!H43/1000</f>
        <v>0</v>
      </c>
      <c r="W76" s="756">
        <f>'8. T4 RAHOITUSSUUN. '!I43/1000</f>
        <v>0</v>
      </c>
      <c r="X76" s="756">
        <f>'8. T4 RAHOITUSSUUN. '!J43/1000</f>
        <v>0</v>
      </c>
      <c r="Y76" s="756">
        <f>'8. T4 RAHOITUSSUUN. '!K43/1000</f>
        <v>0</v>
      </c>
    </row>
    <row r="77" spans="2:61" ht="12" customHeight="1" x14ac:dyDescent="0.2">
      <c r="B77" s="738"/>
      <c r="C77" s="1659" t="s">
        <v>386</v>
      </c>
      <c r="D77" s="2198">
        <f>'8. T4 RAHOITUSSUUN. '!P14</f>
        <v>0</v>
      </c>
      <c r="E77" s="2199"/>
      <c r="F77" s="2198">
        <f>'8. T4 RAHOITUSSUUN. '!Q14</f>
        <v>0</v>
      </c>
      <c r="G77" s="2199"/>
      <c r="H77" s="2198">
        <f>'8. T4 RAHOITUSSUUN. '!R14</f>
        <v>0</v>
      </c>
      <c r="I77" s="2199"/>
      <c r="J77" s="2198">
        <f>'8. T4 RAHOITUSSUUN. '!S14</f>
        <v>0</v>
      </c>
      <c r="K77" s="2199"/>
      <c r="L77" s="2198">
        <f>'8. T4 RAHOITUSSUUN. '!T14</f>
        <v>0</v>
      </c>
      <c r="M77" s="2199"/>
      <c r="N77" s="2198">
        <f>'8. T4 RAHOITUSSUUN. '!U14</f>
        <v>0</v>
      </c>
      <c r="O77" s="2210"/>
      <c r="Q77" s="789"/>
      <c r="R77" s="2205" t="str">
        <f>'8. T4 RAHOITUSSUUN. '!C44</f>
        <v>Kassan riittävyys / Muut kiinteät kulut (pv)</v>
      </c>
      <c r="S77" s="2205"/>
      <c r="T77" s="2205"/>
      <c r="U77" s="2206"/>
      <c r="V77" s="767">
        <f>'8. T4 RAHOITUSSUUN. '!H44</f>
        <v>0</v>
      </c>
      <c r="W77" s="767">
        <f>'8. T4 RAHOITUSSUUN. '!I44</f>
        <v>0</v>
      </c>
      <c r="X77" s="767">
        <f>'8. T4 RAHOITUSSUUN. '!J44</f>
        <v>0</v>
      </c>
      <c r="Y77" s="767">
        <f>'8. T4 RAHOITUSSUUN. '!K44</f>
        <v>0</v>
      </c>
      <c r="AA77" s="38"/>
    </row>
    <row r="78" spans="2:61" ht="12.75" customHeight="1" x14ac:dyDescent="0.2">
      <c r="Q78" s="2183"/>
      <c r="R78" s="2183"/>
      <c r="S78" s="2183"/>
      <c r="AA78" s="2234"/>
      <c r="AB78" s="2234"/>
      <c r="AC78" s="2234"/>
      <c r="AD78" s="2234"/>
    </row>
    <row r="79" spans="2:61" ht="11.25" customHeight="1" x14ac:dyDescent="0.2">
      <c r="BF79" s="2219" t="s">
        <v>0</v>
      </c>
      <c r="BG79" s="2219"/>
      <c r="BH79" s="2219"/>
      <c r="BI79" s="2219"/>
    </row>
    <row r="80" spans="2:61" ht="11.25" customHeight="1" x14ac:dyDescent="0.2">
      <c r="B80" s="1829">
        <f>OHJE!I5</f>
        <v>0</v>
      </c>
      <c r="C80" s="1829"/>
      <c r="I80" s="1794"/>
      <c r="J80" s="1794"/>
      <c r="K80" s="1794"/>
      <c r="L80" s="1794"/>
      <c r="M80" s="1794"/>
      <c r="N80" s="1794"/>
      <c r="O80" s="1794"/>
      <c r="P80" s="659"/>
      <c r="Q80" s="1245"/>
      <c r="R80" s="1247">
        <f>OHJE!I5</f>
        <v>0</v>
      </c>
      <c r="S80" s="1245"/>
      <c r="T80" s="656"/>
      <c r="U80" s="656"/>
      <c r="V80" s="657"/>
      <c r="W80" s="2194"/>
      <c r="X80" s="2194"/>
      <c r="Y80" s="2194"/>
      <c r="Z80" s="658"/>
      <c r="AA80" s="1829">
        <f>OHJE!I5</f>
        <v>0</v>
      </c>
      <c r="AB80" s="1829"/>
      <c r="AK80" s="1794"/>
      <c r="AL80" s="1794"/>
      <c r="AM80" s="1794"/>
      <c r="AN80" s="1794"/>
      <c r="AO80" s="1794"/>
      <c r="AP80" s="1794"/>
      <c r="AR80" s="45">
        <f>OHJE!I5</f>
        <v>0</v>
      </c>
      <c r="AW80" s="1792"/>
      <c r="AX80" s="1792"/>
      <c r="AY80" s="1792"/>
      <c r="AZ80" s="660"/>
      <c r="BA80" s="660"/>
      <c r="BB80" s="660"/>
      <c r="BC80" s="660"/>
      <c r="BD80" s="660"/>
      <c r="BE80" s="660"/>
      <c r="BF80" s="660"/>
      <c r="BG80" s="660"/>
      <c r="BH80" s="660"/>
      <c r="BI80" s="660"/>
    </row>
    <row r="81" spans="2:61" ht="10.9" customHeight="1" x14ac:dyDescent="0.2">
      <c r="B81" s="901" t="str">
        <f>OHJE!I21</f>
        <v>Kehittämisyhtiö Witas Oy</v>
      </c>
      <c r="C81" s="242"/>
      <c r="D81" s="242"/>
      <c r="E81" s="242"/>
      <c r="F81" s="1244"/>
      <c r="G81" s="1244"/>
      <c r="H81" s="1244"/>
      <c r="I81" s="1244"/>
      <c r="J81" s="2211" t="str">
        <f>OHJE!G24</f>
        <v>YT22 Toimivan yrityksen tulossuunnitelma</v>
      </c>
      <c r="K81" s="2211"/>
      <c r="L81" s="2211"/>
      <c r="M81" s="2211"/>
      <c r="N81" s="2211"/>
      <c r="O81" s="2211"/>
      <c r="Q81" s="648"/>
      <c r="R81" s="2218" t="str">
        <f>OHJE!I21</f>
        <v>Kehittämisyhtiö Witas Oy</v>
      </c>
      <c r="S81" s="2218"/>
      <c r="T81" s="2218"/>
      <c r="U81" s="2218"/>
      <c r="V81" s="2218"/>
      <c r="W81" s="2211" t="str">
        <f>OHJE!G24</f>
        <v>YT22 Toimivan yrityksen tulossuunnitelma</v>
      </c>
      <c r="X81" s="2211"/>
      <c r="Y81" s="2211"/>
      <c r="AA81" s="2218" t="str">
        <f>OHJE!I21</f>
        <v>Kehittämisyhtiö Witas Oy</v>
      </c>
      <c r="AB81" s="2218"/>
      <c r="AC81" s="2218"/>
      <c r="AD81" s="2218"/>
      <c r="AE81" s="2218"/>
      <c r="AF81" s="2218"/>
      <c r="AG81" s="2218"/>
      <c r="AH81" s="2218"/>
      <c r="AI81" s="2218"/>
      <c r="AJ81" s="2218"/>
      <c r="AK81" s="1792" t="str">
        <f>OHJE!G24</f>
        <v>YT22 Toimivan yrityksen tulossuunnitelma</v>
      </c>
      <c r="AL81" s="1792"/>
      <c r="AM81" s="1792"/>
      <c r="AN81" s="1792"/>
      <c r="AO81" s="1792"/>
      <c r="AP81" s="1792"/>
      <c r="AR81" s="2183" t="str">
        <f>OHJE!I21</f>
        <v>Kehittämisyhtiö Witas Oy</v>
      </c>
      <c r="AS81" s="2183"/>
      <c r="AT81" s="2183"/>
      <c r="AU81" s="2183"/>
      <c r="AV81" s="2183"/>
      <c r="AW81" s="1792" t="str">
        <f>OHJE!G24</f>
        <v>YT22 Toimivan yrityksen tulossuunnitelma</v>
      </c>
      <c r="AX81" s="1792"/>
      <c r="AY81" s="1792"/>
      <c r="AZ81" s="660"/>
      <c r="BA81" s="660"/>
      <c r="BB81" s="660"/>
      <c r="BC81" s="660"/>
      <c r="BD81" s="660"/>
      <c r="BE81" s="660"/>
      <c r="BF81" s="660"/>
      <c r="BG81" s="660"/>
      <c r="BH81" s="660"/>
      <c r="BI81" s="660"/>
    </row>
    <row r="82" spans="2:61" ht="11.25" customHeight="1" x14ac:dyDescent="0.2">
      <c r="AY82" s="660">
        <f>AM82</f>
        <v>0</v>
      </c>
      <c r="AZ82" s="660"/>
      <c r="BA82" s="660"/>
      <c r="BB82" s="660"/>
      <c r="BC82" s="660"/>
      <c r="BD82" s="660"/>
      <c r="BE82" s="660"/>
      <c r="BF82" s="660"/>
      <c r="BG82" s="660"/>
      <c r="BH82" s="660"/>
      <c r="BI82" s="660"/>
    </row>
    <row r="83" spans="2:61" ht="11.25" customHeight="1" x14ac:dyDescent="0.2"/>
    <row r="84" spans="2:61" ht="11.25" customHeight="1" x14ac:dyDescent="0.2"/>
    <row r="85" spans="2:61" ht="11.25" customHeight="1" x14ac:dyDescent="0.2"/>
    <row r="86" spans="2:61" ht="11.25" customHeight="1" x14ac:dyDescent="0.2">
      <c r="U86">
        <v>0</v>
      </c>
    </row>
    <row r="87" spans="2:61" ht="11.25" customHeight="1" x14ac:dyDescent="0.2"/>
    <row r="88" spans="2:61" ht="11.25" customHeight="1" x14ac:dyDescent="0.2"/>
    <row r="89" spans="2:61" ht="11.25" customHeight="1" x14ac:dyDescent="0.2"/>
    <row r="90" spans="2:61" ht="11.25" customHeight="1" x14ac:dyDescent="0.2"/>
    <row r="91" spans="2:61" ht="11.25" customHeight="1" x14ac:dyDescent="0.2"/>
    <row r="92" spans="2:61" ht="11.25" customHeight="1" x14ac:dyDescent="0.2"/>
    <row r="93" spans="2:61" ht="11.25" customHeight="1" x14ac:dyDescent="0.2"/>
    <row r="94" spans="2:61" s="45" customFormat="1" ht="11.25" customHeight="1" x14ac:dyDescent="0.2">
      <c r="AQ94"/>
      <c r="AR94"/>
      <c r="AS94"/>
      <c r="AT94"/>
      <c r="AU94"/>
      <c r="AV94"/>
      <c r="AW94"/>
      <c r="AX94"/>
      <c r="AY94"/>
      <c r="AZ94"/>
      <c r="BA94"/>
      <c r="BB94"/>
    </row>
    <row r="95" spans="2:61" ht="11.25" customHeight="1" x14ac:dyDescent="0.2"/>
    <row r="96" spans="2:61" ht="11.25" customHeight="1" x14ac:dyDescent="0.2"/>
    <row r="97" spans="43:54" s="45" customFormat="1" ht="11.25" customHeight="1" x14ac:dyDescent="0.2">
      <c r="AQ97"/>
      <c r="AR97"/>
      <c r="AS97"/>
      <c r="AT97"/>
      <c r="AU97"/>
      <c r="AV97"/>
      <c r="AW97"/>
      <c r="AX97"/>
      <c r="AY97"/>
      <c r="AZ97"/>
      <c r="BA97"/>
      <c r="BB97"/>
    </row>
    <row r="98" spans="43:54" ht="11.25" customHeight="1" x14ac:dyDescent="0.2"/>
    <row r="99" spans="43:54" ht="11.25" customHeight="1" x14ac:dyDescent="0.2"/>
    <row r="100" spans="43:54" ht="11.25" customHeight="1" x14ac:dyDescent="0.2"/>
    <row r="101" spans="43:54" ht="11.25" customHeight="1" x14ac:dyDescent="0.2"/>
    <row r="102" spans="43:54" ht="11.25" customHeight="1" x14ac:dyDescent="0.2"/>
    <row r="103" spans="43:54" ht="11.25" customHeight="1" x14ac:dyDescent="0.2"/>
    <row r="104" spans="43:54" ht="11.25" customHeight="1" x14ac:dyDescent="0.2"/>
    <row r="105" spans="43:54" ht="11.25" customHeight="1" x14ac:dyDescent="0.2"/>
    <row r="106" spans="43:54" ht="11.25" customHeight="1" x14ac:dyDescent="0.2"/>
    <row r="107" spans="43:54" ht="11.25" customHeight="1" x14ac:dyDescent="0.2"/>
    <row r="108" spans="43:54" ht="11.25" customHeight="1" x14ac:dyDescent="0.2"/>
    <row r="109" spans="43:54" ht="11.25" customHeight="1" x14ac:dyDescent="0.2"/>
    <row r="110" spans="43:54" ht="11.25" customHeight="1" x14ac:dyDescent="0.2"/>
    <row r="111" spans="43:54" ht="11.25" customHeight="1" x14ac:dyDescent="0.2"/>
    <row r="112" spans="43:54" ht="11.25" customHeight="1" x14ac:dyDescent="0.2">
      <c r="AQ112" s="45" t="s">
        <v>384</v>
      </c>
      <c r="AT112" s="144" t="str">
        <f>OHJE!I21</f>
        <v>Kehittämisyhtiö Witas Oy</v>
      </c>
      <c r="AU112" s="144"/>
      <c r="AV112" s="144"/>
      <c r="AW112" s="144"/>
      <c r="AX112" s="144"/>
      <c r="AY112" s="144"/>
      <c r="AZ112" s="144"/>
      <c r="BA112" s="144"/>
      <c r="BB112" s="144"/>
    </row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s="45" customFormat="1" ht="11.25" customHeight="1" x14ac:dyDescent="0.2"/>
    <row r="125" ht="11.25" customHeight="1" x14ac:dyDescent="0.2"/>
    <row r="126" ht="11.25" customHeight="1" x14ac:dyDescent="0.2"/>
    <row r="127" ht="11.25" customHeight="1" x14ac:dyDescent="0.2"/>
    <row r="128" ht="11.25" customHeight="1" x14ac:dyDescent="0.2"/>
    <row r="129" ht="4.5" customHeight="1" x14ac:dyDescent="0.2"/>
    <row r="130" ht="10.5" customHeight="1" x14ac:dyDescent="0.2"/>
    <row r="131" ht="10.5" customHeight="1" x14ac:dyDescent="0.2"/>
    <row r="132" ht="11.25" customHeight="1" x14ac:dyDescent="0.2"/>
    <row r="133" ht="11.25" customHeight="1" x14ac:dyDescent="0.2"/>
    <row r="134" ht="11.25" customHeight="1" x14ac:dyDescent="0.2"/>
    <row r="135" ht="11.25" customHeight="1" x14ac:dyDescent="0.2"/>
    <row r="136" ht="11.25" customHeight="1" x14ac:dyDescent="0.2"/>
    <row r="137" ht="11.25" customHeight="1" x14ac:dyDescent="0.2"/>
    <row r="138" ht="11.25" customHeight="1" x14ac:dyDescent="0.2"/>
    <row r="139" ht="11.25" customHeight="1" x14ac:dyDescent="0.2"/>
    <row r="140" ht="11.25" customHeight="1" x14ac:dyDescent="0.2"/>
    <row r="141" ht="11.25" customHeight="1" x14ac:dyDescent="0.2"/>
    <row r="142" ht="11.25" customHeight="1" x14ac:dyDescent="0.2"/>
    <row r="143" ht="11.25" customHeight="1" x14ac:dyDescent="0.2"/>
    <row r="144" ht="11.25" customHeight="1" x14ac:dyDescent="0.2"/>
    <row r="145" ht="11.25" customHeight="1" x14ac:dyDescent="0.2"/>
    <row r="146" ht="11.25" customHeight="1" x14ac:dyDescent="0.2"/>
    <row r="147" ht="11.25" customHeight="1" x14ac:dyDescent="0.2"/>
    <row r="148" ht="11.25" customHeight="1" x14ac:dyDescent="0.2"/>
    <row r="149" ht="11.25" customHeight="1" x14ac:dyDescent="0.2"/>
    <row r="150" ht="11.25" customHeight="1" x14ac:dyDescent="0.2"/>
    <row r="151" ht="11.25" customHeight="1" x14ac:dyDescent="0.2"/>
    <row r="152" ht="11.25" customHeight="1" x14ac:dyDescent="0.2"/>
    <row r="153" ht="11.25" customHeight="1" x14ac:dyDescent="0.2"/>
    <row r="154" ht="11.25" customHeight="1" x14ac:dyDescent="0.2"/>
    <row r="155" ht="11.25" customHeight="1" x14ac:dyDescent="0.2"/>
    <row r="156" ht="5.25" customHeight="1" x14ac:dyDescent="0.2"/>
    <row r="157" ht="11.25" customHeight="1" x14ac:dyDescent="0.2"/>
    <row r="158" ht="12" customHeight="1" x14ac:dyDescent="0.2"/>
    <row r="159" ht="12" customHeight="1" x14ac:dyDescent="0.2"/>
    <row r="160" ht="13.15" customHeight="1" x14ac:dyDescent="0.2"/>
    <row r="161" spans="18:19" ht="12" customHeight="1" x14ac:dyDescent="0.2"/>
    <row r="162" spans="18:19" ht="11.25" customHeight="1" x14ac:dyDescent="0.2"/>
    <row r="163" spans="18:19" ht="9.75" customHeight="1" x14ac:dyDescent="0.2"/>
    <row r="164" spans="18:19" x14ac:dyDescent="0.2">
      <c r="R164" s="32"/>
      <c r="S164" s="32"/>
    </row>
    <row r="177" ht="10.9" customHeight="1" x14ac:dyDescent="0.2"/>
    <row r="181" ht="11.65" customHeight="1" x14ac:dyDescent="0.2"/>
    <row r="196" spans="17:21" ht="4.1500000000000004" customHeight="1" x14ac:dyDescent="0.2"/>
    <row r="197" spans="17:21" ht="12" customHeight="1" x14ac:dyDescent="0.2"/>
    <row r="198" spans="17:21" ht="12" customHeight="1" x14ac:dyDescent="0.2"/>
    <row r="199" spans="17:21" ht="15" customHeight="1" x14ac:dyDescent="0.2">
      <c r="Q199" s="33"/>
      <c r="R199" s="33">
        <f>'8. T4 RAHOITUSSUUN. '!AB43</f>
        <v>0</v>
      </c>
      <c r="S199" s="33"/>
      <c r="T199" s="33"/>
      <c r="U199" s="33"/>
    </row>
    <row r="200" spans="17:21" ht="15" customHeight="1" x14ac:dyDescent="0.2"/>
    <row r="201" spans="17:21" ht="15" customHeight="1" x14ac:dyDescent="0.2"/>
    <row r="202" spans="17:21" ht="15" customHeight="1" x14ac:dyDescent="0.2"/>
    <row r="203" spans="17:21" ht="15" customHeight="1" x14ac:dyDescent="0.2"/>
    <row r="204" spans="17:21" ht="15" customHeight="1" x14ac:dyDescent="0.2"/>
    <row r="205" spans="17:21" ht="15" customHeight="1" x14ac:dyDescent="0.2"/>
    <row r="206" spans="17:21" ht="15" customHeight="1" x14ac:dyDescent="0.2"/>
    <row r="207" spans="17:21" ht="15" customHeight="1" x14ac:dyDescent="0.2"/>
    <row r="208" spans="17:21" ht="15" customHeight="1" x14ac:dyDescent="0.2"/>
    <row r="209" ht="15" customHeight="1" x14ac:dyDescent="0.2"/>
    <row r="210" ht="15" customHeight="1" x14ac:dyDescent="0.2"/>
    <row r="211" ht="15" customHeight="1" x14ac:dyDescent="0.2"/>
  </sheetData>
  <sheetProtection algorithmName="SHA-512" hashValue="2kmjEyO3QCbUYUV4cT8sLx74vJ2yCPeGVm2oFDu5+2PCX9qx8MDV566IRQ43PDobVsMEDSbllQAEzgMMstZOEw==" saltValue="+MIcAHk0GvaqRKWEyPlx3A==" spinCount="100000" sheet="1" objects="1" scenarios="1" selectLockedCells="1"/>
  <mergeCells count="272">
    <mergeCell ref="B33:C34"/>
    <mergeCell ref="M41:O41"/>
    <mergeCell ref="K40:K41"/>
    <mergeCell ref="B42:C42"/>
    <mergeCell ref="D51:E51"/>
    <mergeCell ref="F51:G51"/>
    <mergeCell ref="L51:M51"/>
    <mergeCell ref="N51:O51"/>
    <mergeCell ref="B51:C53"/>
    <mergeCell ref="D52:E52"/>
    <mergeCell ref="F52:G52"/>
    <mergeCell ref="J51:K51"/>
    <mergeCell ref="I33:O34"/>
    <mergeCell ref="H51:I51"/>
    <mergeCell ref="L52:M52"/>
    <mergeCell ref="N52:O52"/>
    <mergeCell ref="H52:I52"/>
    <mergeCell ref="J52:K52"/>
    <mergeCell ref="B49:C49"/>
    <mergeCell ref="G5:H5"/>
    <mergeCell ref="I6:J6"/>
    <mergeCell ref="I5:J5"/>
    <mergeCell ref="L5:O5"/>
    <mergeCell ref="I8:O8"/>
    <mergeCell ref="I9:O9"/>
    <mergeCell ref="I10:O10"/>
    <mergeCell ref="I12:O12"/>
    <mergeCell ref="AM17:AN17"/>
    <mergeCell ref="AK16:AL16"/>
    <mergeCell ref="AA17:AD17"/>
    <mergeCell ref="AX5:AX6"/>
    <mergeCell ref="AY5:AY6"/>
    <mergeCell ref="AA8:AD8"/>
    <mergeCell ref="AE5:AF5"/>
    <mergeCell ref="AG5:AH5"/>
    <mergeCell ref="AI5:AJ5"/>
    <mergeCell ref="AK5:AL5"/>
    <mergeCell ref="AM5:AN5"/>
    <mergeCell ref="AO5:AP5"/>
    <mergeCell ref="AA5:AD6"/>
    <mergeCell ref="AO7:AP7"/>
    <mergeCell ref="AM7:AN7"/>
    <mergeCell ref="AK7:AL7"/>
    <mergeCell ref="AI7:AJ7"/>
    <mergeCell ref="AO6:AP6"/>
    <mergeCell ref="AM6:AN6"/>
    <mergeCell ref="AK6:AL6"/>
    <mergeCell ref="AO8:AP8"/>
    <mergeCell ref="AU5:AU6"/>
    <mergeCell ref="AR5:AS7"/>
    <mergeCell ref="AV5:AV6"/>
    <mergeCell ref="AK8:AL8"/>
    <mergeCell ref="AT5:AT6"/>
    <mergeCell ref="AA2:AB2"/>
    <mergeCell ref="Q4:S4"/>
    <mergeCell ref="Q5:R6"/>
    <mergeCell ref="AI12:AJ12"/>
    <mergeCell ref="Q3:S3"/>
    <mergeCell ref="AM8:AN8"/>
    <mergeCell ref="AI10:AJ10"/>
    <mergeCell ref="I11:O11"/>
    <mergeCell ref="AW5:AW6"/>
    <mergeCell ref="AK12:AL12"/>
    <mergeCell ref="AR2:AR3"/>
    <mergeCell ref="AG7:AH7"/>
    <mergeCell ref="AK9:AL9"/>
    <mergeCell ref="AK10:AL10"/>
    <mergeCell ref="AO9:AP9"/>
    <mergeCell ref="AM9:AN9"/>
    <mergeCell ref="AO10:AP10"/>
    <mergeCell ref="B2:C2"/>
    <mergeCell ref="H14:H15"/>
    <mergeCell ref="I14:O15"/>
    <mergeCell ref="I7:O7"/>
    <mergeCell ref="E4:F4"/>
    <mergeCell ref="B14:C15"/>
    <mergeCell ref="AM10:AN10"/>
    <mergeCell ref="AO12:AP12"/>
    <mergeCell ref="AI11:AJ11"/>
    <mergeCell ref="AO13:AP13"/>
    <mergeCell ref="AM15:AN15"/>
    <mergeCell ref="B9:D9"/>
    <mergeCell ref="AI9:AJ9"/>
    <mergeCell ref="AI6:AJ6"/>
    <mergeCell ref="AE8:AF8"/>
    <mergeCell ref="Q2:R2"/>
    <mergeCell ref="AG8:AH8"/>
    <mergeCell ref="AI8:AJ8"/>
    <mergeCell ref="AA15:AD15"/>
    <mergeCell ref="AA13:AD13"/>
    <mergeCell ref="AA10:AD10"/>
    <mergeCell ref="AE6:AF6"/>
    <mergeCell ref="AG6:AH6"/>
    <mergeCell ref="AE7:AF7"/>
    <mergeCell ref="Q26:S27"/>
    <mergeCell ref="R49:S49"/>
    <mergeCell ref="AA40:AA41"/>
    <mergeCell ref="AE29:AF29"/>
    <mergeCell ref="AE24:AP25"/>
    <mergeCell ref="AN38:AO38"/>
    <mergeCell ref="AN35:AO35"/>
    <mergeCell ref="AD40:AD42"/>
    <mergeCell ref="AK41:AM41"/>
    <mergeCell ref="AE31:AF31"/>
    <mergeCell ref="AE32:AF32"/>
    <mergeCell ref="AN32:AO32"/>
    <mergeCell ref="AN31:AO31"/>
    <mergeCell ref="AN27:AP27"/>
    <mergeCell ref="AK40:AM40"/>
    <mergeCell ref="AK36:AL36"/>
    <mergeCell ref="AK27:AM27"/>
    <mergeCell ref="AK32:AL32"/>
    <mergeCell ref="AH26:AJ26"/>
    <mergeCell ref="AH27:AJ27"/>
    <mergeCell ref="AN30:AO30"/>
    <mergeCell ref="AA25:AA27"/>
    <mergeCell ref="AK31:AL31"/>
    <mergeCell ref="AW80:AY80"/>
    <mergeCell ref="AK81:AP81"/>
    <mergeCell ref="AW81:AY81"/>
    <mergeCell ref="AE33:AF33"/>
    <mergeCell ref="AE34:AF34"/>
    <mergeCell ref="AK33:AL33"/>
    <mergeCell ref="AK34:AL34"/>
    <mergeCell ref="AE27:AG27"/>
    <mergeCell ref="AE30:AF30"/>
    <mergeCell ref="AE36:AF36"/>
    <mergeCell ref="AH36:AI36"/>
    <mergeCell ref="AE35:AF35"/>
    <mergeCell ref="AH35:AI35"/>
    <mergeCell ref="AK35:AL35"/>
    <mergeCell ref="AE41:AG41"/>
    <mergeCell ref="AE38:AF38"/>
    <mergeCell ref="AH38:AI38"/>
    <mergeCell ref="AK38:AL38"/>
    <mergeCell ref="AN36:AO36"/>
    <mergeCell ref="AN41:AP41"/>
    <mergeCell ref="AN40:AP40"/>
    <mergeCell ref="AN28:AO28"/>
    <mergeCell ref="AK28:AL28"/>
    <mergeCell ref="AH29:AI29"/>
    <mergeCell ref="AE19:AF19"/>
    <mergeCell ref="AI16:AJ16"/>
    <mergeCell ref="AE26:AG26"/>
    <mergeCell ref="AE9:AF9"/>
    <mergeCell ref="AG9:AH9"/>
    <mergeCell ref="AK18:AL18"/>
    <mergeCell ref="AI19:AJ19"/>
    <mergeCell ref="AG13:AH13"/>
    <mergeCell ref="AG19:AH19"/>
    <mergeCell ref="AI18:AJ18"/>
    <mergeCell ref="AG10:AH10"/>
    <mergeCell ref="AG11:AH11"/>
    <mergeCell ref="AG12:AH12"/>
    <mergeCell ref="AK15:AL15"/>
    <mergeCell ref="AE10:AF10"/>
    <mergeCell ref="AG14:AH14"/>
    <mergeCell ref="AI17:AJ17"/>
    <mergeCell ref="AE15:AF15"/>
    <mergeCell ref="AG15:AH15"/>
    <mergeCell ref="AE16:AF16"/>
    <mergeCell ref="AG16:AH16"/>
    <mergeCell ref="AE17:AF17"/>
    <mergeCell ref="AG17:AH17"/>
    <mergeCell ref="AK17:AL17"/>
    <mergeCell ref="AA78:AD78"/>
    <mergeCell ref="AN29:AO29"/>
    <mergeCell ref="AH32:AI32"/>
    <mergeCell ref="AH33:AI33"/>
    <mergeCell ref="AH34:AI34"/>
    <mergeCell ref="AC40:AC42"/>
    <mergeCell ref="AA23:AB23"/>
    <mergeCell ref="AE11:AF11"/>
    <mergeCell ref="AE12:AF12"/>
    <mergeCell ref="AE18:AF18"/>
    <mergeCell ref="AG18:AH18"/>
    <mergeCell ref="AH30:AI30"/>
    <mergeCell ref="AH31:AI31"/>
    <mergeCell ref="AO16:AP16"/>
    <mergeCell ref="AM16:AN16"/>
    <mergeCell ref="AM18:AN18"/>
    <mergeCell ref="AO18:AP18"/>
    <mergeCell ref="AE13:AF13"/>
    <mergeCell ref="AE14:AF14"/>
    <mergeCell ref="AM19:AN19"/>
    <mergeCell ref="AO19:AP19"/>
    <mergeCell ref="AI13:AJ13"/>
    <mergeCell ref="AK13:AL13"/>
    <mergeCell ref="AM13:AN13"/>
    <mergeCell ref="Q51:S52"/>
    <mergeCell ref="Q24:S24"/>
    <mergeCell ref="R81:V81"/>
    <mergeCell ref="AA81:AJ81"/>
    <mergeCell ref="BF79:BI79"/>
    <mergeCell ref="AB25:AB28"/>
    <mergeCell ref="AC25:AC28"/>
    <mergeCell ref="AD25:AD28"/>
    <mergeCell ref="AB40:AB42"/>
    <mergeCell ref="AH28:AI28"/>
    <mergeCell ref="AE40:AG40"/>
    <mergeCell ref="AH40:AJ40"/>
    <mergeCell ref="AB61:AB62"/>
    <mergeCell ref="AC61:AC62"/>
    <mergeCell ref="AD61:AD62"/>
    <mergeCell ref="AE61:AG61"/>
    <mergeCell ref="AH61:AJ61"/>
    <mergeCell ref="AK61:AM61"/>
    <mergeCell ref="AN61:AP61"/>
    <mergeCell ref="AN26:AP26"/>
    <mergeCell ref="AK26:AM26"/>
    <mergeCell ref="AE28:AF28"/>
    <mergeCell ref="AA61:AA62"/>
    <mergeCell ref="R57:U57"/>
    <mergeCell ref="AO17:AP17"/>
    <mergeCell ref="AK19:AL19"/>
    <mergeCell ref="AO11:AP11"/>
    <mergeCell ref="AK11:AL11"/>
    <mergeCell ref="AM11:AN11"/>
    <mergeCell ref="AI14:AJ14"/>
    <mergeCell ref="AK14:AL14"/>
    <mergeCell ref="AM14:AN14"/>
    <mergeCell ref="AO14:AP14"/>
    <mergeCell ref="AM12:AN12"/>
    <mergeCell ref="AI15:AJ15"/>
    <mergeCell ref="F76:G76"/>
    <mergeCell ref="H76:I76"/>
    <mergeCell ref="J76:K76"/>
    <mergeCell ref="H77:I77"/>
    <mergeCell ref="J77:K77"/>
    <mergeCell ref="L77:M77"/>
    <mergeCell ref="N77:O77"/>
    <mergeCell ref="J81:O81"/>
    <mergeCell ref="W81:Y81"/>
    <mergeCell ref="L76:M76"/>
    <mergeCell ref="N76:O76"/>
    <mergeCell ref="R58:U58"/>
    <mergeCell ref="R66:U66"/>
    <mergeCell ref="R69:U69"/>
    <mergeCell ref="R63:U63"/>
    <mergeCell ref="R70:U70"/>
    <mergeCell ref="R71:U71"/>
    <mergeCell ref="R72:U72"/>
    <mergeCell ref="R73:U73"/>
    <mergeCell ref="R68:U68"/>
    <mergeCell ref="R67:U67"/>
    <mergeCell ref="R64:U64"/>
    <mergeCell ref="R65:U65"/>
    <mergeCell ref="R62:U62"/>
    <mergeCell ref="AR81:AV81"/>
    <mergeCell ref="B10:H12"/>
    <mergeCell ref="AN33:AO33"/>
    <mergeCell ref="AN34:AO34"/>
    <mergeCell ref="AK29:AL29"/>
    <mergeCell ref="AK30:AL30"/>
    <mergeCell ref="B80:C80"/>
    <mergeCell ref="AA80:AB80"/>
    <mergeCell ref="R74:U74"/>
    <mergeCell ref="R75:U75"/>
    <mergeCell ref="R59:U59"/>
    <mergeCell ref="I80:O80"/>
    <mergeCell ref="W80:Y80"/>
    <mergeCell ref="AH41:AJ41"/>
    <mergeCell ref="AK80:AP80"/>
    <mergeCell ref="Q78:S78"/>
    <mergeCell ref="AA69:AD69"/>
    <mergeCell ref="D77:E77"/>
    <mergeCell ref="F77:G77"/>
    <mergeCell ref="AO15:AP15"/>
    <mergeCell ref="C70:C71"/>
    <mergeCell ref="B70:B71"/>
    <mergeCell ref="R77:U77"/>
    <mergeCell ref="D76:E76"/>
  </mergeCells>
  <conditionalFormatting sqref="AT10:AY10">
    <cfRule type="containsText" dxfId="27" priority="33" operator="containsText" text="Hyvä">
      <formula>NOT(ISERROR(SEARCH("Hyvä",AT10)))</formula>
    </cfRule>
    <cfRule type="containsText" dxfId="26" priority="34" operator="containsText" text="Tyydyttävä">
      <formula>NOT(ISERROR(SEARCH("Tyydyttävä",AT10)))</formula>
    </cfRule>
    <cfRule type="containsText" dxfId="25" priority="35" operator="containsText" text="Heikko">
      <formula>NOT(ISERROR(SEARCH("Heikko",AT10)))</formula>
    </cfRule>
    <cfRule type="containsText" dxfId="24" priority="45" operator="containsText" text="Hyvä">
      <formula>NOT(ISERROR(SEARCH("Hyvä",AT10)))</formula>
    </cfRule>
    <cfRule type="containsText" dxfId="23" priority="46" operator="containsText" text="Tyydyttävä">
      <formula>NOT(ISERROR(SEARCH("Tyydyttävä",AT10)))</formula>
    </cfRule>
    <cfRule type="containsText" dxfId="22" priority="47" operator="containsText" text="Heikko">
      <formula>NOT(ISERROR(SEARCH("Heikko",AT10)))</formula>
    </cfRule>
  </conditionalFormatting>
  <conditionalFormatting sqref="AT12:AY12">
    <cfRule type="containsText" dxfId="21" priority="27" operator="containsText" text="Hyvä">
      <formula>NOT(ISERROR(SEARCH("Hyvä",AT12)))</formula>
    </cfRule>
    <cfRule type="containsText" dxfId="20" priority="28" operator="containsText" text="Tyydyttävä">
      <formula>NOT(ISERROR(SEARCH("Tyydyttävä",AT12)))</formula>
    </cfRule>
    <cfRule type="containsText" dxfId="19" priority="29" operator="containsText" text="Heikko">
      <formula>NOT(ISERROR(SEARCH("Heikko",AT12)))</formula>
    </cfRule>
    <cfRule type="containsText" dxfId="18" priority="30" operator="containsText" text="Hyvä">
      <formula>NOT(ISERROR(SEARCH("Hyvä",AT12)))</formula>
    </cfRule>
    <cfRule type="containsText" dxfId="17" priority="31" operator="containsText" text="Tyydyttävä">
      <formula>NOT(ISERROR(SEARCH("Tyydyttävä",AT12)))</formula>
    </cfRule>
    <cfRule type="containsText" dxfId="16" priority="32" operator="containsText" text="Heikko">
      <formula>NOT(ISERROR(SEARCH("Heikko",AT12)))</formula>
    </cfRule>
  </conditionalFormatting>
  <conditionalFormatting sqref="AT15:AY15">
    <cfRule type="containsText" dxfId="15" priority="21" operator="containsText" text="Hyvä">
      <formula>NOT(ISERROR(SEARCH("Hyvä",AT15)))</formula>
    </cfRule>
    <cfRule type="containsText" dxfId="14" priority="22" operator="containsText" text="Tyydyttävä">
      <formula>NOT(ISERROR(SEARCH("Tyydyttävä",AT15)))</formula>
    </cfRule>
    <cfRule type="containsText" dxfId="13" priority="23" operator="containsText" text="Heikko">
      <formula>NOT(ISERROR(SEARCH("Heikko",AT15)))</formula>
    </cfRule>
    <cfRule type="containsText" dxfId="12" priority="24" operator="containsText" text="Hyvä">
      <formula>NOT(ISERROR(SEARCH("Hyvä",AT15)))</formula>
    </cfRule>
    <cfRule type="containsText" dxfId="11" priority="25" operator="containsText" text="Tyydyttävä">
      <formula>NOT(ISERROR(SEARCH("Tyydyttävä",AT15)))</formula>
    </cfRule>
    <cfRule type="containsText" dxfId="10" priority="26" operator="containsText" text="Heikko">
      <formula>NOT(ISERROR(SEARCH("Heikko",AT15)))</formula>
    </cfRule>
  </conditionalFormatting>
  <conditionalFormatting sqref="AT18:AY18">
    <cfRule type="containsText" dxfId="9" priority="3" operator="containsText" text="Hyvä">
      <formula>NOT(ISERROR(SEARCH("Hyvä",AT18)))</formula>
    </cfRule>
    <cfRule type="containsText" dxfId="8" priority="4" operator="containsText" text="Tyydyttävä">
      <formula>NOT(ISERROR(SEARCH("Tyydyttävä",AT18)))</formula>
    </cfRule>
    <cfRule type="containsText" dxfId="7" priority="5" operator="containsText" text="Heikko">
      <formula>NOT(ISERROR(SEARCH("Heikko",AT18)))</formula>
    </cfRule>
  </conditionalFormatting>
  <conditionalFormatting sqref="AT20:AY20">
    <cfRule type="containsText" dxfId="6" priority="1" operator="containsText" text="Hyvä">
      <formula>NOT(ISERROR(SEARCH("Hyvä",AT20)))</formula>
    </cfRule>
    <cfRule type="containsText" dxfId="5" priority="2" operator="containsText" text="Nettovelaton">
      <formula>NOT(ISERROR(SEARCH("Nettovelaton",AT20)))</formula>
    </cfRule>
    <cfRule type="containsText" dxfId="4" priority="6" operator="containsText" text="Heikko">
      <formula>NOT(ISERROR(SEARCH("Heikko",AT20)))</formula>
    </cfRule>
    <cfRule type="containsText" dxfId="3" priority="7" operator="containsText" text="Hyvä">
      <formula>NOT(ISERROR(SEARCH("Hyvä",AT20)))</formula>
    </cfRule>
  </conditionalFormatting>
  <conditionalFormatting sqref="AU18:AY18">
    <cfRule type="containsText" dxfId="2" priority="18" operator="containsText" text="Hyvä">
      <formula>NOT(ISERROR(SEARCH("Hyvä",AU18)))</formula>
    </cfRule>
    <cfRule type="containsText" dxfId="1" priority="19" operator="containsText" text="Tyydyttävä">
      <formula>NOT(ISERROR(SEARCH("Tyydyttävä",AU18)))</formula>
    </cfRule>
    <cfRule type="containsText" dxfId="0" priority="20" operator="containsText" text="Heikko">
      <formula>NOT(ISERROR(SEARCH("Heikko",AU18)))</formula>
    </cfRule>
  </conditionalFormatting>
  <printOptions horizontalCentered="1" verticalCentered="1"/>
  <pageMargins left="0.23622047244094491" right="0.23622047244094491" top="0.39370078740157483" bottom="0.35433070866141736" header="0.31496062992125984" footer="0.31496062992125984"/>
  <pageSetup paperSize="9" scale="85" orientation="portrait" r:id="rId1"/>
  <headerFooter alignWithMargins="0"/>
  <rowBreaks count="1" manualBreakCount="1">
    <brk id="1" min="16" max="29" man="1"/>
  </rowBreaks>
  <colBreaks count="3" manualBreakCount="3">
    <brk id="15" min="1" max="80" man="1"/>
    <brk id="25" min="1" max="80" man="1"/>
    <brk id="42" min="1" max="80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ul81"/>
  <dimension ref="A1:AL61"/>
  <sheetViews>
    <sheetView workbookViewId="0"/>
  </sheetViews>
  <sheetFormatPr defaultRowHeight="12.75" x14ac:dyDescent="0.2"/>
  <cols>
    <col min="2" max="2" width="41" customWidth="1"/>
    <col min="7" max="7" width="4.85546875" customWidth="1"/>
    <col min="9" max="9" width="41.85546875" customWidth="1"/>
    <col min="10" max="10" width="7.28515625" customWidth="1"/>
    <col min="13" max="13" width="10.7109375" customWidth="1"/>
    <col min="21" max="21" width="10" customWidth="1"/>
    <col min="24" max="25" width="23.85546875" customWidth="1"/>
  </cols>
  <sheetData>
    <row r="1" spans="1:38" ht="32.65" customHeight="1" thickBot="1" x14ac:dyDescent="0.25"/>
    <row r="2" spans="1:38" ht="15.75" customHeight="1" x14ac:dyDescent="0.2">
      <c r="B2" s="2299" t="s">
        <v>147</v>
      </c>
      <c r="C2" s="40" t="s">
        <v>15</v>
      </c>
      <c r="D2" s="40" t="s">
        <v>1</v>
      </c>
      <c r="E2" s="40" t="s">
        <v>12</v>
      </c>
      <c r="F2" s="164" t="s">
        <v>212</v>
      </c>
      <c r="G2" s="20"/>
      <c r="H2" s="20"/>
      <c r="I2" s="390" t="s">
        <v>266</v>
      </c>
      <c r="J2" s="2" t="str">
        <f>'9. T5 KASSABUDJETTI  '!F9</f>
        <v>Alv-%</v>
      </c>
      <c r="K2" s="1476">
        <f>'9. T5 KASSABUDJETTI  '!G9</f>
        <v>46388</v>
      </c>
      <c r="L2" s="1476">
        <f>'9. T5 KASSABUDJETTI  '!H9</f>
        <v>46419</v>
      </c>
      <c r="M2" s="1476">
        <f>'9. T5 KASSABUDJETTI  '!I9</f>
        <v>46450</v>
      </c>
      <c r="N2" s="1476">
        <f>'9. T5 KASSABUDJETTI  '!J9</f>
        <v>46481</v>
      </c>
      <c r="O2" s="1476">
        <f>'9. T5 KASSABUDJETTI  '!K9</f>
        <v>46512</v>
      </c>
      <c r="P2" s="1476">
        <f>'9. T5 KASSABUDJETTI  '!L9</f>
        <v>46543</v>
      </c>
      <c r="Q2" s="1476">
        <f>'9. T5 KASSABUDJETTI  '!M9</f>
        <v>46574</v>
      </c>
      <c r="R2" s="1476">
        <f>'9. T5 KASSABUDJETTI  '!N9</f>
        <v>46605</v>
      </c>
      <c r="S2" s="1476">
        <f>'9. T5 KASSABUDJETTI  '!O9</f>
        <v>46636</v>
      </c>
      <c r="T2" s="1476">
        <f>'9. T5 KASSABUDJETTI  '!P9</f>
        <v>46667</v>
      </c>
      <c r="U2" s="1476">
        <f>'9. T5 KASSABUDJETTI  '!Q9</f>
        <v>46698</v>
      </c>
      <c r="V2" s="1476">
        <f>'9. T5 KASSABUDJETTI  '!R9</f>
        <v>46729</v>
      </c>
      <c r="X2" s="20"/>
      <c r="Y2" s="1479"/>
      <c r="Z2" s="2"/>
      <c r="AA2" s="1476"/>
      <c r="AB2" s="1476"/>
      <c r="AC2" s="1476"/>
      <c r="AD2" s="1476"/>
      <c r="AE2" s="1476"/>
      <c r="AF2" s="1476"/>
      <c r="AG2" s="1476"/>
      <c r="AH2" s="1476"/>
      <c r="AI2" s="1476"/>
      <c r="AJ2" s="1476"/>
      <c r="AK2" s="1476"/>
      <c r="AL2" s="1476"/>
    </row>
    <row r="3" spans="1:38" x14ac:dyDescent="0.2">
      <c r="B3" s="2300"/>
      <c r="C3" s="165">
        <f>'1. T1 INVESTOINTISUUN.'!D16</f>
        <v>2027</v>
      </c>
      <c r="D3" s="165">
        <f>'1. T1 INVESTOINTISUUN.'!E16</f>
        <v>2028</v>
      </c>
      <c r="E3" s="165">
        <f>'1. T1 INVESTOINTISUUN.'!F16</f>
        <v>2029</v>
      </c>
      <c r="F3" s="165">
        <f>'1. T1 INVESTOINTISUUN.'!G16</f>
        <v>2030</v>
      </c>
      <c r="G3" s="391"/>
      <c r="H3" s="21" t="str">
        <f>'9. T5 KASSABUDJETTI  '!B12</f>
        <v>2.</v>
      </c>
      <c r="I3" s="396" t="str">
        <f>'9. T5 KASSABUDJETTI  '!C12</f>
        <v xml:space="preserve"> Käteismyynti, ennakkom./ myyntisosuus-%</v>
      </c>
      <c r="J3">
        <f>'9. T5 KASSABUDJETTI  '!F12</f>
        <v>25.5</v>
      </c>
      <c r="K3">
        <f>'9. T5 KASSABUDJETTI  '!G12</f>
        <v>0</v>
      </c>
      <c r="L3">
        <f>'9. T5 KASSABUDJETTI  '!H12</f>
        <v>0</v>
      </c>
      <c r="M3">
        <f>'9. T5 KASSABUDJETTI  '!I12</f>
        <v>0</v>
      </c>
      <c r="N3">
        <f>'9. T5 KASSABUDJETTI  '!J12</f>
        <v>0</v>
      </c>
      <c r="O3">
        <f>'9. T5 KASSABUDJETTI  '!K12</f>
        <v>0</v>
      </c>
      <c r="P3">
        <f>'9. T5 KASSABUDJETTI  '!L12</f>
        <v>0</v>
      </c>
      <c r="Q3">
        <f>'9. T5 KASSABUDJETTI  '!M12</f>
        <v>0</v>
      </c>
      <c r="R3">
        <f>'9. T5 KASSABUDJETTI  '!N12</f>
        <v>0</v>
      </c>
      <c r="S3">
        <f>'9. T5 KASSABUDJETTI  '!O12</f>
        <v>0</v>
      </c>
      <c r="T3">
        <f>'9. T5 KASSABUDJETTI  '!P12</f>
        <v>0</v>
      </c>
      <c r="U3">
        <f>'9. T5 KASSABUDJETTI  '!Q12</f>
        <v>0</v>
      </c>
      <c r="V3">
        <f>'9. T5 KASSABUDJETTI  '!R12</f>
        <v>0</v>
      </c>
      <c r="W3">
        <f>SUM(K3:V3)</f>
        <v>0</v>
      </c>
      <c r="Y3" s="1480"/>
    </row>
    <row r="4" spans="1:38" x14ac:dyDescent="0.2">
      <c r="A4" t="str">
        <f>'1. T1 INVESTOINTISUUN.'!B17</f>
        <v>1.</v>
      </c>
      <c r="B4" s="78" t="str">
        <f>'1. T1 INVESTOINTISUUN.'!C17</f>
        <v xml:space="preserve"> Maa-alueet ja vesialueet, liittymät yms.</v>
      </c>
      <c r="C4" s="78">
        <f>'1. T1 INVESTOINTISUUN.'!D17</f>
        <v>0</v>
      </c>
      <c r="D4" s="78">
        <f>'1. T1 INVESTOINTISUUN.'!E17</f>
        <v>0</v>
      </c>
      <c r="E4" s="78">
        <f>'1. T1 INVESTOINTISUUN.'!F17</f>
        <v>0</v>
      </c>
      <c r="F4" s="78">
        <f>'1. T1 INVESTOINTISUUN.'!G17</f>
        <v>0</v>
      </c>
      <c r="I4" s="397" t="s">
        <v>267</v>
      </c>
      <c r="K4">
        <f t="shared" ref="K4:V4" si="0">K3-K3/(1+$J3%)</f>
        <v>0</v>
      </c>
      <c r="L4">
        <f t="shared" si="0"/>
        <v>0</v>
      </c>
      <c r="M4">
        <f t="shared" si="0"/>
        <v>0</v>
      </c>
      <c r="N4">
        <f t="shared" si="0"/>
        <v>0</v>
      </c>
      <c r="O4">
        <f t="shared" si="0"/>
        <v>0</v>
      </c>
      <c r="P4">
        <f t="shared" si="0"/>
        <v>0</v>
      </c>
      <c r="Q4">
        <f t="shared" si="0"/>
        <v>0</v>
      </c>
      <c r="R4">
        <f t="shared" si="0"/>
        <v>0</v>
      </c>
      <c r="S4">
        <f t="shared" si="0"/>
        <v>0</v>
      </c>
      <c r="T4">
        <f t="shared" si="0"/>
        <v>0</v>
      </c>
      <c r="U4">
        <f t="shared" si="0"/>
        <v>0</v>
      </c>
      <c r="V4">
        <f t="shared" si="0"/>
        <v>0</v>
      </c>
      <c r="W4">
        <f t="shared" ref="W4:W61" si="1">SUM(K4:V4)</f>
        <v>0</v>
      </c>
      <c r="Y4" s="1481"/>
    </row>
    <row r="5" spans="1:38" x14ac:dyDescent="0.2">
      <c r="A5" s="1" t="s">
        <v>0</v>
      </c>
      <c r="B5" s="78" t="str">
        <f>'1. T1 INVESTOINTISUUN.'!C19</f>
        <v>• avustus-%</v>
      </c>
      <c r="C5" s="169">
        <f>'1. T1 INVESTOINTISUUN.'!D19</f>
        <v>0</v>
      </c>
      <c r="D5" s="169">
        <f>'1. T1 INVESTOINTISUUN.'!E19</f>
        <v>0</v>
      </c>
      <c r="E5" s="169">
        <f>'1. T1 INVESTOINTISUUN.'!F19</f>
        <v>0</v>
      </c>
      <c r="F5" s="169">
        <f>'1. T1 INVESTOINTISUUN.'!G19</f>
        <v>0</v>
      </c>
      <c r="G5" s="392"/>
      <c r="H5" s="21" t="str">
        <f>'9. T5 KASSABUDJETTI  '!B14</f>
        <v>3.</v>
      </c>
      <c r="I5" s="396" t="str">
        <f>'9. T5 KASSABUDJETTI  '!C14</f>
        <v xml:space="preserve"> Laskutusmyynti</v>
      </c>
      <c r="J5">
        <f>'9. T5 KASSABUDJETTI  '!F14</f>
        <v>25.5</v>
      </c>
      <c r="K5">
        <f>'9. T5 KASSABUDJETTI  '!G14</f>
        <v>0</v>
      </c>
      <c r="L5">
        <f>'9. T5 KASSABUDJETTI  '!H14</f>
        <v>0</v>
      </c>
      <c r="M5">
        <f>'9. T5 KASSABUDJETTI  '!I14</f>
        <v>0</v>
      </c>
      <c r="N5">
        <f>'9. T5 KASSABUDJETTI  '!J14</f>
        <v>0</v>
      </c>
      <c r="O5">
        <f>'9. T5 KASSABUDJETTI  '!K14</f>
        <v>0</v>
      </c>
      <c r="P5">
        <f>'9. T5 KASSABUDJETTI  '!L14</f>
        <v>0</v>
      </c>
      <c r="Q5">
        <f>'9. T5 KASSABUDJETTI  '!M14</f>
        <v>0</v>
      </c>
      <c r="R5">
        <f>'9. T5 KASSABUDJETTI  '!N14</f>
        <v>0</v>
      </c>
      <c r="S5">
        <f>'9. T5 KASSABUDJETTI  '!O14</f>
        <v>0</v>
      </c>
      <c r="T5">
        <f>'9. T5 KASSABUDJETTI  '!P14</f>
        <v>0</v>
      </c>
      <c r="U5">
        <f>'9. T5 KASSABUDJETTI  '!Q14</f>
        <v>0</v>
      </c>
      <c r="V5">
        <f>'9. T5 KASSABUDJETTI  '!R14</f>
        <v>0</v>
      </c>
      <c r="W5">
        <f t="shared" si="1"/>
        <v>0</v>
      </c>
      <c r="Y5" s="1480"/>
    </row>
    <row r="6" spans="1:38" x14ac:dyDescent="0.2">
      <c r="B6" s="166" t="s">
        <v>144</v>
      </c>
      <c r="C6" s="78">
        <f>C4*C5</f>
        <v>0</v>
      </c>
      <c r="D6" s="78">
        <f>D4*D5</f>
        <v>0</v>
      </c>
      <c r="E6" s="78">
        <f>E4*E5</f>
        <v>0</v>
      </c>
      <c r="F6" s="78">
        <f>F4*F5</f>
        <v>0</v>
      </c>
      <c r="I6" s="397" t="s">
        <v>267</v>
      </c>
      <c r="K6">
        <f t="shared" ref="K6:V6" si="2">K5-K5/(1+$J5%)</f>
        <v>0</v>
      </c>
      <c r="L6">
        <f t="shared" si="2"/>
        <v>0</v>
      </c>
      <c r="M6">
        <f t="shared" si="2"/>
        <v>0</v>
      </c>
      <c r="N6">
        <f t="shared" si="2"/>
        <v>0</v>
      </c>
      <c r="O6">
        <f t="shared" si="2"/>
        <v>0</v>
      </c>
      <c r="P6">
        <f t="shared" si="2"/>
        <v>0</v>
      </c>
      <c r="Q6">
        <f t="shared" si="2"/>
        <v>0</v>
      </c>
      <c r="R6">
        <f t="shared" si="2"/>
        <v>0</v>
      </c>
      <c r="S6">
        <f t="shared" si="2"/>
        <v>0</v>
      </c>
      <c r="T6">
        <f t="shared" si="2"/>
        <v>0</v>
      </c>
      <c r="U6">
        <f t="shared" si="2"/>
        <v>0</v>
      </c>
      <c r="V6">
        <f t="shared" si="2"/>
        <v>0</v>
      </c>
      <c r="W6">
        <f t="shared" si="1"/>
        <v>0</v>
      </c>
      <c r="Y6" s="1481"/>
    </row>
    <row r="7" spans="1:38" x14ac:dyDescent="0.2">
      <c r="B7" s="166" t="s">
        <v>185</v>
      </c>
      <c r="C7" s="78">
        <f>C4-C6</f>
        <v>0</v>
      </c>
      <c r="D7" s="78">
        <f>D4-D6</f>
        <v>0</v>
      </c>
      <c r="E7" s="78">
        <f>E4-E6</f>
        <v>0</v>
      </c>
      <c r="F7" s="78">
        <f>F4-F6</f>
        <v>0</v>
      </c>
      <c r="H7" s="21" t="str">
        <f>'9. T5 KASSABUDJETTI  '!B17</f>
        <v>4.</v>
      </c>
      <c r="I7" s="396" t="str">
        <f>'9. T5 KASSABUDJETTI  '!C17</f>
        <v xml:space="preserve"> Muut tuotot sis. alv (mm. liiketoim. muut tuotot, saneeraus)</v>
      </c>
      <c r="J7">
        <f>'9. T5 KASSABUDJETTI  '!F17</f>
        <v>25.5</v>
      </c>
      <c r="K7">
        <f>'9. T5 KASSABUDJETTI  '!G17</f>
        <v>0</v>
      </c>
      <c r="L7">
        <f>'9. T5 KASSABUDJETTI  '!H17</f>
        <v>0</v>
      </c>
      <c r="M7">
        <f>'9. T5 KASSABUDJETTI  '!I17</f>
        <v>0</v>
      </c>
      <c r="N7">
        <f>'9. T5 KASSABUDJETTI  '!J17</f>
        <v>0</v>
      </c>
      <c r="O7">
        <f>'9. T5 KASSABUDJETTI  '!K17</f>
        <v>0</v>
      </c>
      <c r="P7">
        <f>'9. T5 KASSABUDJETTI  '!L17</f>
        <v>0</v>
      </c>
      <c r="Q7">
        <f>'9. T5 KASSABUDJETTI  '!M17</f>
        <v>0</v>
      </c>
      <c r="R7">
        <f>'9. T5 KASSABUDJETTI  '!N17</f>
        <v>0</v>
      </c>
      <c r="S7">
        <f>'9. T5 KASSABUDJETTI  '!O17</f>
        <v>0</v>
      </c>
      <c r="T7">
        <f>'9. T5 KASSABUDJETTI  '!P17</f>
        <v>0</v>
      </c>
      <c r="U7">
        <f>'9. T5 KASSABUDJETTI  '!Q17</f>
        <v>0</v>
      </c>
      <c r="V7">
        <f>'9. T5 KASSABUDJETTI  '!R17</f>
        <v>0</v>
      </c>
      <c r="W7">
        <f t="shared" si="1"/>
        <v>0</v>
      </c>
      <c r="Y7" s="1480"/>
    </row>
    <row r="8" spans="1:38" x14ac:dyDescent="0.2">
      <c r="A8" s="4" t="str">
        <f>'1. T1 INVESTOINTISUUN.'!B20</f>
        <v>2.</v>
      </c>
      <c r="B8" s="166" t="str">
        <f>'1. T1 INVESTOINTISUUN.'!C20</f>
        <v xml:space="preserve"> Uudisrakennukset ja rakennelmat sis. alv </v>
      </c>
      <c r="C8" s="166">
        <f>'1. T1 INVESTOINTISUUN.'!D20</f>
        <v>0</v>
      </c>
      <c r="D8" s="166">
        <f>'1. T1 INVESTOINTISUUN.'!E20</f>
        <v>0</v>
      </c>
      <c r="E8" s="166">
        <f>'1. T1 INVESTOINTISUUN.'!F20</f>
        <v>0</v>
      </c>
      <c r="F8" s="166">
        <f>'1. T1 INVESTOINTISUUN.'!G20</f>
        <v>0</v>
      </c>
      <c r="G8" s="4"/>
      <c r="H8" s="32"/>
      <c r="I8" s="397" t="s">
        <v>267</v>
      </c>
      <c r="K8">
        <f t="shared" ref="K8:V8" si="3">K7-K7/(1+$J7%)</f>
        <v>0</v>
      </c>
      <c r="L8">
        <f t="shared" si="3"/>
        <v>0</v>
      </c>
      <c r="M8">
        <f t="shared" si="3"/>
        <v>0</v>
      </c>
      <c r="N8">
        <f t="shared" si="3"/>
        <v>0</v>
      </c>
      <c r="O8">
        <f t="shared" si="3"/>
        <v>0</v>
      </c>
      <c r="P8">
        <f t="shared" si="3"/>
        <v>0</v>
      </c>
      <c r="Q8">
        <f t="shared" si="3"/>
        <v>0</v>
      </c>
      <c r="R8">
        <f t="shared" si="3"/>
        <v>0</v>
      </c>
      <c r="S8">
        <f t="shared" si="3"/>
        <v>0</v>
      </c>
      <c r="T8">
        <f t="shared" si="3"/>
        <v>0</v>
      </c>
      <c r="U8">
        <f t="shared" si="3"/>
        <v>0</v>
      </c>
      <c r="V8">
        <f t="shared" si="3"/>
        <v>0</v>
      </c>
      <c r="W8">
        <f t="shared" si="1"/>
        <v>0</v>
      </c>
      <c r="Y8" s="1481"/>
    </row>
    <row r="9" spans="1:38" x14ac:dyDescent="0.2">
      <c r="A9" s="4"/>
      <c r="B9" s="166" t="str">
        <f>'1. T1 INVESTOINTISUUN.'!C22</f>
        <v>• arvonlisävero-%</v>
      </c>
      <c r="C9" s="167">
        <f>'1. T1 INVESTOINTISUUN.'!D22</f>
        <v>0.255</v>
      </c>
      <c r="D9" s="167">
        <f>'1. T1 INVESTOINTISUUN.'!E22</f>
        <v>0.255</v>
      </c>
      <c r="E9" s="167">
        <f>'1. T1 INVESTOINTISUUN.'!F22</f>
        <v>0.255</v>
      </c>
      <c r="F9" s="167">
        <f>'1. T1 INVESTOINTISUUN.'!G22</f>
        <v>0.255</v>
      </c>
      <c r="G9" s="393"/>
      <c r="H9" s="32"/>
      <c r="I9" s="398" t="s">
        <v>268</v>
      </c>
      <c r="J9" s="399"/>
      <c r="K9" s="399">
        <f>K4+K6+K8</f>
        <v>0</v>
      </c>
      <c r="L9" s="399">
        <f t="shared" ref="L9:V9" si="4">L4+L6+L8</f>
        <v>0</v>
      </c>
      <c r="M9" s="399">
        <f t="shared" si="4"/>
        <v>0</v>
      </c>
      <c r="N9" s="399">
        <f t="shared" si="4"/>
        <v>0</v>
      </c>
      <c r="O9" s="399">
        <f t="shared" si="4"/>
        <v>0</v>
      </c>
      <c r="P9" s="399">
        <f t="shared" si="4"/>
        <v>0</v>
      </c>
      <c r="Q9" s="399">
        <f t="shared" si="4"/>
        <v>0</v>
      </c>
      <c r="R9" s="399">
        <f t="shared" si="4"/>
        <v>0</v>
      </c>
      <c r="S9" s="399">
        <f t="shared" si="4"/>
        <v>0</v>
      </c>
      <c r="T9" s="399">
        <f t="shared" si="4"/>
        <v>0</v>
      </c>
      <c r="U9" s="399">
        <f t="shared" si="4"/>
        <v>0</v>
      </c>
      <c r="V9" s="399">
        <f t="shared" si="4"/>
        <v>0</v>
      </c>
      <c r="W9">
        <f t="shared" si="1"/>
        <v>0</v>
      </c>
      <c r="Y9" s="1482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399"/>
      <c r="AK9" s="399"/>
      <c r="AL9" s="399"/>
    </row>
    <row r="10" spans="1:38" x14ac:dyDescent="0.2">
      <c r="A10" s="4"/>
      <c r="B10" s="166" t="s">
        <v>143</v>
      </c>
      <c r="C10" s="168">
        <f>C8/(1+C9)</f>
        <v>0</v>
      </c>
      <c r="D10" s="168">
        <f>D8/(1+D9)</f>
        <v>0</v>
      </c>
      <c r="E10" s="168">
        <f>E8/(1+E9)</f>
        <v>0</v>
      </c>
      <c r="F10" s="168">
        <f>F8/(1+F9)</f>
        <v>0</v>
      </c>
      <c r="G10" s="394"/>
      <c r="H10" s="271" t="str">
        <f>'9. T5 KASSABUDJETTI  '!B22</f>
        <v>6.</v>
      </c>
      <c r="I10" s="32" t="str">
        <f>'9. T5 KASSABUDJETTI  '!C22</f>
        <v xml:space="preserve"> Aineet ja tarvikkeet</v>
      </c>
      <c r="J10">
        <f>'9. T5 KASSABUDJETTI  '!F22</f>
        <v>25.5</v>
      </c>
      <c r="K10">
        <f>'9. T5 KASSABUDJETTI  '!G22</f>
        <v>0</v>
      </c>
      <c r="L10">
        <f>'9. T5 KASSABUDJETTI  '!H22</f>
        <v>0</v>
      </c>
      <c r="M10">
        <f>'9. T5 KASSABUDJETTI  '!I22</f>
        <v>0</v>
      </c>
      <c r="N10">
        <f>'9. T5 KASSABUDJETTI  '!J22</f>
        <v>0</v>
      </c>
      <c r="O10">
        <f>'9. T5 KASSABUDJETTI  '!K22</f>
        <v>0</v>
      </c>
      <c r="P10">
        <f>'9. T5 KASSABUDJETTI  '!L22</f>
        <v>0</v>
      </c>
      <c r="Q10">
        <f>'9. T5 KASSABUDJETTI  '!M22</f>
        <v>0</v>
      </c>
      <c r="R10">
        <f>'9. T5 KASSABUDJETTI  '!N22</f>
        <v>0</v>
      </c>
      <c r="S10">
        <f>'9. T5 KASSABUDJETTI  '!O22</f>
        <v>0</v>
      </c>
      <c r="T10">
        <f>'9. T5 KASSABUDJETTI  '!P22</f>
        <v>0</v>
      </c>
      <c r="U10">
        <f>'9. T5 KASSABUDJETTI  '!Q22</f>
        <v>0</v>
      </c>
      <c r="V10">
        <f>'9. T5 KASSABUDJETTI  '!R22</f>
        <v>0</v>
      </c>
      <c r="W10">
        <f t="shared" si="1"/>
        <v>0</v>
      </c>
      <c r="Y10" s="1477"/>
    </row>
    <row r="11" spans="1:38" x14ac:dyDescent="0.2">
      <c r="A11" s="4" t="s">
        <v>0</v>
      </c>
      <c r="B11" s="166" t="s">
        <v>142</v>
      </c>
      <c r="C11" s="168">
        <f>C8-C10</f>
        <v>0</v>
      </c>
      <c r="D11" s="168">
        <f>D8-D10</f>
        <v>0</v>
      </c>
      <c r="E11" s="168">
        <f>E8-E10</f>
        <v>0</v>
      </c>
      <c r="F11" s="168">
        <f>F8-F10</f>
        <v>0</v>
      </c>
      <c r="G11" s="394"/>
      <c r="H11" s="6"/>
      <c r="I11" s="397" t="s">
        <v>267</v>
      </c>
      <c r="K11">
        <f t="shared" ref="K11:V11" si="5">K10-K10/(1+$J10%)</f>
        <v>0</v>
      </c>
      <c r="L11">
        <f t="shared" si="5"/>
        <v>0</v>
      </c>
      <c r="M11">
        <f t="shared" si="5"/>
        <v>0</v>
      </c>
      <c r="N11">
        <f t="shared" si="5"/>
        <v>0</v>
      </c>
      <c r="O11">
        <f t="shared" si="5"/>
        <v>0</v>
      </c>
      <c r="P11">
        <f t="shared" si="5"/>
        <v>0</v>
      </c>
      <c r="Q11">
        <f t="shared" si="5"/>
        <v>0</v>
      </c>
      <c r="R11">
        <f t="shared" si="5"/>
        <v>0</v>
      </c>
      <c r="S11">
        <f t="shared" si="5"/>
        <v>0</v>
      </c>
      <c r="T11">
        <f t="shared" si="5"/>
        <v>0</v>
      </c>
      <c r="U11">
        <f t="shared" si="5"/>
        <v>0</v>
      </c>
      <c r="V11">
        <f t="shared" si="5"/>
        <v>0</v>
      </c>
      <c r="W11">
        <f t="shared" si="1"/>
        <v>0</v>
      </c>
      <c r="Y11" s="1481"/>
    </row>
    <row r="12" spans="1:38" x14ac:dyDescent="0.2">
      <c r="A12" s="4"/>
      <c r="B12" s="166" t="str">
        <f>'1. T1 INVESTOINTISUUN.'!C23</f>
        <v>• avustus-%</v>
      </c>
      <c r="C12" s="167">
        <f>'1. T1 INVESTOINTISUUN.'!D23</f>
        <v>0</v>
      </c>
      <c r="D12" s="167">
        <f>'1. T1 INVESTOINTISUUN.'!E23</f>
        <v>0</v>
      </c>
      <c r="E12" s="167">
        <f>'1. T1 INVESTOINTISUUN.'!F23</f>
        <v>0</v>
      </c>
      <c r="F12" s="167">
        <f>'1. T1 INVESTOINTISUUN.'!G23</f>
        <v>0</v>
      </c>
      <c r="G12" s="393"/>
      <c r="H12" s="271" t="str">
        <f>'9. T5 KASSABUDJETTI  '!B24</f>
        <v>7.</v>
      </c>
      <c r="I12" s="32"/>
      <c r="W12">
        <f t="shared" si="1"/>
        <v>0</v>
      </c>
      <c r="Y12" s="1477"/>
    </row>
    <row r="13" spans="1:38" x14ac:dyDescent="0.2">
      <c r="A13" s="4"/>
      <c r="B13" s="166" t="s">
        <v>144</v>
      </c>
      <c r="C13" s="168">
        <f>C10*C12</f>
        <v>0</v>
      </c>
      <c r="D13" s="168">
        <f>D10*D12</f>
        <v>0</v>
      </c>
      <c r="E13" s="168">
        <f>E10*E12</f>
        <v>0</v>
      </c>
      <c r="F13" s="168">
        <f>F10*F12</f>
        <v>0</v>
      </c>
      <c r="G13" s="394"/>
      <c r="H13" s="6"/>
      <c r="I13" s="397"/>
      <c r="W13">
        <f t="shared" si="1"/>
        <v>0</v>
      </c>
      <c r="Y13" s="1481"/>
    </row>
    <row r="14" spans="1:38" x14ac:dyDescent="0.2">
      <c r="B14" s="166" t="s">
        <v>185</v>
      </c>
      <c r="C14" s="188">
        <f>C10-C13</f>
        <v>0</v>
      </c>
      <c r="D14" s="188">
        <f>D10-D13</f>
        <v>0</v>
      </c>
      <c r="E14" s="188">
        <f>E10-E13</f>
        <v>0</v>
      </c>
      <c r="F14" s="188">
        <f>F10-F13</f>
        <v>0</v>
      </c>
      <c r="G14" s="32"/>
      <c r="H14" s="271" t="str">
        <f>'9. T5 KASSABUDJETTI  '!B25</f>
        <v>7.</v>
      </c>
      <c r="I14" s="32" t="str">
        <f>'9. T5 KASSABUDJETTI  '!C25</f>
        <v xml:space="preserve"> Ulkopuoliset palvelut</v>
      </c>
      <c r="J14">
        <f>'9. T5 KASSABUDJETTI  '!F25</f>
        <v>25.5</v>
      </c>
      <c r="K14">
        <f>'9. T5 KASSABUDJETTI  '!G25</f>
        <v>0</v>
      </c>
      <c r="L14">
        <f>'9. T5 KASSABUDJETTI  '!H25</f>
        <v>0</v>
      </c>
      <c r="M14">
        <f>'9. T5 KASSABUDJETTI  '!I25</f>
        <v>0</v>
      </c>
      <c r="N14">
        <f>'9. T5 KASSABUDJETTI  '!J25</f>
        <v>0</v>
      </c>
      <c r="O14">
        <f>'9. T5 KASSABUDJETTI  '!K25</f>
        <v>0</v>
      </c>
      <c r="P14">
        <f>'9. T5 KASSABUDJETTI  '!L25</f>
        <v>0</v>
      </c>
      <c r="Q14">
        <f>'9. T5 KASSABUDJETTI  '!M25</f>
        <v>0</v>
      </c>
      <c r="R14">
        <f>'9. T5 KASSABUDJETTI  '!N25</f>
        <v>0</v>
      </c>
      <c r="S14">
        <f>'9. T5 KASSABUDJETTI  '!O25</f>
        <v>0</v>
      </c>
      <c r="T14">
        <f>'9. T5 KASSABUDJETTI  '!P25</f>
        <v>0</v>
      </c>
      <c r="U14">
        <f>'9. T5 KASSABUDJETTI  '!Q25</f>
        <v>0</v>
      </c>
      <c r="V14">
        <f>'9. T5 KASSABUDJETTI  '!R25</f>
        <v>0</v>
      </c>
      <c r="W14">
        <f t="shared" si="1"/>
        <v>0</v>
      </c>
      <c r="Y14" s="1477"/>
    </row>
    <row r="15" spans="1:38" x14ac:dyDescent="0.2">
      <c r="A15" s="4" t="str">
        <f>'1. T1 INVESTOINTISUUN.'!B24</f>
        <v>3.</v>
      </c>
      <c r="B15" s="166" t="str">
        <f>'1. T1 INVESTOINTISUUN.'!C24</f>
        <v xml:space="preserve"> Rakennukset ja rakennelmat </v>
      </c>
      <c r="C15" s="166">
        <f>'1. T1 INVESTOINTISUUN.'!D24</f>
        <v>0</v>
      </c>
      <c r="D15" s="166">
        <f>'1. T1 INVESTOINTISUUN.'!E24</f>
        <v>0</v>
      </c>
      <c r="E15" s="166">
        <f>'1. T1 INVESTOINTISUUN.'!F24</f>
        <v>0</v>
      </c>
      <c r="F15" s="166">
        <f>'1. T1 INVESTOINTISUUN.'!G24</f>
        <v>0</v>
      </c>
      <c r="G15" s="4"/>
      <c r="H15" s="6"/>
      <c r="I15" s="397" t="s">
        <v>267</v>
      </c>
      <c r="K15">
        <f t="shared" ref="K15:V15" si="6">K14-K14/(1+$J14%)</f>
        <v>0</v>
      </c>
      <c r="L15">
        <f t="shared" si="6"/>
        <v>0</v>
      </c>
      <c r="M15">
        <f t="shared" si="6"/>
        <v>0</v>
      </c>
      <c r="N15">
        <f t="shared" si="6"/>
        <v>0</v>
      </c>
      <c r="O15">
        <f t="shared" si="6"/>
        <v>0</v>
      </c>
      <c r="P15">
        <f t="shared" si="6"/>
        <v>0</v>
      </c>
      <c r="Q15">
        <f t="shared" si="6"/>
        <v>0</v>
      </c>
      <c r="R15">
        <f t="shared" si="6"/>
        <v>0</v>
      </c>
      <c r="S15">
        <f t="shared" si="6"/>
        <v>0</v>
      </c>
      <c r="T15">
        <f t="shared" si="6"/>
        <v>0</v>
      </c>
      <c r="U15">
        <f t="shared" si="6"/>
        <v>0</v>
      </c>
      <c r="V15">
        <f t="shared" si="6"/>
        <v>0</v>
      </c>
      <c r="W15">
        <f t="shared" si="1"/>
        <v>0</v>
      </c>
      <c r="Y15" s="1481"/>
    </row>
    <row r="16" spans="1:38" x14ac:dyDescent="0.2">
      <c r="A16" s="4"/>
      <c r="B16" s="166" t="s">
        <v>139</v>
      </c>
      <c r="C16" s="167">
        <f>'1. T1 INVESTOINTISUUN.'!D26</f>
        <v>0</v>
      </c>
      <c r="D16" s="167">
        <f>'1. T1 INVESTOINTISUUN.'!E26</f>
        <v>0</v>
      </c>
      <c r="E16" s="167">
        <f>'1. T1 INVESTOINTISUUN.'!F26</f>
        <v>0</v>
      </c>
      <c r="F16" s="167">
        <f>'1. T1 INVESTOINTISUUN.'!G26</f>
        <v>0</v>
      </c>
      <c r="G16" s="393"/>
      <c r="H16" s="271" t="str">
        <f>'9. T5 KASSABUDJETTI  '!B26</f>
        <v>8.</v>
      </c>
      <c r="I16" s="32" t="str">
        <f>'9. T5 KASSABUDJETTI  '!C26</f>
        <v xml:space="preserve"> Investoinnit sis. alv</v>
      </c>
      <c r="J16">
        <f>'9. T5 KASSABUDJETTI  '!F26</f>
        <v>25.5</v>
      </c>
      <c r="K16">
        <f>'9. T5 KASSABUDJETTI  '!G26</f>
        <v>0</v>
      </c>
      <c r="L16">
        <f>'9. T5 KASSABUDJETTI  '!H26</f>
        <v>0</v>
      </c>
      <c r="M16">
        <f>'9. T5 KASSABUDJETTI  '!I26</f>
        <v>0</v>
      </c>
      <c r="N16">
        <f>'9. T5 KASSABUDJETTI  '!J26</f>
        <v>0</v>
      </c>
      <c r="O16">
        <f>'9. T5 KASSABUDJETTI  '!K26</f>
        <v>0</v>
      </c>
      <c r="P16">
        <f>'9. T5 KASSABUDJETTI  '!L26</f>
        <v>0</v>
      </c>
      <c r="Q16">
        <f>'9. T5 KASSABUDJETTI  '!M26</f>
        <v>0</v>
      </c>
      <c r="R16">
        <f>'9. T5 KASSABUDJETTI  '!N26</f>
        <v>0</v>
      </c>
      <c r="S16">
        <f>'9. T5 KASSABUDJETTI  '!O26</f>
        <v>0</v>
      </c>
      <c r="T16">
        <f>'9. T5 KASSABUDJETTI  '!P26</f>
        <v>0</v>
      </c>
      <c r="U16">
        <f>'9. T5 KASSABUDJETTI  '!Q26</f>
        <v>0</v>
      </c>
      <c r="V16">
        <f>'9. T5 KASSABUDJETTI  '!R26</f>
        <v>0</v>
      </c>
      <c r="W16">
        <f t="shared" si="1"/>
        <v>0</v>
      </c>
      <c r="Y16" s="1477"/>
    </row>
    <row r="17" spans="1:38" x14ac:dyDescent="0.2">
      <c r="A17" s="4"/>
      <c r="B17" s="166" t="s">
        <v>144</v>
      </c>
      <c r="C17" s="78">
        <f>C16*C15</f>
        <v>0</v>
      </c>
      <c r="D17" s="78">
        <f>D16*D15</f>
        <v>0</v>
      </c>
      <c r="E17" s="78">
        <f>E16*E15</f>
        <v>0</v>
      </c>
      <c r="F17" s="78">
        <f>F16*F15</f>
        <v>0</v>
      </c>
      <c r="H17" s="6"/>
      <c r="I17" s="397" t="s">
        <v>267</v>
      </c>
      <c r="K17">
        <f t="shared" ref="K17:V17" si="7">K16-K16/(1+$J16%)</f>
        <v>0</v>
      </c>
      <c r="L17">
        <f t="shared" si="7"/>
        <v>0</v>
      </c>
      <c r="M17">
        <f t="shared" si="7"/>
        <v>0</v>
      </c>
      <c r="N17">
        <f t="shared" si="7"/>
        <v>0</v>
      </c>
      <c r="O17">
        <f t="shared" si="7"/>
        <v>0</v>
      </c>
      <c r="P17">
        <f t="shared" si="7"/>
        <v>0</v>
      </c>
      <c r="Q17">
        <f t="shared" si="7"/>
        <v>0</v>
      </c>
      <c r="R17">
        <f t="shared" si="7"/>
        <v>0</v>
      </c>
      <c r="S17">
        <f t="shared" si="7"/>
        <v>0</v>
      </c>
      <c r="T17">
        <f t="shared" si="7"/>
        <v>0</v>
      </c>
      <c r="U17">
        <f t="shared" si="7"/>
        <v>0</v>
      </c>
      <c r="V17">
        <f t="shared" si="7"/>
        <v>0</v>
      </c>
      <c r="W17">
        <f t="shared" si="1"/>
        <v>0</v>
      </c>
      <c r="Y17" s="1481"/>
    </row>
    <row r="18" spans="1:38" x14ac:dyDescent="0.2">
      <c r="B18" s="166" t="s">
        <v>368</v>
      </c>
      <c r="C18" s="78">
        <f>C15-C17</f>
        <v>0</v>
      </c>
      <c r="D18" s="78">
        <f>D15-D17</f>
        <v>0</v>
      </c>
      <c r="E18" s="78">
        <f>E15-E17</f>
        <v>0</v>
      </c>
      <c r="F18" s="78">
        <f>F15-F17</f>
        <v>0</v>
      </c>
      <c r="H18" s="271" t="str">
        <f>'9. T5 KASSABUDJETTI  '!B27</f>
        <v>9.</v>
      </c>
      <c r="I18" s="32" t="str">
        <f>'9. T5 KASSABUDJETTI  '!C27</f>
        <v xml:space="preserve"> Vuokrat ja vastikkeet sis. alv</v>
      </c>
      <c r="J18">
        <f>'9. T5 KASSABUDJETTI  '!F27</f>
        <v>25.5</v>
      </c>
      <c r="K18">
        <f>'9. T5 KASSABUDJETTI  '!G27</f>
        <v>0</v>
      </c>
      <c r="L18">
        <f>'9. T5 KASSABUDJETTI  '!H27</f>
        <v>0</v>
      </c>
      <c r="M18">
        <f>'9. T5 KASSABUDJETTI  '!I27</f>
        <v>0</v>
      </c>
      <c r="N18">
        <f>'9. T5 KASSABUDJETTI  '!J27</f>
        <v>0</v>
      </c>
      <c r="O18">
        <f>'9. T5 KASSABUDJETTI  '!K27</f>
        <v>0</v>
      </c>
      <c r="P18">
        <f>'9. T5 KASSABUDJETTI  '!L27</f>
        <v>0</v>
      </c>
      <c r="Q18">
        <f>'9. T5 KASSABUDJETTI  '!M27</f>
        <v>0</v>
      </c>
      <c r="R18">
        <f>'9. T5 KASSABUDJETTI  '!N27</f>
        <v>0</v>
      </c>
      <c r="S18">
        <f>'9. T5 KASSABUDJETTI  '!O27</f>
        <v>0</v>
      </c>
      <c r="T18">
        <f>'9. T5 KASSABUDJETTI  '!P27</f>
        <v>0</v>
      </c>
      <c r="U18">
        <f>'9. T5 KASSABUDJETTI  '!Q27</f>
        <v>0</v>
      </c>
      <c r="V18">
        <f>'9. T5 KASSABUDJETTI  '!R27</f>
        <v>0</v>
      </c>
      <c r="W18">
        <f t="shared" si="1"/>
        <v>0</v>
      </c>
      <c r="Y18" s="1477"/>
    </row>
    <row r="19" spans="1:38" x14ac:dyDescent="0.2">
      <c r="A19" s="4" t="str">
        <f>'1. T1 INVESTOINTISUUN.'!B27</f>
        <v>4.</v>
      </c>
      <c r="B19" s="166" t="str">
        <f>'1. T1 INVESTOINTISUUN.'!C27</f>
        <v xml:space="preserve">Koneet ja kalusto sis. alv </v>
      </c>
      <c r="C19" s="166">
        <f>'1. T1 INVESTOINTISUUN.'!D27</f>
        <v>0</v>
      </c>
      <c r="D19" s="166">
        <f>'1. T1 INVESTOINTISUUN.'!E27</f>
        <v>0</v>
      </c>
      <c r="E19" s="166">
        <f>'1. T1 INVESTOINTISUUN.'!F27</f>
        <v>0</v>
      </c>
      <c r="F19" s="166">
        <f>'1. T1 INVESTOINTISUUN.'!G27</f>
        <v>0</v>
      </c>
      <c r="G19" s="4"/>
      <c r="H19" s="6"/>
      <c r="I19" s="397" t="s">
        <v>267</v>
      </c>
      <c r="K19">
        <f t="shared" ref="K19:V19" si="8">K18-K18/(1+$J18%)</f>
        <v>0</v>
      </c>
      <c r="L19">
        <f t="shared" si="8"/>
        <v>0</v>
      </c>
      <c r="M19">
        <f t="shared" si="8"/>
        <v>0</v>
      </c>
      <c r="N19">
        <f t="shared" si="8"/>
        <v>0</v>
      </c>
      <c r="O19">
        <f t="shared" si="8"/>
        <v>0</v>
      </c>
      <c r="P19">
        <f t="shared" si="8"/>
        <v>0</v>
      </c>
      <c r="Q19">
        <f t="shared" si="8"/>
        <v>0</v>
      </c>
      <c r="R19">
        <f t="shared" si="8"/>
        <v>0</v>
      </c>
      <c r="S19">
        <f t="shared" si="8"/>
        <v>0</v>
      </c>
      <c r="T19">
        <f t="shared" si="8"/>
        <v>0</v>
      </c>
      <c r="U19">
        <f t="shared" si="8"/>
        <v>0</v>
      </c>
      <c r="V19">
        <f t="shared" si="8"/>
        <v>0</v>
      </c>
      <c r="W19">
        <f t="shared" si="1"/>
        <v>0</v>
      </c>
      <c r="Y19" s="1481"/>
    </row>
    <row r="20" spans="1:38" x14ac:dyDescent="0.2">
      <c r="A20" s="4"/>
      <c r="B20" s="166" t="s">
        <v>347</v>
      </c>
      <c r="C20" s="484">
        <f>'1. T1 INVESTOINTISUUN.'!D58</f>
        <v>0</v>
      </c>
      <c r="D20" s="484">
        <f>'1. T1 INVESTOINTISUUN.'!E58</f>
        <v>0</v>
      </c>
      <c r="E20" s="484">
        <f>'1. T1 INVESTOINTISUUN.'!F58</f>
        <v>0</v>
      </c>
      <c r="F20" s="484">
        <f>'1. T1 INVESTOINTISUUN.'!G58</f>
        <v>0</v>
      </c>
      <c r="G20" s="4"/>
      <c r="H20" s="6"/>
      <c r="I20" s="397"/>
      <c r="Y20" s="1481"/>
    </row>
    <row r="21" spans="1:38" x14ac:dyDescent="0.2">
      <c r="A21" s="4" t="s">
        <v>0</v>
      </c>
      <c r="B21" s="166" t="s">
        <v>348</v>
      </c>
      <c r="C21" s="188">
        <f>C19-C20</f>
        <v>0</v>
      </c>
      <c r="D21" s="188">
        <f>D19-D20</f>
        <v>0</v>
      </c>
      <c r="E21" s="188">
        <f>E19-E20</f>
        <v>0</v>
      </c>
      <c r="F21" s="188">
        <f>F19-F20</f>
        <v>0</v>
      </c>
      <c r="G21" s="393"/>
      <c r="H21" s="271" t="str">
        <f>'9. T5 KASSABUDJETTI  '!B28</f>
        <v>10.</v>
      </c>
      <c r="I21" s="32" t="str">
        <f>'9. T5 KASSABUDJETTI  '!C28</f>
        <v xml:space="preserve"> Ajoneuvojen leasing- ja vuokrakulut, liikekäyttö</v>
      </c>
      <c r="J21">
        <f>'9. T5 KASSABUDJETTI  '!F28</f>
        <v>25.5</v>
      </c>
      <c r="K21">
        <f>'9. T5 KASSABUDJETTI  '!G28</f>
        <v>0</v>
      </c>
      <c r="L21">
        <f>'9. T5 KASSABUDJETTI  '!H28</f>
        <v>0</v>
      </c>
      <c r="M21">
        <f>'9. T5 KASSABUDJETTI  '!I28</f>
        <v>0</v>
      </c>
      <c r="N21">
        <f>'9. T5 KASSABUDJETTI  '!J28</f>
        <v>0</v>
      </c>
      <c r="O21">
        <f>'9. T5 KASSABUDJETTI  '!K28</f>
        <v>0</v>
      </c>
      <c r="P21">
        <f>'9. T5 KASSABUDJETTI  '!L28</f>
        <v>0</v>
      </c>
      <c r="Q21">
        <f>'9. T5 KASSABUDJETTI  '!M28</f>
        <v>0</v>
      </c>
      <c r="R21">
        <f>'9. T5 KASSABUDJETTI  '!N28</f>
        <v>0</v>
      </c>
      <c r="S21">
        <f>'9. T5 KASSABUDJETTI  '!O28</f>
        <v>0</v>
      </c>
      <c r="T21">
        <f>'9. T5 KASSABUDJETTI  '!P28</f>
        <v>0</v>
      </c>
      <c r="U21">
        <f>'9. T5 KASSABUDJETTI  '!Q28</f>
        <v>0</v>
      </c>
      <c r="V21">
        <f>'9. T5 KASSABUDJETTI  '!R28</f>
        <v>0</v>
      </c>
      <c r="W21">
        <f t="shared" si="1"/>
        <v>0</v>
      </c>
      <c r="Y21" s="1477"/>
    </row>
    <row r="22" spans="1:38" x14ac:dyDescent="0.2">
      <c r="A22" s="4"/>
      <c r="B22" s="166" t="str">
        <f>'1. T1 INVESTOINTISUUN.'!C28</f>
        <v>• arvonlisävero-%</v>
      </c>
      <c r="C22" s="167">
        <f>'1. T1 INVESTOINTISUUN.'!D28</f>
        <v>0.255</v>
      </c>
      <c r="D22" s="167">
        <f>'1. T1 INVESTOINTISUUN.'!E28</f>
        <v>0.255</v>
      </c>
      <c r="E22" s="167">
        <f>'1. T1 INVESTOINTISUUN.'!F28</f>
        <v>0.255</v>
      </c>
      <c r="F22" s="167">
        <f>'1. T1 INVESTOINTISUUN.'!G28</f>
        <v>0.255</v>
      </c>
      <c r="G22" s="394"/>
      <c r="H22" s="6"/>
      <c r="I22" s="397" t="s">
        <v>267</v>
      </c>
      <c r="K22">
        <f>K21-K21/(1+$J21%)</f>
        <v>0</v>
      </c>
      <c r="L22">
        <f t="shared" ref="L22:V22" si="9">L21-L21/(1+$J21%)</f>
        <v>0</v>
      </c>
      <c r="M22">
        <f t="shared" si="9"/>
        <v>0</v>
      </c>
      <c r="N22">
        <f t="shared" si="9"/>
        <v>0</v>
      </c>
      <c r="O22">
        <f t="shared" si="9"/>
        <v>0</v>
      </c>
      <c r="P22">
        <f t="shared" si="9"/>
        <v>0</v>
      </c>
      <c r="Q22">
        <f t="shared" si="9"/>
        <v>0</v>
      </c>
      <c r="R22">
        <f t="shared" si="9"/>
        <v>0</v>
      </c>
      <c r="S22">
        <f t="shared" si="9"/>
        <v>0</v>
      </c>
      <c r="T22">
        <f t="shared" si="9"/>
        <v>0</v>
      </c>
      <c r="U22">
        <f t="shared" si="9"/>
        <v>0</v>
      </c>
      <c r="V22">
        <f t="shared" si="9"/>
        <v>0</v>
      </c>
      <c r="W22">
        <f t="shared" si="1"/>
        <v>0</v>
      </c>
      <c r="Y22" s="1481"/>
    </row>
    <row r="23" spans="1:38" x14ac:dyDescent="0.2">
      <c r="A23" s="4"/>
      <c r="B23" s="166" t="s">
        <v>349</v>
      </c>
      <c r="C23" s="168">
        <f>C21/(1+C22)</f>
        <v>0</v>
      </c>
      <c r="D23" s="168">
        <f>D21/(1+D22)</f>
        <v>0</v>
      </c>
      <c r="E23" s="168">
        <f>E21/(1+E22)</f>
        <v>0</v>
      </c>
      <c r="F23" s="168">
        <f>F21/(1+F22)</f>
        <v>0</v>
      </c>
      <c r="G23" s="394"/>
      <c r="H23" s="271" t="str">
        <f>'9. T5 KASSABUDJETTI  '!B29</f>
        <v>11.</v>
      </c>
      <c r="I23" s="32" t="str">
        <f>'9. T5 KASSABUDJETTI  '!C29</f>
        <v xml:space="preserve"> Muut kiinteät kulut sis. alv</v>
      </c>
      <c r="J23">
        <f>'9. T5 KASSABUDJETTI  '!F29</f>
        <v>0</v>
      </c>
      <c r="K23">
        <f>'9. T5 KASSABUDJETTI  '!G29</f>
        <v>0</v>
      </c>
      <c r="L23">
        <f>'9. T5 KASSABUDJETTI  '!H29</f>
        <v>0</v>
      </c>
      <c r="M23">
        <f>'9. T5 KASSABUDJETTI  '!I29</f>
        <v>0</v>
      </c>
      <c r="N23">
        <f>'9. T5 KASSABUDJETTI  '!J29</f>
        <v>0</v>
      </c>
      <c r="O23">
        <f>'9. T5 KASSABUDJETTI  '!K29</f>
        <v>0</v>
      </c>
      <c r="P23">
        <f>'9. T5 KASSABUDJETTI  '!L29</f>
        <v>0</v>
      </c>
      <c r="Q23">
        <f>'9. T5 KASSABUDJETTI  '!M29</f>
        <v>0</v>
      </c>
      <c r="R23">
        <f>'9. T5 KASSABUDJETTI  '!N29</f>
        <v>0</v>
      </c>
      <c r="S23">
        <f>'9. T5 KASSABUDJETTI  '!O29</f>
        <v>0</v>
      </c>
      <c r="T23">
        <f>'9. T5 KASSABUDJETTI  '!P29</f>
        <v>0</v>
      </c>
      <c r="U23">
        <f>'9. T5 KASSABUDJETTI  '!Q29</f>
        <v>0</v>
      </c>
      <c r="V23">
        <f>'9. T5 KASSABUDJETTI  '!R29</f>
        <v>0</v>
      </c>
      <c r="W23">
        <f t="shared" si="1"/>
        <v>0</v>
      </c>
      <c r="Y23" s="1477"/>
    </row>
    <row r="24" spans="1:38" x14ac:dyDescent="0.2">
      <c r="A24" s="4" t="s">
        <v>0</v>
      </c>
      <c r="B24" s="166" t="s">
        <v>142</v>
      </c>
      <c r="C24" s="168">
        <f>C21-C23</f>
        <v>0</v>
      </c>
      <c r="D24" s="168">
        <f>D21-D23</f>
        <v>0</v>
      </c>
      <c r="E24" s="168">
        <f>E21-E23</f>
        <v>0</v>
      </c>
      <c r="F24" s="168">
        <f>F21-F23</f>
        <v>0</v>
      </c>
      <c r="G24" s="393"/>
      <c r="H24" s="21"/>
      <c r="I24" s="397" t="s">
        <v>267</v>
      </c>
      <c r="K24">
        <f t="shared" ref="K24:V24" si="10">K23-K23/(1+$J23%)</f>
        <v>0</v>
      </c>
      <c r="L24">
        <f t="shared" si="10"/>
        <v>0</v>
      </c>
      <c r="M24">
        <f t="shared" si="10"/>
        <v>0</v>
      </c>
      <c r="N24">
        <f t="shared" si="10"/>
        <v>0</v>
      </c>
      <c r="O24">
        <f t="shared" si="10"/>
        <v>0</v>
      </c>
      <c r="P24">
        <f t="shared" si="10"/>
        <v>0</v>
      </c>
      <c r="Q24">
        <f t="shared" si="10"/>
        <v>0</v>
      </c>
      <c r="R24">
        <f t="shared" si="10"/>
        <v>0</v>
      </c>
      <c r="S24">
        <f t="shared" si="10"/>
        <v>0</v>
      </c>
      <c r="T24">
        <f t="shared" si="10"/>
        <v>0</v>
      </c>
      <c r="U24">
        <f t="shared" si="10"/>
        <v>0</v>
      </c>
      <c r="V24">
        <f t="shared" si="10"/>
        <v>0</v>
      </c>
      <c r="W24">
        <f t="shared" si="1"/>
        <v>0</v>
      </c>
      <c r="Y24" s="1481"/>
    </row>
    <row r="25" spans="1:38" x14ac:dyDescent="0.2">
      <c r="A25" s="4"/>
      <c r="B25" s="166" t="s">
        <v>139</v>
      </c>
      <c r="C25" s="167">
        <f>'1. T1 INVESTOINTISUUN.'!D29</f>
        <v>0</v>
      </c>
      <c r="D25" s="167">
        <f>'1. T1 INVESTOINTISUUN.'!E29</f>
        <v>0</v>
      </c>
      <c r="E25" s="167">
        <f>'1. T1 INVESTOINTISUUN.'!F29</f>
        <v>0</v>
      </c>
      <c r="F25" s="167">
        <f>'1. T1 INVESTOINTISUUN.'!G29</f>
        <v>0</v>
      </c>
      <c r="G25" s="394"/>
      <c r="H25" s="21"/>
      <c r="I25" s="400" t="s">
        <v>269</v>
      </c>
      <c r="J25" s="399"/>
      <c r="K25" s="399">
        <f>K11+K13+K15+K17+K19+K22+K24</f>
        <v>0</v>
      </c>
      <c r="L25" s="399">
        <f t="shared" ref="L25:V25" si="11">L11+L13+L15+L17+L19+L22+L24</f>
        <v>0</v>
      </c>
      <c r="M25" s="399">
        <f t="shared" si="11"/>
        <v>0</v>
      </c>
      <c r="N25" s="399">
        <f t="shared" si="11"/>
        <v>0</v>
      </c>
      <c r="O25" s="399">
        <f t="shared" si="11"/>
        <v>0</v>
      </c>
      <c r="P25" s="399">
        <f t="shared" si="11"/>
        <v>0</v>
      </c>
      <c r="Q25" s="399">
        <f t="shared" si="11"/>
        <v>0</v>
      </c>
      <c r="R25" s="399">
        <f t="shared" si="11"/>
        <v>0</v>
      </c>
      <c r="S25" s="399">
        <f t="shared" si="11"/>
        <v>0</v>
      </c>
      <c r="T25" s="399">
        <f t="shared" si="11"/>
        <v>0</v>
      </c>
      <c r="U25" s="399">
        <f t="shared" si="11"/>
        <v>0</v>
      </c>
      <c r="V25" s="399">
        <f t="shared" si="11"/>
        <v>0</v>
      </c>
      <c r="W25">
        <f t="shared" si="1"/>
        <v>0</v>
      </c>
      <c r="Y25" s="1483"/>
      <c r="Z25" s="399"/>
      <c r="AA25" s="399"/>
      <c r="AB25" s="399"/>
      <c r="AC25" s="399"/>
      <c r="AD25" s="399"/>
      <c r="AE25" s="399"/>
      <c r="AF25" s="399"/>
      <c r="AG25" s="399"/>
      <c r="AH25" s="399"/>
      <c r="AI25" s="399"/>
      <c r="AJ25" s="399"/>
      <c r="AK25" s="399"/>
      <c r="AL25" s="399"/>
    </row>
    <row r="26" spans="1:38" x14ac:dyDescent="0.2">
      <c r="B26" s="166" t="s">
        <v>144</v>
      </c>
      <c r="C26" s="168">
        <f>C23*C25</f>
        <v>0</v>
      </c>
      <c r="D26" s="168">
        <f>D23*D25</f>
        <v>0</v>
      </c>
      <c r="E26" s="168">
        <f>E23*E25</f>
        <v>0</v>
      </c>
      <c r="F26" s="168">
        <f>F23*F25</f>
        <v>0</v>
      </c>
      <c r="G26" s="32"/>
      <c r="H26" s="21"/>
      <c r="I26" s="1490" t="s">
        <v>270</v>
      </c>
      <c r="K26" s="6">
        <f>K9-K25</f>
        <v>0</v>
      </c>
      <c r="L26" s="6">
        <f t="shared" ref="L26:V26" si="12">L9-L25</f>
        <v>0</v>
      </c>
      <c r="M26" s="6">
        <f t="shared" si="12"/>
        <v>0</v>
      </c>
      <c r="N26" s="6">
        <f t="shared" si="12"/>
        <v>0</v>
      </c>
      <c r="O26" s="6">
        <f t="shared" si="12"/>
        <v>0</v>
      </c>
      <c r="P26" s="6">
        <f t="shared" si="12"/>
        <v>0</v>
      </c>
      <c r="Q26" s="6">
        <f t="shared" si="12"/>
        <v>0</v>
      </c>
      <c r="R26" s="6">
        <f t="shared" si="12"/>
        <v>0</v>
      </c>
      <c r="S26" s="6">
        <f t="shared" si="12"/>
        <v>0</v>
      </c>
      <c r="T26" s="6">
        <f t="shared" si="12"/>
        <v>0</v>
      </c>
      <c r="U26" s="6">
        <f t="shared" si="12"/>
        <v>0</v>
      </c>
      <c r="V26" s="6">
        <f t="shared" si="12"/>
        <v>0</v>
      </c>
      <c r="W26">
        <f t="shared" si="1"/>
        <v>0</v>
      </c>
      <c r="Y26" s="1480"/>
    </row>
    <row r="27" spans="1:38" x14ac:dyDescent="0.2">
      <c r="B27" s="166" t="s">
        <v>185</v>
      </c>
      <c r="C27" s="188">
        <f>C23-C26</f>
        <v>0</v>
      </c>
      <c r="D27" s="188">
        <f>D23-D26</f>
        <v>0</v>
      </c>
      <c r="E27" s="188">
        <f>E23-E26</f>
        <v>0</v>
      </c>
      <c r="F27" s="188">
        <f>F23-F26</f>
        <v>0</v>
      </c>
      <c r="G27" s="4"/>
      <c r="H27" s="21"/>
      <c r="I27" s="16"/>
      <c r="X27" s="21"/>
      <c r="Y27" s="1478"/>
    </row>
    <row r="28" spans="1:38" x14ac:dyDescent="0.2">
      <c r="A28" s="4" t="str">
        <f>'1. T1 INVESTOINTISUUN.'!B30</f>
        <v>5.</v>
      </c>
      <c r="B28" s="166" t="str">
        <f>'1. T1 INVESTOINTISUUN.'!C30</f>
        <v>Koneet ja kalusto alv 0 %</v>
      </c>
      <c r="C28" s="166">
        <f>'1. T1 INVESTOINTISUUN.'!D30</f>
        <v>0</v>
      </c>
      <c r="D28" s="166">
        <f>'1. T1 INVESTOINTISUUN.'!E30</f>
        <v>0</v>
      </c>
      <c r="E28" s="166">
        <f>'1. T1 INVESTOINTISUUN.'!F30</f>
        <v>0</v>
      </c>
      <c r="F28" s="166">
        <f>'1. T1 INVESTOINTISUUN.'!G30</f>
        <v>0</v>
      </c>
      <c r="G28" s="393"/>
      <c r="H28" s="21"/>
      <c r="I28" s="16"/>
      <c r="X28" s="21"/>
      <c r="Y28" s="1478"/>
    </row>
    <row r="29" spans="1:38" x14ac:dyDescent="0.2">
      <c r="A29" s="4"/>
      <c r="B29" s="166" t="s">
        <v>347</v>
      </c>
      <c r="C29" s="484">
        <f>'1. T1 INVESTOINTISUUN.'!D59</f>
        <v>0</v>
      </c>
      <c r="D29" s="484">
        <f>'1. T1 INVESTOINTISUUN.'!E59</f>
        <v>0</v>
      </c>
      <c r="E29" s="484">
        <f>'1. T1 INVESTOINTISUUN.'!F59</f>
        <v>0</v>
      </c>
      <c r="F29" s="484">
        <f>'1. T1 INVESTOINTISUUN.'!G59</f>
        <v>0</v>
      </c>
      <c r="G29" s="4"/>
      <c r="H29" s="6"/>
      <c r="I29" s="397"/>
      <c r="X29" s="6"/>
      <c r="Y29" s="1481"/>
    </row>
    <row r="30" spans="1:38" x14ac:dyDescent="0.2">
      <c r="A30" s="4" t="s">
        <v>0</v>
      </c>
      <c r="B30" s="166" t="s">
        <v>369</v>
      </c>
      <c r="C30" s="188">
        <f>C28-C29</f>
        <v>0</v>
      </c>
      <c r="D30" s="188">
        <f>D28-D29</f>
        <v>0</v>
      </c>
      <c r="E30" s="188">
        <f>E28-E29</f>
        <v>0</v>
      </c>
      <c r="F30" s="188">
        <f>F28-F29</f>
        <v>0</v>
      </c>
      <c r="G30" s="393"/>
      <c r="H30" s="271"/>
      <c r="I30" s="32" t="str">
        <f>'9. T5 KASSABUDJETTI  '!C39</f>
        <v xml:space="preserve"> Rahoitusmenot (lainojen korkokustannukset)</v>
      </c>
      <c r="J30">
        <f>'9. T5 KASSABUDJETTI  '!F39</f>
        <v>0</v>
      </c>
      <c r="K30">
        <f>'9. T5 KASSABUDJETTI  '!G39</f>
        <v>0</v>
      </c>
      <c r="L30">
        <f>'9. T5 KASSABUDJETTI  '!H39</f>
        <v>0</v>
      </c>
      <c r="M30">
        <f>'9. T5 KASSABUDJETTI  '!I39</f>
        <v>0</v>
      </c>
      <c r="N30">
        <f>'9. T5 KASSABUDJETTI  '!J39</f>
        <v>0</v>
      </c>
      <c r="O30">
        <f>'9. T5 KASSABUDJETTI  '!K39</f>
        <v>0</v>
      </c>
      <c r="P30">
        <f>'9. T5 KASSABUDJETTI  '!L39</f>
        <v>0</v>
      </c>
      <c r="Q30">
        <f>'9. T5 KASSABUDJETTI  '!M39</f>
        <v>0</v>
      </c>
      <c r="R30">
        <f>'9. T5 KASSABUDJETTI  '!N39</f>
        <v>0</v>
      </c>
      <c r="S30">
        <f>'9. T5 KASSABUDJETTI  '!O39</f>
        <v>0</v>
      </c>
      <c r="T30">
        <f>'9. T5 KASSABUDJETTI  '!P39</f>
        <v>0</v>
      </c>
      <c r="U30">
        <f>'9. T5 KASSABUDJETTI  '!Q39</f>
        <v>0</v>
      </c>
      <c r="V30">
        <f>'9. T5 KASSABUDJETTI  '!R39</f>
        <v>0</v>
      </c>
      <c r="W30">
        <f t="shared" si="1"/>
        <v>0</v>
      </c>
      <c r="X30" s="271">
        <f>'9. T5 KASSABUDJETTI  '!R39</f>
        <v>0</v>
      </c>
      <c r="Y30" s="1477"/>
    </row>
    <row r="31" spans="1:38" x14ac:dyDescent="0.2">
      <c r="A31" s="4"/>
      <c r="B31" s="166" t="str">
        <f>'1. T1 INVESTOINTISUUN.'!C31</f>
        <v>• avustus-%</v>
      </c>
      <c r="C31" s="496">
        <f>'1. T1 INVESTOINTISUUN.'!D31</f>
        <v>0</v>
      </c>
      <c r="D31" s="496">
        <f>'1. T1 INVESTOINTISUUN.'!E31</f>
        <v>0</v>
      </c>
      <c r="E31" s="496">
        <f>'1. T1 INVESTOINTISUUN.'!F31</f>
        <v>0</v>
      </c>
      <c r="F31" s="496">
        <f>'1. T1 INVESTOINTISUUN.'!G31</f>
        <v>0</v>
      </c>
      <c r="G31" s="167"/>
      <c r="I31" s="16"/>
      <c r="J31" s="16"/>
    </row>
    <row r="32" spans="1:38" x14ac:dyDescent="0.2">
      <c r="A32" s="4"/>
      <c r="B32" s="166" t="s">
        <v>144</v>
      </c>
      <c r="C32" s="78">
        <f>C31*C30</f>
        <v>0</v>
      </c>
      <c r="D32" s="78">
        <f>D31*D30</f>
        <v>0</v>
      </c>
      <c r="E32" s="78">
        <f>E31*E30</f>
        <v>0</v>
      </c>
      <c r="F32" s="78">
        <f>F31*F30</f>
        <v>0</v>
      </c>
      <c r="G32" s="78"/>
      <c r="I32" s="21"/>
      <c r="J32" s="21"/>
      <c r="L32">
        <v>0</v>
      </c>
    </row>
    <row r="33" spans="1:24" x14ac:dyDescent="0.2">
      <c r="B33" s="166" t="s">
        <v>185</v>
      </c>
      <c r="C33" s="188">
        <f>C30-C32</f>
        <v>0</v>
      </c>
      <c r="D33" s="188">
        <f>D30-D32</f>
        <v>0</v>
      </c>
      <c r="E33" s="188">
        <f>E30-E32</f>
        <v>0</v>
      </c>
      <c r="F33" s="188">
        <f>F30-F32</f>
        <v>0</v>
      </c>
      <c r="G33" s="78"/>
      <c r="H33" s="20"/>
      <c r="I33" s="390" t="s">
        <v>266</v>
      </c>
      <c r="J33" s="2" t="s">
        <v>577</v>
      </c>
      <c r="K33" s="1476">
        <f>'9. T5 KASSABUDJETTI  '!G65</f>
        <v>46760</v>
      </c>
      <c r="L33" s="1476">
        <f>'9. T5 KASSABUDJETTI  '!H65</f>
        <v>46791</v>
      </c>
      <c r="M33" s="1476">
        <f>'9. T5 KASSABUDJETTI  '!I65</f>
        <v>46822</v>
      </c>
      <c r="N33" s="1476">
        <f>'9. T5 KASSABUDJETTI  '!J65</f>
        <v>46853</v>
      </c>
      <c r="O33" s="1476">
        <f>'9. T5 KASSABUDJETTI  '!K65</f>
        <v>46884</v>
      </c>
      <c r="P33" s="1476">
        <f>'9. T5 KASSABUDJETTI  '!L65</f>
        <v>46915</v>
      </c>
      <c r="Q33" s="1476">
        <f>'9. T5 KASSABUDJETTI  '!M65</f>
        <v>46946</v>
      </c>
      <c r="R33" s="1476">
        <f>'9. T5 KASSABUDJETTI  '!N65</f>
        <v>46977</v>
      </c>
      <c r="S33" s="1476">
        <f>'9. T5 KASSABUDJETTI  '!O65</f>
        <v>47008</v>
      </c>
      <c r="T33" s="1476">
        <f>'9. T5 KASSABUDJETTI  '!P65</f>
        <v>47039</v>
      </c>
      <c r="U33" s="1476">
        <f>'9. T5 KASSABUDJETTI  '!Q65</f>
        <v>47070</v>
      </c>
      <c r="V33" s="1476">
        <f>'9. T5 KASSABUDJETTI  '!R65</f>
        <v>47101</v>
      </c>
      <c r="W33">
        <f t="shared" si="1"/>
        <v>563166</v>
      </c>
    </row>
    <row r="34" spans="1:24" x14ac:dyDescent="0.2">
      <c r="A34" s="4" t="str">
        <f>'1. T1 INVESTOINTISUUN.'!B32</f>
        <v>6.</v>
      </c>
      <c r="B34" s="166" t="str">
        <f>'1. T1 INVESTOINTISUUN.'!C32</f>
        <v xml:space="preserve">Muut aineelliset hyödykkeet </v>
      </c>
      <c r="C34" s="166">
        <f>'1. T1 INVESTOINTISUUN.'!D32</f>
        <v>0</v>
      </c>
      <c r="D34" s="166">
        <f>'1. T1 INVESTOINTISUUN.'!E32</f>
        <v>0</v>
      </c>
      <c r="E34" s="166">
        <f>'1. T1 INVESTOINTISUUN.'!F32</f>
        <v>0</v>
      </c>
      <c r="F34" s="166">
        <f>'1. T1 INVESTOINTISUUN.'!G32</f>
        <v>0</v>
      </c>
      <c r="G34" s="393"/>
      <c r="H34" s="21"/>
      <c r="I34" s="396" t="s">
        <v>571</v>
      </c>
      <c r="J34">
        <f>'9. T5 KASSABUDJETTI  '!F68</f>
        <v>25.5</v>
      </c>
      <c r="K34" s="32">
        <f>'9. T5 KASSABUDJETTI  '!G68</f>
        <v>0</v>
      </c>
      <c r="L34" s="32">
        <f>'9. T5 KASSABUDJETTI  '!H68</f>
        <v>0</v>
      </c>
      <c r="M34" s="32">
        <f>'9. T5 KASSABUDJETTI  '!I68</f>
        <v>0</v>
      </c>
      <c r="N34" s="32">
        <f>'9. T5 KASSABUDJETTI  '!J68</f>
        <v>0</v>
      </c>
      <c r="O34" s="32">
        <f>'9. T5 KASSABUDJETTI  '!K68</f>
        <v>0</v>
      </c>
      <c r="P34" s="32">
        <f>'9. T5 KASSABUDJETTI  '!L68</f>
        <v>0</v>
      </c>
      <c r="Q34" s="32">
        <f>'9. T5 KASSABUDJETTI  '!M68</f>
        <v>0</v>
      </c>
      <c r="R34" s="32">
        <f>'9. T5 KASSABUDJETTI  '!N68</f>
        <v>0</v>
      </c>
      <c r="S34" s="32">
        <f>'9. T5 KASSABUDJETTI  '!O68</f>
        <v>0</v>
      </c>
      <c r="T34" s="32">
        <f>'9. T5 KASSABUDJETTI  '!P68</f>
        <v>0</v>
      </c>
      <c r="U34" s="32">
        <f>'9. T5 KASSABUDJETTI  '!Q68</f>
        <v>0</v>
      </c>
      <c r="V34" s="32">
        <f>'9. T5 KASSABUDJETTI  '!R68</f>
        <v>0</v>
      </c>
      <c r="W34">
        <f t="shared" si="1"/>
        <v>0</v>
      </c>
    </row>
    <row r="35" spans="1:24" x14ac:dyDescent="0.2">
      <c r="A35" s="4"/>
      <c r="B35" s="166" t="str">
        <f>'1. T1 INVESTOINTISUUN.'!C33</f>
        <v>• arvonlisävero-%</v>
      </c>
      <c r="C35" s="167">
        <f>'1. T1 INVESTOINTISUUN.'!D33</f>
        <v>0.255</v>
      </c>
      <c r="D35" s="167">
        <f>'1. T1 INVESTOINTISUUN.'!E33</f>
        <v>0.255</v>
      </c>
      <c r="E35" s="167">
        <f>'1. T1 INVESTOINTISUUN.'!F33</f>
        <v>0.255</v>
      </c>
      <c r="F35" s="167">
        <f>'1. T1 INVESTOINTISUUN.'!G33</f>
        <v>0.255</v>
      </c>
      <c r="G35" s="394"/>
      <c r="I35" s="397" t="s">
        <v>267</v>
      </c>
      <c r="K35">
        <f t="shared" ref="K35:V35" si="13">K34-K34/(1+$J34%)</f>
        <v>0</v>
      </c>
      <c r="L35">
        <f t="shared" si="13"/>
        <v>0</v>
      </c>
      <c r="M35">
        <f t="shared" si="13"/>
        <v>0</v>
      </c>
      <c r="N35">
        <f t="shared" si="13"/>
        <v>0</v>
      </c>
      <c r="O35">
        <f t="shared" si="13"/>
        <v>0</v>
      </c>
      <c r="P35">
        <f t="shared" si="13"/>
        <v>0</v>
      </c>
      <c r="Q35">
        <f t="shared" si="13"/>
        <v>0</v>
      </c>
      <c r="R35">
        <f t="shared" si="13"/>
        <v>0</v>
      </c>
      <c r="S35">
        <f t="shared" si="13"/>
        <v>0</v>
      </c>
      <c r="T35">
        <f t="shared" si="13"/>
        <v>0</v>
      </c>
      <c r="U35">
        <f t="shared" si="13"/>
        <v>0</v>
      </c>
      <c r="V35">
        <f t="shared" si="13"/>
        <v>0</v>
      </c>
      <c r="W35">
        <f t="shared" si="1"/>
        <v>0</v>
      </c>
    </row>
    <row r="36" spans="1:24" x14ac:dyDescent="0.2">
      <c r="A36" s="4"/>
      <c r="B36" s="166" t="s">
        <v>143</v>
      </c>
      <c r="C36" s="168">
        <f>C34/(1+C35)</f>
        <v>0</v>
      </c>
      <c r="D36" s="168">
        <f>D34/(1+D35)</f>
        <v>0</v>
      </c>
      <c r="E36" s="168">
        <f>E34/(1+E35)</f>
        <v>0</v>
      </c>
      <c r="F36" s="168">
        <f>F34/(1+F35)</f>
        <v>0</v>
      </c>
      <c r="G36" s="394"/>
      <c r="H36" s="21"/>
      <c r="I36" s="396" t="s">
        <v>572</v>
      </c>
      <c r="J36">
        <f>'9. T5 KASSABUDJETTI  '!F70</f>
        <v>25.5</v>
      </c>
      <c r="K36" s="32">
        <f>'9. T5 KASSABUDJETTI  '!G70</f>
        <v>0</v>
      </c>
      <c r="L36" s="32">
        <f>'9. T5 KASSABUDJETTI  '!H70</f>
        <v>0</v>
      </c>
      <c r="M36" s="32">
        <f>'9. T5 KASSABUDJETTI  '!I70</f>
        <v>0</v>
      </c>
      <c r="N36" s="32">
        <f>'9. T5 KASSABUDJETTI  '!J70</f>
        <v>0</v>
      </c>
      <c r="O36" s="32">
        <f>'9. T5 KASSABUDJETTI  '!K70</f>
        <v>0</v>
      </c>
      <c r="P36" s="32">
        <f>'9. T5 KASSABUDJETTI  '!L70</f>
        <v>0</v>
      </c>
      <c r="Q36" s="32">
        <f>'9. T5 KASSABUDJETTI  '!M70</f>
        <v>0</v>
      </c>
      <c r="R36" s="32">
        <f>'9. T5 KASSABUDJETTI  '!N70</f>
        <v>0</v>
      </c>
      <c r="S36" s="32">
        <f>'9. T5 KASSABUDJETTI  '!O70</f>
        <v>0</v>
      </c>
      <c r="T36" s="32">
        <f>'9. T5 KASSABUDJETTI  '!P70</f>
        <v>0</v>
      </c>
      <c r="U36" s="32">
        <f>'9. T5 KASSABUDJETTI  '!Q70</f>
        <v>0</v>
      </c>
      <c r="V36" s="32">
        <f>'9. T5 KASSABUDJETTI  '!R70</f>
        <v>0</v>
      </c>
      <c r="W36">
        <f t="shared" si="1"/>
        <v>0</v>
      </c>
    </row>
    <row r="37" spans="1:24" x14ac:dyDescent="0.2">
      <c r="A37" s="4"/>
      <c r="B37" s="166" t="s">
        <v>142</v>
      </c>
      <c r="C37" s="168">
        <f>C34-C36</f>
        <v>0</v>
      </c>
      <c r="D37" s="168">
        <f>D34-D36</f>
        <v>0</v>
      </c>
      <c r="E37" s="168">
        <f>E34-E36</f>
        <v>0</v>
      </c>
      <c r="F37" s="168">
        <f>F34-F36</f>
        <v>0</v>
      </c>
      <c r="G37" s="393"/>
      <c r="I37" s="397" t="s">
        <v>267</v>
      </c>
      <c r="K37">
        <f t="shared" ref="K37:V37" si="14">K36-K36/(1+$J36%)</f>
        <v>0</v>
      </c>
      <c r="L37">
        <f t="shared" si="14"/>
        <v>0</v>
      </c>
      <c r="M37">
        <f t="shared" si="14"/>
        <v>0</v>
      </c>
      <c r="N37">
        <f t="shared" si="14"/>
        <v>0</v>
      </c>
      <c r="O37">
        <f t="shared" si="14"/>
        <v>0</v>
      </c>
      <c r="P37">
        <f t="shared" si="14"/>
        <v>0</v>
      </c>
      <c r="Q37">
        <f t="shared" si="14"/>
        <v>0</v>
      </c>
      <c r="R37">
        <f t="shared" si="14"/>
        <v>0</v>
      </c>
      <c r="S37">
        <f t="shared" si="14"/>
        <v>0</v>
      </c>
      <c r="T37">
        <f t="shared" si="14"/>
        <v>0</v>
      </c>
      <c r="U37">
        <f t="shared" si="14"/>
        <v>0</v>
      </c>
      <c r="V37">
        <f t="shared" si="14"/>
        <v>0</v>
      </c>
      <c r="W37">
        <f t="shared" si="1"/>
        <v>0</v>
      </c>
    </row>
    <row r="38" spans="1:24" x14ac:dyDescent="0.2">
      <c r="A38" s="4"/>
      <c r="B38" s="166" t="str">
        <f>'1. T1 INVESTOINTISUUN.'!C34</f>
        <v>• avustus-%</v>
      </c>
      <c r="C38" s="167">
        <f>'1. T1 INVESTOINTISUUN.'!D34</f>
        <v>0</v>
      </c>
      <c r="D38" s="167">
        <f>'1. T1 INVESTOINTISUUN.'!E34</f>
        <v>0</v>
      </c>
      <c r="E38" s="167">
        <f>'1. T1 INVESTOINTISUUN.'!F34</f>
        <v>0</v>
      </c>
      <c r="F38" s="167">
        <f>'1. T1 INVESTOINTISUUN.'!G34</f>
        <v>0</v>
      </c>
      <c r="G38" s="394"/>
      <c r="H38" s="21"/>
      <c r="I38" s="396" t="s">
        <v>578</v>
      </c>
      <c r="J38">
        <f>'9. T5 KASSABUDJETTI  '!F73</f>
        <v>25.5</v>
      </c>
      <c r="K38" s="32">
        <f>'9. T5 KASSABUDJETTI  '!G73</f>
        <v>0</v>
      </c>
      <c r="L38" s="32">
        <f>'9. T5 KASSABUDJETTI  '!H73</f>
        <v>0</v>
      </c>
      <c r="M38" s="32">
        <f>'9. T5 KASSABUDJETTI  '!I73</f>
        <v>0</v>
      </c>
      <c r="N38" s="32">
        <f>'9. T5 KASSABUDJETTI  '!J73</f>
        <v>0</v>
      </c>
      <c r="O38" s="32">
        <f>'9. T5 KASSABUDJETTI  '!K73</f>
        <v>0</v>
      </c>
      <c r="P38" s="32">
        <f>'9. T5 KASSABUDJETTI  '!L73</f>
        <v>0</v>
      </c>
      <c r="Q38" s="32">
        <f>'9. T5 KASSABUDJETTI  '!M73</f>
        <v>0</v>
      </c>
      <c r="R38" s="32">
        <f>'9. T5 KASSABUDJETTI  '!N73</f>
        <v>0</v>
      </c>
      <c r="S38" s="32">
        <f>'9. T5 KASSABUDJETTI  '!O73</f>
        <v>0</v>
      </c>
      <c r="T38" s="32">
        <f>'9. T5 KASSABUDJETTI  '!P73</f>
        <v>0</v>
      </c>
      <c r="U38" s="32">
        <f>'9. T5 KASSABUDJETTI  '!Q73</f>
        <v>0</v>
      </c>
      <c r="V38" s="32">
        <f>'9. T5 KASSABUDJETTI  '!R73</f>
        <v>0</v>
      </c>
      <c r="W38">
        <f t="shared" si="1"/>
        <v>0</v>
      </c>
    </row>
    <row r="39" spans="1:24" x14ac:dyDescent="0.2">
      <c r="A39" s="4"/>
      <c r="B39" s="166" t="s">
        <v>144</v>
      </c>
      <c r="C39" s="168">
        <f>C36*C38</f>
        <v>0</v>
      </c>
      <c r="D39" s="168">
        <f>D36*D38</f>
        <v>0</v>
      </c>
      <c r="E39" s="168">
        <f>E36*E38</f>
        <v>0</v>
      </c>
      <c r="F39" s="168">
        <f>F36*F38</f>
        <v>0</v>
      </c>
      <c r="G39" s="32"/>
      <c r="H39" s="32"/>
      <c r="I39" s="397" t="s">
        <v>267</v>
      </c>
      <c r="K39">
        <f t="shared" ref="K39:V39" si="15">K38-K38/(1+$J38%)</f>
        <v>0</v>
      </c>
      <c r="L39">
        <f t="shared" si="15"/>
        <v>0</v>
      </c>
      <c r="M39">
        <f t="shared" si="15"/>
        <v>0</v>
      </c>
      <c r="N39">
        <f t="shared" si="15"/>
        <v>0</v>
      </c>
      <c r="O39">
        <f t="shared" si="15"/>
        <v>0</v>
      </c>
      <c r="P39">
        <f t="shared" si="15"/>
        <v>0</v>
      </c>
      <c r="Q39">
        <f t="shared" si="15"/>
        <v>0</v>
      </c>
      <c r="R39">
        <f t="shared" si="15"/>
        <v>0</v>
      </c>
      <c r="S39">
        <f t="shared" si="15"/>
        <v>0</v>
      </c>
      <c r="T39">
        <f t="shared" si="15"/>
        <v>0</v>
      </c>
      <c r="U39">
        <f t="shared" si="15"/>
        <v>0</v>
      </c>
      <c r="V39">
        <f t="shared" si="15"/>
        <v>0</v>
      </c>
      <c r="W39">
        <f t="shared" si="1"/>
        <v>0</v>
      </c>
    </row>
    <row r="40" spans="1:24" x14ac:dyDescent="0.2">
      <c r="B40" s="166" t="s">
        <v>185</v>
      </c>
      <c r="C40" s="188">
        <f>C36-C39</f>
        <v>0</v>
      </c>
      <c r="D40" s="188">
        <f>D36-D39</f>
        <v>0</v>
      </c>
      <c r="E40" s="188">
        <f>E36-E39</f>
        <v>0</v>
      </c>
      <c r="F40" s="188">
        <f>F36-F39</f>
        <v>0</v>
      </c>
      <c r="G40" s="4"/>
      <c r="H40" s="32"/>
      <c r="I40" s="398" t="s">
        <v>268</v>
      </c>
      <c r="J40" s="399"/>
      <c r="K40" s="399">
        <f t="shared" ref="K40:V40" si="16">K35+K37+K39</f>
        <v>0</v>
      </c>
      <c r="L40" s="399">
        <f t="shared" si="16"/>
        <v>0</v>
      </c>
      <c r="M40" s="399">
        <f t="shared" si="16"/>
        <v>0</v>
      </c>
      <c r="N40" s="399">
        <f t="shared" si="16"/>
        <v>0</v>
      </c>
      <c r="O40" s="399">
        <f t="shared" si="16"/>
        <v>0</v>
      </c>
      <c r="P40" s="399">
        <f t="shared" si="16"/>
        <v>0</v>
      </c>
      <c r="Q40" s="399">
        <f t="shared" si="16"/>
        <v>0</v>
      </c>
      <c r="R40" s="399">
        <f t="shared" si="16"/>
        <v>0</v>
      </c>
      <c r="S40" s="399">
        <f t="shared" si="16"/>
        <v>0</v>
      </c>
      <c r="T40" s="399">
        <f t="shared" si="16"/>
        <v>0</v>
      </c>
      <c r="U40" s="399">
        <f t="shared" si="16"/>
        <v>0</v>
      </c>
      <c r="V40" s="399">
        <f t="shared" si="16"/>
        <v>0</v>
      </c>
      <c r="W40">
        <f t="shared" si="1"/>
        <v>0</v>
      </c>
    </row>
    <row r="41" spans="1:24" x14ac:dyDescent="0.2">
      <c r="A41" s="4" t="str">
        <f>'1. T1 INVESTOINTISUUN.'!B35</f>
        <v>7.</v>
      </c>
      <c r="B41" s="166" t="str">
        <f>'1. T1 INVESTOINTISUUN.'!C35</f>
        <v xml:space="preserve">Aineettomat hyödykkeet </v>
      </c>
      <c r="C41" s="166">
        <f>'1. T1 INVESTOINTISUUN.'!D35</f>
        <v>0</v>
      </c>
      <c r="D41" s="166">
        <f>'1. T1 INVESTOINTISUUN.'!E35</f>
        <v>0</v>
      </c>
      <c r="E41" s="166">
        <f>'1. T1 INVESTOINTISUUN.'!F35</f>
        <v>0</v>
      </c>
      <c r="F41" s="166">
        <f>'1. T1 INVESTOINTISUUN.'!G35</f>
        <v>0</v>
      </c>
      <c r="G41" s="395"/>
      <c r="H41" s="271"/>
      <c r="I41" s="1484" t="s">
        <v>573</v>
      </c>
      <c r="J41">
        <f>'9. T5 KASSABUDJETTI  '!F78</f>
        <v>25.5</v>
      </c>
      <c r="K41" s="32">
        <f>'9. T5 KASSABUDJETTI  '!G78</f>
        <v>0</v>
      </c>
      <c r="L41" s="32">
        <f>'9. T5 KASSABUDJETTI  '!H78</f>
        <v>0</v>
      </c>
      <c r="M41" s="32">
        <f>'9. T5 KASSABUDJETTI  '!I78</f>
        <v>0</v>
      </c>
      <c r="N41" s="32">
        <f>'9. T5 KASSABUDJETTI  '!J78</f>
        <v>0</v>
      </c>
      <c r="O41" s="32">
        <f>'9. T5 KASSABUDJETTI  '!K78</f>
        <v>0</v>
      </c>
      <c r="P41" s="32">
        <f>'9. T5 KASSABUDJETTI  '!L78</f>
        <v>0</v>
      </c>
      <c r="Q41" s="32">
        <f>'9. T5 KASSABUDJETTI  '!M78</f>
        <v>0</v>
      </c>
      <c r="R41" s="32">
        <f>'9. T5 KASSABUDJETTI  '!N78</f>
        <v>0</v>
      </c>
      <c r="S41" s="32">
        <f>'9. T5 KASSABUDJETTI  '!O78</f>
        <v>0</v>
      </c>
      <c r="T41" s="32">
        <f>'9. T5 KASSABUDJETTI  '!P78</f>
        <v>0</v>
      </c>
      <c r="U41" s="32">
        <f>'9. T5 KASSABUDJETTI  '!Q78</f>
        <v>0</v>
      </c>
      <c r="V41" s="32">
        <f>'9. T5 KASSABUDJETTI  '!R78</f>
        <v>0</v>
      </c>
      <c r="W41">
        <f t="shared" si="1"/>
        <v>0</v>
      </c>
    </row>
    <row r="42" spans="1:24" x14ac:dyDescent="0.2">
      <c r="A42" s="4"/>
      <c r="B42" s="166" t="str">
        <f>'1. T1 INVESTOINTISUUN.'!C36</f>
        <v>• arvonlisävero-%</v>
      </c>
      <c r="C42" s="255">
        <f>'1. T1 INVESTOINTISUUN.'!D36</f>
        <v>0</v>
      </c>
      <c r="D42" s="255">
        <f>'1. T1 INVESTOINTISUUN.'!E36</f>
        <v>0</v>
      </c>
      <c r="E42" s="255">
        <f>'1. T1 INVESTOINTISUUN.'!F36</f>
        <v>0</v>
      </c>
      <c r="F42" s="255">
        <f>'1. T1 INVESTOINTISUUN.'!G36</f>
        <v>0</v>
      </c>
      <c r="G42" s="394"/>
      <c r="H42" s="6"/>
      <c r="I42" s="397" t="s">
        <v>267</v>
      </c>
      <c r="K42">
        <f t="shared" ref="K42:V42" si="17">K41-K41/(1+$J41%)</f>
        <v>0</v>
      </c>
      <c r="L42">
        <f t="shared" si="17"/>
        <v>0</v>
      </c>
      <c r="M42">
        <f t="shared" si="17"/>
        <v>0</v>
      </c>
      <c r="N42">
        <f t="shared" si="17"/>
        <v>0</v>
      </c>
      <c r="O42">
        <f t="shared" si="17"/>
        <v>0</v>
      </c>
      <c r="P42">
        <f t="shared" si="17"/>
        <v>0</v>
      </c>
      <c r="Q42">
        <f t="shared" si="17"/>
        <v>0</v>
      </c>
      <c r="R42">
        <f t="shared" si="17"/>
        <v>0</v>
      </c>
      <c r="S42">
        <f t="shared" si="17"/>
        <v>0</v>
      </c>
      <c r="T42">
        <f t="shared" si="17"/>
        <v>0</v>
      </c>
      <c r="U42">
        <f t="shared" si="17"/>
        <v>0</v>
      </c>
      <c r="V42">
        <f t="shared" si="17"/>
        <v>0</v>
      </c>
      <c r="W42">
        <f t="shared" si="1"/>
        <v>0</v>
      </c>
    </row>
    <row r="43" spans="1:24" x14ac:dyDescent="0.2">
      <c r="A43" s="4"/>
      <c r="B43" s="166" t="s">
        <v>143</v>
      </c>
      <c r="C43" s="168">
        <f>C41/(1+C42)</f>
        <v>0</v>
      </c>
      <c r="D43" s="168">
        <f>D41/(1+D42)</f>
        <v>0</v>
      </c>
      <c r="E43" s="168">
        <f>E41/(1+E42)</f>
        <v>0</v>
      </c>
      <c r="F43" s="168">
        <f>F41/(1+F42)</f>
        <v>0</v>
      </c>
      <c r="G43" s="394"/>
      <c r="H43" s="271"/>
      <c r="I43" s="1487" t="s">
        <v>579</v>
      </c>
      <c r="J43" s="1488"/>
      <c r="K43" s="1488"/>
      <c r="L43" s="1488"/>
      <c r="M43" s="1488"/>
      <c r="N43" s="1488"/>
      <c r="O43" s="1488"/>
      <c r="P43" s="1488"/>
      <c r="Q43" s="1488"/>
      <c r="R43" s="1488"/>
      <c r="S43" s="1488"/>
      <c r="T43" s="1488"/>
      <c r="U43" s="1488"/>
      <c r="V43" s="1488"/>
      <c r="W43">
        <f t="shared" si="1"/>
        <v>0</v>
      </c>
    </row>
    <row r="44" spans="1:24" x14ac:dyDescent="0.2">
      <c r="A44" s="4"/>
      <c r="B44" s="166" t="s">
        <v>142</v>
      </c>
      <c r="C44" s="168">
        <f>C41-C43</f>
        <v>0</v>
      </c>
      <c r="D44" s="168">
        <f>D41-D43</f>
        <v>0</v>
      </c>
      <c r="E44" s="168">
        <f>E41-E43</f>
        <v>0</v>
      </c>
      <c r="F44" s="168">
        <f>F41-F43</f>
        <v>0</v>
      </c>
      <c r="G44" s="393"/>
      <c r="H44" s="6"/>
      <c r="I44" s="1489"/>
      <c r="J44" s="1488"/>
      <c r="K44" s="1488"/>
      <c r="L44" s="1488"/>
      <c r="M44" s="1488"/>
      <c r="N44" s="1488"/>
      <c r="O44" s="1488"/>
      <c r="P44" s="1488"/>
      <c r="Q44" s="1488"/>
      <c r="R44" s="1488"/>
      <c r="S44" s="1488"/>
      <c r="T44" s="1488"/>
      <c r="U44" s="1488"/>
      <c r="V44" s="1488"/>
      <c r="W44">
        <f t="shared" si="1"/>
        <v>0</v>
      </c>
    </row>
    <row r="45" spans="1:24" x14ac:dyDescent="0.2">
      <c r="A45" s="4"/>
      <c r="B45" s="166" t="s">
        <v>139</v>
      </c>
      <c r="C45" s="167">
        <f>'1. T1 INVESTOINTISUUN.'!D37</f>
        <v>0</v>
      </c>
      <c r="D45" s="167">
        <f>'1. T1 INVESTOINTISUUN.'!E37</f>
        <v>0</v>
      </c>
      <c r="E45" s="167">
        <f>'1. T1 INVESTOINTISUUN.'!F37</f>
        <v>0</v>
      </c>
      <c r="F45" s="167">
        <f>'1. T1 INVESTOINTISUUN.'!G37</f>
        <v>0</v>
      </c>
      <c r="G45" s="394"/>
      <c r="H45" s="271"/>
      <c r="I45" s="1484" t="s">
        <v>574</v>
      </c>
      <c r="J45">
        <f>'9. T5 KASSABUDJETTI  '!F81</f>
        <v>25.5</v>
      </c>
      <c r="K45" s="32">
        <f>'9. T5 KASSABUDJETTI  '!G81</f>
        <v>0</v>
      </c>
      <c r="L45" s="32">
        <f>'9. T5 KASSABUDJETTI  '!H81</f>
        <v>0</v>
      </c>
      <c r="M45" s="32">
        <f>'9. T5 KASSABUDJETTI  '!I81</f>
        <v>0</v>
      </c>
      <c r="N45" s="32">
        <f>'9. T5 KASSABUDJETTI  '!J81</f>
        <v>0</v>
      </c>
      <c r="O45" s="32">
        <f>'9. T5 KASSABUDJETTI  '!K81</f>
        <v>0</v>
      </c>
      <c r="P45" s="32">
        <f>'9. T5 KASSABUDJETTI  '!L81</f>
        <v>0</v>
      </c>
      <c r="Q45" s="32">
        <f>'9. T5 KASSABUDJETTI  '!M81</f>
        <v>0</v>
      </c>
      <c r="R45" s="32">
        <f>'9. T5 KASSABUDJETTI  '!N81</f>
        <v>0</v>
      </c>
      <c r="S45" s="32">
        <f>'9. T5 KASSABUDJETTI  '!O81</f>
        <v>0</v>
      </c>
      <c r="T45" s="32">
        <f>'9. T5 KASSABUDJETTI  '!P81</f>
        <v>0</v>
      </c>
      <c r="U45" s="32">
        <f>'9. T5 KASSABUDJETTI  '!Q81</f>
        <v>0</v>
      </c>
      <c r="V45" s="32">
        <f>'9. T5 KASSABUDJETTI  '!R81</f>
        <v>0</v>
      </c>
      <c r="W45">
        <f t="shared" si="1"/>
        <v>0</v>
      </c>
    </row>
    <row r="46" spans="1:24" x14ac:dyDescent="0.2">
      <c r="B46" s="166" t="s">
        <v>144</v>
      </c>
      <c r="C46" s="168">
        <f>C43*C45</f>
        <v>0</v>
      </c>
      <c r="D46" s="168">
        <f>D43*D45</f>
        <v>0</v>
      </c>
      <c r="E46" s="168">
        <f>E43*E45</f>
        <v>0</v>
      </c>
      <c r="F46" s="168">
        <f>F43*F45</f>
        <v>0</v>
      </c>
      <c r="G46" s="32"/>
      <c r="H46" s="6"/>
      <c r="I46" s="397" t="s">
        <v>267</v>
      </c>
      <c r="K46">
        <f t="shared" ref="K46:V46" si="18">K45-K45/(1+$J45%)</f>
        <v>0</v>
      </c>
      <c r="L46">
        <f t="shared" si="18"/>
        <v>0</v>
      </c>
      <c r="M46">
        <f t="shared" si="18"/>
        <v>0</v>
      </c>
      <c r="N46">
        <f t="shared" si="18"/>
        <v>0</v>
      </c>
      <c r="O46">
        <f t="shared" si="18"/>
        <v>0</v>
      </c>
      <c r="P46">
        <f t="shared" si="18"/>
        <v>0</v>
      </c>
      <c r="Q46">
        <f t="shared" si="18"/>
        <v>0</v>
      </c>
      <c r="R46">
        <f t="shared" si="18"/>
        <v>0</v>
      </c>
      <c r="S46">
        <f t="shared" si="18"/>
        <v>0</v>
      </c>
      <c r="T46">
        <f t="shared" si="18"/>
        <v>0</v>
      </c>
      <c r="U46">
        <f t="shared" si="18"/>
        <v>0</v>
      </c>
      <c r="V46">
        <f t="shared" si="18"/>
        <v>0</v>
      </c>
      <c r="W46">
        <f t="shared" si="1"/>
        <v>0</v>
      </c>
      <c r="X46">
        <v>0</v>
      </c>
    </row>
    <row r="47" spans="1:24" x14ac:dyDescent="0.2">
      <c r="A47" s="4"/>
      <c r="B47" s="166" t="s">
        <v>185</v>
      </c>
      <c r="C47" s="188">
        <f>C43-C46</f>
        <v>0</v>
      </c>
      <c r="D47" s="188">
        <f>D43-D46</f>
        <v>0</v>
      </c>
      <c r="E47" s="188">
        <f>E43-E46</f>
        <v>0</v>
      </c>
      <c r="F47" s="188">
        <f>F43-F46</f>
        <v>0</v>
      </c>
      <c r="G47" s="4"/>
      <c r="H47" s="271"/>
      <c r="I47" s="1484" t="s">
        <v>575</v>
      </c>
      <c r="J47">
        <f>'9. T5 KASSABUDJETTI  '!F82</f>
        <v>25.5</v>
      </c>
      <c r="K47" s="32">
        <f>'9. T5 KASSABUDJETTI  '!G82</f>
        <v>0</v>
      </c>
      <c r="L47" s="32">
        <f>'9. T5 KASSABUDJETTI  '!H82</f>
        <v>0</v>
      </c>
      <c r="M47" s="32">
        <f>'9. T5 KASSABUDJETTI  '!I82</f>
        <v>0</v>
      </c>
      <c r="N47" s="32">
        <f>'9. T5 KASSABUDJETTI  '!J82</f>
        <v>0</v>
      </c>
      <c r="O47" s="32">
        <f>'9. T5 KASSABUDJETTI  '!K82</f>
        <v>0</v>
      </c>
      <c r="P47" s="32">
        <f>'9. T5 KASSABUDJETTI  '!L82</f>
        <v>0</v>
      </c>
      <c r="Q47" s="32">
        <f>'9. T5 KASSABUDJETTI  '!M82</f>
        <v>0</v>
      </c>
      <c r="R47" s="32">
        <f>'9. T5 KASSABUDJETTI  '!N82</f>
        <v>0</v>
      </c>
      <c r="S47" s="32">
        <f>'9. T5 KASSABUDJETTI  '!O82</f>
        <v>0</v>
      </c>
      <c r="T47" s="32">
        <f>'9. T5 KASSABUDJETTI  '!P82</f>
        <v>0</v>
      </c>
      <c r="U47" s="32">
        <f>'9. T5 KASSABUDJETTI  '!Q82</f>
        <v>0</v>
      </c>
      <c r="V47" s="32">
        <f>'9. T5 KASSABUDJETTI  '!R82</f>
        <v>0</v>
      </c>
      <c r="W47">
        <f t="shared" si="1"/>
        <v>0</v>
      </c>
    </row>
    <row r="48" spans="1:24" x14ac:dyDescent="0.2">
      <c r="A48" s="4"/>
      <c r="B48" s="4" t="s">
        <v>145</v>
      </c>
      <c r="C48" s="27">
        <f>C11+C24+C37+C44</f>
        <v>0</v>
      </c>
      <c r="D48" s="27">
        <f>D11+D24+D37+D44</f>
        <v>0</v>
      </c>
      <c r="E48" s="27">
        <f>E11+E24+E37+E44</f>
        <v>0</v>
      </c>
      <c r="F48" s="27">
        <f>F11+F24+F37+F44</f>
        <v>0</v>
      </c>
      <c r="G48" s="27"/>
      <c r="H48" s="6"/>
      <c r="I48" s="397" t="s">
        <v>267</v>
      </c>
      <c r="K48">
        <f t="shared" ref="K48:V48" si="19">K47-K47/(1+$J47%)</f>
        <v>0</v>
      </c>
      <c r="L48">
        <f t="shared" si="19"/>
        <v>0</v>
      </c>
      <c r="M48">
        <f t="shared" si="19"/>
        <v>0</v>
      </c>
      <c r="N48">
        <f t="shared" si="19"/>
        <v>0</v>
      </c>
      <c r="O48">
        <f t="shared" si="19"/>
        <v>0</v>
      </c>
      <c r="P48">
        <f t="shared" si="19"/>
        <v>0</v>
      </c>
      <c r="Q48">
        <f t="shared" si="19"/>
        <v>0</v>
      </c>
      <c r="R48">
        <f t="shared" si="19"/>
        <v>0</v>
      </c>
      <c r="S48">
        <f t="shared" si="19"/>
        <v>0</v>
      </c>
      <c r="T48">
        <f t="shared" si="19"/>
        <v>0</v>
      </c>
      <c r="U48">
        <f t="shared" si="19"/>
        <v>0</v>
      </c>
      <c r="V48">
        <f t="shared" si="19"/>
        <v>0</v>
      </c>
      <c r="W48">
        <f t="shared" si="1"/>
        <v>0</v>
      </c>
    </row>
    <row r="49" spans="1:23" x14ac:dyDescent="0.2">
      <c r="A49" s="4"/>
      <c r="B49" s="4" t="s">
        <v>146</v>
      </c>
      <c r="C49" s="27">
        <f>C6+C13+C17+C26+C39+C46+C32</f>
        <v>0</v>
      </c>
      <c r="D49" s="27">
        <f>D6+D13+D17+D26+D39+D46+D32</f>
        <v>0</v>
      </c>
      <c r="E49" s="27">
        <f>E6+E13+E17+E26+E39+E46+E32</f>
        <v>0</v>
      </c>
      <c r="F49" s="27">
        <f>F6+F13+F17+F26+F39+F46+F32</f>
        <v>0</v>
      </c>
      <c r="G49" s="1"/>
      <c r="H49" s="271"/>
      <c r="I49" s="1484" t="s">
        <v>580</v>
      </c>
      <c r="J49">
        <f>'9. T5 KASSABUDJETTI  '!F83</f>
        <v>25.5</v>
      </c>
      <c r="K49" s="32">
        <f>'9. T5 KASSABUDJETTI  '!G83</f>
        <v>0</v>
      </c>
      <c r="L49" s="32">
        <f>'9. T5 KASSABUDJETTI  '!H83</f>
        <v>0</v>
      </c>
      <c r="M49" s="32">
        <f>'9. T5 KASSABUDJETTI  '!I83</f>
        <v>0</v>
      </c>
      <c r="N49" s="32">
        <f>'9. T5 KASSABUDJETTI  '!J83</f>
        <v>0</v>
      </c>
      <c r="O49" s="32">
        <f>'9. T5 KASSABUDJETTI  '!K83</f>
        <v>0</v>
      </c>
      <c r="P49" s="32">
        <f>'9. T5 KASSABUDJETTI  '!L83</f>
        <v>0</v>
      </c>
      <c r="Q49" s="32">
        <f>'9. T5 KASSABUDJETTI  '!M83</f>
        <v>0</v>
      </c>
      <c r="R49" s="32">
        <f>'9. T5 KASSABUDJETTI  '!N83</f>
        <v>0</v>
      </c>
      <c r="S49" s="32">
        <f>'9. T5 KASSABUDJETTI  '!O83</f>
        <v>0</v>
      </c>
      <c r="T49" s="32">
        <f>'9. T5 KASSABUDJETTI  '!P83</f>
        <v>0</v>
      </c>
      <c r="U49" s="32">
        <f>'9. T5 KASSABUDJETTI  '!Q83</f>
        <v>0</v>
      </c>
      <c r="V49" s="32">
        <f>'9. T5 KASSABUDJETTI  '!R83</f>
        <v>0</v>
      </c>
      <c r="W49">
        <f t="shared" si="1"/>
        <v>0</v>
      </c>
    </row>
    <row r="50" spans="1:23" x14ac:dyDescent="0.2">
      <c r="A50" s="4"/>
      <c r="B50" s="4" t="s">
        <v>0</v>
      </c>
      <c r="C50" s="4"/>
      <c r="D50" s="4"/>
      <c r="E50" s="4"/>
      <c r="F50" s="1"/>
      <c r="G50" s="1"/>
      <c r="H50" s="6"/>
      <c r="I50" s="397" t="s">
        <v>267</v>
      </c>
      <c r="K50">
        <f t="shared" ref="K50:V50" si="20">K49-K49/(1+$J49%)</f>
        <v>0</v>
      </c>
      <c r="L50">
        <f t="shared" si="20"/>
        <v>0</v>
      </c>
      <c r="M50">
        <f t="shared" si="20"/>
        <v>0</v>
      </c>
      <c r="N50">
        <f t="shared" si="20"/>
        <v>0</v>
      </c>
      <c r="O50">
        <f t="shared" si="20"/>
        <v>0</v>
      </c>
      <c r="P50">
        <f t="shared" si="20"/>
        <v>0</v>
      </c>
      <c r="Q50">
        <f t="shared" si="20"/>
        <v>0</v>
      </c>
      <c r="R50">
        <f t="shared" si="20"/>
        <v>0</v>
      </c>
      <c r="S50">
        <f t="shared" si="20"/>
        <v>0</v>
      </c>
      <c r="T50">
        <f t="shared" si="20"/>
        <v>0</v>
      </c>
      <c r="U50">
        <f t="shared" si="20"/>
        <v>0</v>
      </c>
      <c r="V50">
        <f t="shared" si="20"/>
        <v>0</v>
      </c>
      <c r="W50">
        <f t="shared" si="1"/>
        <v>0</v>
      </c>
    </row>
    <row r="51" spans="1:23" x14ac:dyDescent="0.2">
      <c r="A51" s="4"/>
      <c r="B51" s="4"/>
      <c r="C51" s="4"/>
      <c r="D51" s="4"/>
      <c r="E51" s="4"/>
      <c r="F51" s="1"/>
      <c r="G51" s="1"/>
      <c r="H51" s="6"/>
      <c r="I51" s="661"/>
      <c r="W51">
        <f t="shared" si="1"/>
        <v>0</v>
      </c>
    </row>
    <row r="52" spans="1:23" x14ac:dyDescent="0.2">
      <c r="A52" s="4"/>
      <c r="B52" s="4"/>
      <c r="C52" s="4"/>
      <c r="D52" s="4"/>
      <c r="E52" s="4"/>
      <c r="F52" s="1"/>
      <c r="G52" s="1"/>
      <c r="H52" s="271"/>
      <c r="I52" s="1484" t="s">
        <v>581</v>
      </c>
      <c r="J52">
        <f>'9. T5 KASSABUDJETTI  '!F84</f>
        <v>25.5</v>
      </c>
      <c r="K52" s="32">
        <f>'9. T5 KASSABUDJETTI  '!G84</f>
        <v>0</v>
      </c>
      <c r="L52" s="32">
        <f>'9. T5 KASSABUDJETTI  '!H84</f>
        <v>0</v>
      </c>
      <c r="M52" s="32">
        <f>'9. T5 KASSABUDJETTI  '!I84</f>
        <v>0</v>
      </c>
      <c r="N52" s="32">
        <f>'9. T5 KASSABUDJETTI  '!J84</f>
        <v>0</v>
      </c>
      <c r="O52" s="32">
        <f>'9. T5 KASSABUDJETTI  '!K84</f>
        <v>0</v>
      </c>
      <c r="P52" s="32">
        <f>'9. T5 KASSABUDJETTI  '!L84</f>
        <v>0</v>
      </c>
      <c r="Q52" s="32">
        <f>'9. T5 KASSABUDJETTI  '!M84</f>
        <v>0</v>
      </c>
      <c r="R52" s="32">
        <f>'9. T5 KASSABUDJETTI  '!N84</f>
        <v>0</v>
      </c>
      <c r="S52" s="32">
        <f>'9. T5 KASSABUDJETTI  '!O84</f>
        <v>0</v>
      </c>
      <c r="T52" s="32">
        <f>'9. T5 KASSABUDJETTI  '!P84</f>
        <v>0</v>
      </c>
      <c r="U52" s="32">
        <f>'9. T5 KASSABUDJETTI  '!Q84</f>
        <v>0</v>
      </c>
      <c r="V52" s="32">
        <f>'9. T5 KASSABUDJETTI  '!R84</f>
        <v>0</v>
      </c>
      <c r="W52">
        <f t="shared" si="1"/>
        <v>0</v>
      </c>
    </row>
    <row r="53" spans="1:23" x14ac:dyDescent="0.2">
      <c r="A53" s="4"/>
      <c r="B53" s="4"/>
      <c r="C53" s="4"/>
      <c r="D53" s="4"/>
      <c r="E53" s="4"/>
      <c r="F53" s="1"/>
      <c r="G53" s="1"/>
      <c r="H53" s="6"/>
      <c r="I53" s="397" t="s">
        <v>267</v>
      </c>
      <c r="K53">
        <f t="shared" ref="K53:V53" si="21">K52-K52/(1+$J52%)</f>
        <v>0</v>
      </c>
      <c r="L53">
        <f t="shared" si="21"/>
        <v>0</v>
      </c>
      <c r="M53">
        <f t="shared" si="21"/>
        <v>0</v>
      </c>
      <c r="N53">
        <f t="shared" si="21"/>
        <v>0</v>
      </c>
      <c r="O53">
        <f t="shared" si="21"/>
        <v>0</v>
      </c>
      <c r="P53">
        <f t="shared" si="21"/>
        <v>0</v>
      </c>
      <c r="Q53">
        <f t="shared" si="21"/>
        <v>0</v>
      </c>
      <c r="R53">
        <f t="shared" si="21"/>
        <v>0</v>
      </c>
      <c r="S53">
        <f t="shared" si="21"/>
        <v>0</v>
      </c>
      <c r="T53">
        <f t="shared" si="21"/>
        <v>0</v>
      </c>
      <c r="U53">
        <f t="shared" si="21"/>
        <v>0</v>
      </c>
      <c r="V53">
        <f t="shared" si="21"/>
        <v>0</v>
      </c>
      <c r="W53">
        <f t="shared" si="1"/>
        <v>0</v>
      </c>
    </row>
    <row r="54" spans="1:23" x14ac:dyDescent="0.2">
      <c r="A54" s="1"/>
      <c r="B54" s="1"/>
      <c r="C54" s="1"/>
      <c r="D54" s="1"/>
      <c r="E54" s="1"/>
      <c r="F54" s="1"/>
      <c r="G54" s="1"/>
      <c r="H54" s="271"/>
      <c r="I54" s="1484" t="s">
        <v>576</v>
      </c>
      <c r="J54">
        <f>'9. T5 KASSABUDJETTI  '!F85</f>
        <v>0</v>
      </c>
      <c r="K54" s="32">
        <f>'9. T5 KASSABUDJETTI  '!G85</f>
        <v>0</v>
      </c>
      <c r="L54" s="32">
        <f>'9. T5 KASSABUDJETTI  '!H85</f>
        <v>0</v>
      </c>
      <c r="M54" s="32">
        <f>'9. T5 KASSABUDJETTI  '!I85</f>
        <v>0</v>
      </c>
      <c r="N54" s="32">
        <f>'9. T5 KASSABUDJETTI  '!J85</f>
        <v>0</v>
      </c>
      <c r="O54" s="32">
        <f>'9. T5 KASSABUDJETTI  '!K85</f>
        <v>0</v>
      </c>
      <c r="P54" s="32">
        <f>'9. T5 KASSABUDJETTI  '!L85</f>
        <v>0</v>
      </c>
      <c r="Q54" s="32">
        <f>'9. T5 KASSABUDJETTI  '!M85</f>
        <v>0</v>
      </c>
      <c r="R54" s="32">
        <f>'9. T5 KASSABUDJETTI  '!N85</f>
        <v>0</v>
      </c>
      <c r="S54" s="32">
        <f>'9. T5 KASSABUDJETTI  '!O85</f>
        <v>0</v>
      </c>
      <c r="T54" s="32">
        <f>'9. T5 KASSABUDJETTI  '!P85</f>
        <v>0</v>
      </c>
      <c r="U54" s="32">
        <f>'9. T5 KASSABUDJETTI  '!Q85</f>
        <v>0</v>
      </c>
      <c r="V54" s="32">
        <f>'9. T5 KASSABUDJETTI  '!R85</f>
        <v>0</v>
      </c>
      <c r="W54">
        <f t="shared" si="1"/>
        <v>0</v>
      </c>
    </row>
    <row r="55" spans="1:23" x14ac:dyDescent="0.2">
      <c r="H55" s="21"/>
      <c r="I55" s="397" t="s">
        <v>267</v>
      </c>
      <c r="J55" s="434"/>
      <c r="K55">
        <f t="shared" ref="K55:V55" si="22">K54-K54/(1+$J54%)</f>
        <v>0</v>
      </c>
      <c r="L55">
        <f t="shared" si="22"/>
        <v>0</v>
      </c>
      <c r="M55">
        <f t="shared" si="22"/>
        <v>0</v>
      </c>
      <c r="N55">
        <f t="shared" si="22"/>
        <v>0</v>
      </c>
      <c r="O55">
        <f t="shared" si="22"/>
        <v>0</v>
      </c>
      <c r="P55">
        <f t="shared" si="22"/>
        <v>0</v>
      </c>
      <c r="Q55">
        <f t="shared" si="22"/>
        <v>0</v>
      </c>
      <c r="R55">
        <f t="shared" si="22"/>
        <v>0</v>
      </c>
      <c r="S55">
        <f t="shared" si="22"/>
        <v>0</v>
      </c>
      <c r="T55">
        <f t="shared" si="22"/>
        <v>0</v>
      </c>
      <c r="U55">
        <f t="shared" si="22"/>
        <v>0</v>
      </c>
      <c r="V55">
        <f t="shared" si="22"/>
        <v>0</v>
      </c>
      <c r="W55">
        <f t="shared" si="1"/>
        <v>0</v>
      </c>
    </row>
    <row r="56" spans="1:23" x14ac:dyDescent="0.2">
      <c r="H56" s="21"/>
      <c r="I56" s="400" t="s">
        <v>582</v>
      </c>
      <c r="J56" s="399"/>
      <c r="K56" s="399">
        <f t="shared" ref="K56:V56" si="23">K42+K44+K46+K48+K50+K53+K55</f>
        <v>0</v>
      </c>
      <c r="L56" s="399">
        <f t="shared" si="23"/>
        <v>0</v>
      </c>
      <c r="M56" s="399">
        <f t="shared" si="23"/>
        <v>0</v>
      </c>
      <c r="N56" s="399">
        <f t="shared" si="23"/>
        <v>0</v>
      </c>
      <c r="O56" s="399">
        <f t="shared" si="23"/>
        <v>0</v>
      </c>
      <c r="P56" s="399">
        <f t="shared" si="23"/>
        <v>0</v>
      </c>
      <c r="Q56" s="399">
        <f t="shared" si="23"/>
        <v>0</v>
      </c>
      <c r="R56" s="399">
        <f t="shared" si="23"/>
        <v>0</v>
      </c>
      <c r="S56" s="399">
        <f t="shared" si="23"/>
        <v>0</v>
      </c>
      <c r="T56" s="399">
        <f t="shared" si="23"/>
        <v>0</v>
      </c>
      <c r="U56" s="399">
        <f t="shared" si="23"/>
        <v>0</v>
      </c>
      <c r="V56" s="399">
        <f t="shared" si="23"/>
        <v>0</v>
      </c>
      <c r="W56">
        <f t="shared" si="1"/>
        <v>0</v>
      </c>
    </row>
    <row r="57" spans="1:23" x14ac:dyDescent="0.2">
      <c r="H57" s="21"/>
      <c r="I57" s="1490" t="s">
        <v>270</v>
      </c>
      <c r="K57" s="6">
        <f t="shared" ref="K57:V57" si="24">K40-K56</f>
        <v>0</v>
      </c>
      <c r="L57" s="6">
        <f t="shared" si="24"/>
        <v>0</v>
      </c>
      <c r="M57" s="6">
        <f t="shared" si="24"/>
        <v>0</v>
      </c>
      <c r="N57" s="6">
        <f t="shared" si="24"/>
        <v>0</v>
      </c>
      <c r="O57" s="6">
        <f t="shared" si="24"/>
        <v>0</v>
      </c>
      <c r="P57" s="6">
        <f t="shared" si="24"/>
        <v>0</v>
      </c>
      <c r="Q57" s="6">
        <f t="shared" si="24"/>
        <v>0</v>
      </c>
      <c r="R57" s="6">
        <f t="shared" si="24"/>
        <v>0</v>
      </c>
      <c r="S57" s="6">
        <f t="shared" si="24"/>
        <v>0</v>
      </c>
      <c r="T57" s="6">
        <f t="shared" si="24"/>
        <v>0</v>
      </c>
      <c r="U57" s="6">
        <f t="shared" si="24"/>
        <v>0</v>
      </c>
      <c r="V57" s="6">
        <f t="shared" si="24"/>
        <v>0</v>
      </c>
      <c r="W57">
        <f t="shared" si="1"/>
        <v>0</v>
      </c>
    </row>
    <row r="58" spans="1:23" x14ac:dyDescent="0.2">
      <c r="H58" s="21"/>
      <c r="I58" s="16"/>
    </row>
    <row r="59" spans="1:23" x14ac:dyDescent="0.2">
      <c r="H59" s="21"/>
      <c r="I59" s="16"/>
    </row>
    <row r="60" spans="1:23" x14ac:dyDescent="0.2">
      <c r="H60" s="6"/>
      <c r="I60" s="397"/>
    </row>
    <row r="61" spans="1:23" x14ac:dyDescent="0.2">
      <c r="H61" s="271">
        <f>'9. T5 KASSABUDJETTI  '!B69</f>
        <v>0</v>
      </c>
      <c r="I61" s="163" t="str">
        <f>'9. T5 KASSABUDJETTI  '!C39</f>
        <v xml:space="preserve"> Rahoitusmenot (lainojen korkokustannukset)</v>
      </c>
      <c r="J61">
        <f>'9. T5 KASSABUDJETTI  '!F69</f>
        <v>0</v>
      </c>
      <c r="K61" s="32">
        <f>'9. T5 KASSABUDJETTI  '!G95</f>
        <v>0</v>
      </c>
      <c r="L61" s="32">
        <f>'9. T5 KASSABUDJETTI  '!H95</f>
        <v>0</v>
      </c>
      <c r="M61" s="32">
        <f>'9. T5 KASSABUDJETTI  '!I95</f>
        <v>0</v>
      </c>
      <c r="N61" s="32">
        <f>'9. T5 KASSABUDJETTI  '!J95</f>
        <v>0</v>
      </c>
      <c r="O61" s="32">
        <f>'9. T5 KASSABUDJETTI  '!K95</f>
        <v>0</v>
      </c>
      <c r="P61" s="32">
        <f>'9. T5 KASSABUDJETTI  '!L95</f>
        <v>0</v>
      </c>
      <c r="Q61" s="32">
        <f>'9. T5 KASSABUDJETTI  '!M95</f>
        <v>0</v>
      </c>
      <c r="R61" s="32">
        <f>'9. T5 KASSABUDJETTI  '!N95</f>
        <v>0</v>
      </c>
      <c r="S61" s="32">
        <f>'9. T5 KASSABUDJETTI  '!O95</f>
        <v>0</v>
      </c>
      <c r="T61" s="32">
        <f>'9. T5 KASSABUDJETTI  '!P95</f>
        <v>0</v>
      </c>
      <c r="U61" s="32">
        <f>'9. T5 KASSABUDJETTI  '!Q95</f>
        <v>0</v>
      </c>
      <c r="V61" s="32">
        <f>'9. T5 KASSABUDJETTI  '!R95</f>
        <v>0</v>
      </c>
      <c r="W61">
        <f t="shared" si="1"/>
        <v>0</v>
      </c>
    </row>
  </sheetData>
  <sheetProtection algorithmName="SHA-512" hashValue="aZs9n1UqWowAW8OboikfxV0IJGyQ2g4rQC7dQmJjyGZ5gz3IZvIS8uuukHm/zpOwYofr0fH+Z39MJEuJNGmKng==" saltValue="aa01B4TEcP7vUAg3iQhshw==" spinCount="100000" sheet="1" objects="1" scenarios="1" selectLockedCells="1" selectUnlockedCells="1"/>
  <mergeCells count="1">
    <mergeCell ref="B2:B3"/>
  </mergeCells>
  <pageMargins left="0.7" right="0.7" top="0.75" bottom="0.75" header="0.3" footer="0.3"/>
  <pageSetup paperSize="9" orientation="portrait" verticalDpi="4" r:id="rId1"/>
  <ignoredErrors>
    <ignoredError sqref="K5:N5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ul9"/>
  <dimension ref="B2:AN115"/>
  <sheetViews>
    <sheetView workbookViewId="0"/>
  </sheetViews>
  <sheetFormatPr defaultRowHeight="12.75" x14ac:dyDescent="0.2"/>
  <cols>
    <col min="2" max="2" width="49.42578125" customWidth="1"/>
    <col min="3" max="3" width="10" customWidth="1"/>
    <col min="4" max="4" width="12.7109375" style="80" customWidth="1"/>
    <col min="5" max="5" width="11.7109375" customWidth="1"/>
    <col min="6" max="6" width="8.7109375" customWidth="1"/>
    <col min="7" max="7" width="8.85546875" customWidth="1"/>
    <col min="8" max="9" width="10" customWidth="1"/>
    <col min="10" max="10" width="8.85546875" customWidth="1"/>
    <col min="11" max="11" width="11.28515625" customWidth="1"/>
    <col min="12" max="12" width="9.28515625" customWidth="1"/>
    <col min="13" max="13" width="10.140625" customWidth="1"/>
    <col min="14" max="14" width="11.140625" customWidth="1"/>
    <col min="15" max="15" width="9.5703125" customWidth="1"/>
    <col min="16" max="16" width="9" customWidth="1"/>
    <col min="17" max="17" width="7.5703125" customWidth="1"/>
    <col min="19" max="19" width="9.85546875" customWidth="1"/>
    <col min="20" max="20" width="9.28515625" customWidth="1"/>
    <col min="21" max="21" width="13.85546875" customWidth="1"/>
    <col min="22" max="22" width="8.28515625" customWidth="1"/>
    <col min="23" max="23" width="12" customWidth="1"/>
    <col min="24" max="24" width="9.140625" customWidth="1"/>
    <col min="25" max="25" width="10.85546875" customWidth="1"/>
    <col min="26" max="26" width="11" customWidth="1"/>
    <col min="27" max="27" width="10.28515625" customWidth="1"/>
    <col min="28" max="28" width="9.140625" customWidth="1"/>
    <col min="32" max="32" width="14.85546875" customWidth="1"/>
  </cols>
  <sheetData>
    <row r="2" spans="2:40" ht="13.5" thickBot="1" x14ac:dyDescent="0.25"/>
    <row r="3" spans="2:40" x14ac:dyDescent="0.2">
      <c r="F3" s="2301"/>
      <c r="G3" s="2302"/>
      <c r="H3" s="2302"/>
      <c r="I3" s="2302"/>
      <c r="J3" s="2303"/>
      <c r="K3" s="2301" t="str">
        <f>'4. T7 LAINAT '!F20</f>
        <v>Ennuste 1</v>
      </c>
      <c r="L3" s="2302"/>
      <c r="M3" s="2302"/>
      <c r="N3" s="2302"/>
      <c r="O3" s="2302"/>
      <c r="P3" s="2303"/>
      <c r="Q3" s="2301" t="str">
        <f>'4. T7 LAINAT '!I20</f>
        <v>Ennuste 2</v>
      </c>
      <c r="R3" s="2302"/>
      <c r="S3" s="2302"/>
      <c r="T3" s="2302"/>
      <c r="U3" s="2302"/>
      <c r="V3" s="2303"/>
      <c r="W3" s="2301" t="str">
        <f>'4. T7 LAINAT '!L20</f>
        <v>Ennuste 3</v>
      </c>
      <c r="X3" s="2302"/>
      <c r="Y3" s="2302"/>
      <c r="Z3" s="2302"/>
      <c r="AA3" s="2302"/>
      <c r="AB3" s="2303"/>
      <c r="AC3" s="2301" t="s">
        <v>195</v>
      </c>
      <c r="AD3" s="2302"/>
      <c r="AE3" s="2302"/>
      <c r="AF3" s="2302"/>
      <c r="AG3" s="2302"/>
      <c r="AH3" s="2303"/>
      <c r="AI3" s="2301" t="s">
        <v>262</v>
      </c>
      <c r="AJ3" s="2302"/>
      <c r="AK3" s="2302"/>
      <c r="AL3" s="2302"/>
      <c r="AM3" s="2302"/>
      <c r="AN3" s="2303"/>
    </row>
    <row r="4" spans="2:40" x14ac:dyDescent="0.2">
      <c r="F4" s="2304"/>
      <c r="G4" s="2305"/>
      <c r="H4" s="2305"/>
      <c r="I4" s="2305"/>
      <c r="J4" s="2306"/>
      <c r="K4" s="2304">
        <f>'4. T7 LAINAT '!F21</f>
        <v>2027</v>
      </c>
      <c r="L4" s="2305"/>
      <c r="M4" s="2305"/>
      <c r="N4" s="2305"/>
      <c r="O4" s="2305"/>
      <c r="P4" s="2306"/>
      <c r="Q4" s="2304">
        <f>'4. T7 LAINAT '!I21</f>
        <v>2028</v>
      </c>
      <c r="R4" s="2305"/>
      <c r="S4" s="2305"/>
      <c r="T4" s="2305"/>
      <c r="U4" s="2305"/>
      <c r="V4" s="2306"/>
      <c r="W4" s="2304">
        <f>'4. T7 LAINAT '!L21</f>
        <v>2029</v>
      </c>
      <c r="X4" s="2305"/>
      <c r="Y4" s="2305"/>
      <c r="Z4" s="2305"/>
      <c r="AA4" s="2305"/>
      <c r="AB4" s="2306"/>
      <c r="AC4" s="2304">
        <f>'4. T7 LAINAT '!O21</f>
        <v>2030</v>
      </c>
      <c r="AD4" s="2305"/>
      <c r="AE4" s="2305"/>
      <c r="AF4" s="2305"/>
      <c r="AG4" s="2305"/>
      <c r="AH4" s="2306"/>
      <c r="AI4" s="2304">
        <f>'4. T7 LAINAT '!O21+1</f>
        <v>2031</v>
      </c>
      <c r="AJ4" s="2305"/>
      <c r="AK4" s="2305"/>
      <c r="AL4" s="2305"/>
      <c r="AM4" s="2305"/>
      <c r="AN4" s="2306"/>
    </row>
    <row r="5" spans="2:40" x14ac:dyDescent="0.2">
      <c r="C5" s="2"/>
      <c r="D5" s="6" t="s">
        <v>93</v>
      </c>
      <c r="E5" s="2"/>
      <c r="F5" s="275"/>
      <c r="G5" s="276"/>
      <c r="H5" s="276"/>
      <c r="I5" s="276"/>
      <c r="J5" s="277"/>
      <c r="K5" s="275"/>
      <c r="L5" s="276" t="s">
        <v>93</v>
      </c>
      <c r="M5" s="276"/>
      <c r="N5" s="276"/>
      <c r="O5" s="276"/>
      <c r="P5" s="277"/>
      <c r="Q5" s="275"/>
      <c r="R5" s="276" t="s">
        <v>93</v>
      </c>
      <c r="S5" s="276"/>
      <c r="T5" s="276"/>
      <c r="U5" s="276"/>
      <c r="V5" s="277"/>
      <c r="W5" s="275"/>
      <c r="X5" s="276" t="s">
        <v>93</v>
      </c>
      <c r="Y5" s="276"/>
      <c r="Z5" s="276"/>
      <c r="AA5" s="276"/>
      <c r="AB5" s="277"/>
      <c r="AC5" s="275"/>
      <c r="AD5" s="276" t="s">
        <v>93</v>
      </c>
      <c r="AE5" s="276"/>
      <c r="AF5" s="276"/>
      <c r="AG5" s="276"/>
      <c r="AH5" s="277"/>
      <c r="AI5" s="275"/>
      <c r="AJ5" s="276" t="s">
        <v>93</v>
      </c>
      <c r="AK5" s="276"/>
      <c r="AL5" s="276"/>
      <c r="AM5" s="276"/>
      <c r="AN5" s="277"/>
    </row>
    <row r="6" spans="2:40" x14ac:dyDescent="0.2">
      <c r="B6" s="1" t="s">
        <v>196</v>
      </c>
      <c r="C6" s="6" t="s">
        <v>85</v>
      </c>
      <c r="D6" s="6" t="s">
        <v>92</v>
      </c>
      <c r="E6" s="6" t="s">
        <v>83</v>
      </c>
      <c r="F6" s="88" t="s">
        <v>86</v>
      </c>
      <c r="G6" s="84" t="s">
        <v>82</v>
      </c>
      <c r="H6" s="84" t="s">
        <v>94</v>
      </c>
      <c r="I6" s="84" t="s">
        <v>87</v>
      </c>
      <c r="J6" s="89" t="s">
        <v>83</v>
      </c>
      <c r="K6" s="88" t="s">
        <v>86</v>
      </c>
      <c r="L6" s="87" t="s">
        <v>256</v>
      </c>
      <c r="M6" s="84" t="s">
        <v>91</v>
      </c>
      <c r="N6" s="84" t="s">
        <v>94</v>
      </c>
      <c r="O6" s="84" t="s">
        <v>87</v>
      </c>
      <c r="P6" s="89" t="s">
        <v>83</v>
      </c>
      <c r="Q6" s="88" t="s">
        <v>86</v>
      </c>
      <c r="R6" s="87" t="s">
        <v>256</v>
      </c>
      <c r="S6" s="84" t="s">
        <v>91</v>
      </c>
      <c r="T6" s="84" t="s">
        <v>94</v>
      </c>
      <c r="U6" s="84" t="s">
        <v>87</v>
      </c>
      <c r="V6" s="89" t="s">
        <v>83</v>
      </c>
      <c r="W6" s="88" t="s">
        <v>86</v>
      </c>
      <c r="X6" s="87" t="s">
        <v>256</v>
      </c>
      <c r="Y6" s="84" t="s">
        <v>91</v>
      </c>
      <c r="Z6" s="84" t="s">
        <v>94</v>
      </c>
      <c r="AA6" s="84" t="s">
        <v>87</v>
      </c>
      <c r="AB6" s="89" t="s">
        <v>83</v>
      </c>
      <c r="AC6" s="88" t="s">
        <v>86</v>
      </c>
      <c r="AD6" s="87" t="s">
        <v>256</v>
      </c>
      <c r="AE6" s="84" t="s">
        <v>91</v>
      </c>
      <c r="AF6" s="84" t="s">
        <v>94</v>
      </c>
      <c r="AG6" s="84" t="s">
        <v>87</v>
      </c>
      <c r="AH6" s="89" t="s">
        <v>83</v>
      </c>
      <c r="AI6" s="88" t="s">
        <v>86</v>
      </c>
      <c r="AJ6" s="87" t="s">
        <v>256</v>
      </c>
      <c r="AK6" s="84" t="s">
        <v>91</v>
      </c>
      <c r="AL6" s="84" t="s">
        <v>94</v>
      </c>
      <c r="AM6" s="84" t="s">
        <v>87</v>
      </c>
      <c r="AN6" s="89" t="s">
        <v>83</v>
      </c>
    </row>
    <row r="7" spans="2:40" x14ac:dyDescent="0.2">
      <c r="B7" s="1" t="str">
        <f>'4. T7 LAINAT '!B11</f>
        <v xml:space="preserve"> </v>
      </c>
      <c r="C7" s="192">
        <f>'4. T7 LAINAT '!C11</f>
        <v>0</v>
      </c>
      <c r="D7" s="76">
        <f>'4. T7 LAINAT '!D11</f>
        <v>0</v>
      </c>
      <c r="E7" s="193">
        <f>'4. T7 LAINAT '!E11</f>
        <v>0</v>
      </c>
      <c r="F7" s="353"/>
      <c r="G7" s="354"/>
      <c r="H7" s="355"/>
      <c r="I7" s="355"/>
      <c r="J7" s="356"/>
      <c r="K7" s="194"/>
      <c r="L7" s="197"/>
      <c r="M7" s="195">
        <f>'4. T7 LAINAT '!F11</f>
        <v>0</v>
      </c>
      <c r="N7" s="195">
        <f>O7+M7/4</f>
        <v>0</v>
      </c>
      <c r="O7" s="195">
        <f>C7</f>
        <v>0</v>
      </c>
      <c r="P7" s="196">
        <f>'4. T7 LAINAT '!H11</f>
        <v>0</v>
      </c>
      <c r="Q7" s="194"/>
      <c r="R7" s="197"/>
      <c r="S7" s="195">
        <f>'4. T7 LAINAT '!I11</f>
        <v>0</v>
      </c>
      <c r="T7" s="195">
        <f>O7-S7/4</f>
        <v>0</v>
      </c>
      <c r="U7" s="195">
        <f>O7-S7</f>
        <v>0</v>
      </c>
      <c r="V7" s="196">
        <f>'4. T7 LAINAT '!K11</f>
        <v>0</v>
      </c>
      <c r="W7" s="194"/>
      <c r="X7" s="197"/>
      <c r="Y7" s="195">
        <f>'4. T7 LAINAT '!L11</f>
        <v>0</v>
      </c>
      <c r="Z7" s="195">
        <f>U7-Y7/4</f>
        <v>0</v>
      </c>
      <c r="AA7" s="195">
        <f>U7-Y7</f>
        <v>0</v>
      </c>
      <c r="AB7" s="196">
        <f>'4. T7 LAINAT '!N11</f>
        <v>0</v>
      </c>
      <c r="AC7" s="194"/>
      <c r="AD7" s="197"/>
      <c r="AE7" s="195">
        <f>'4. T7 LAINAT '!O11</f>
        <v>0</v>
      </c>
      <c r="AF7" s="195">
        <f>AA7-AE7/4</f>
        <v>0</v>
      </c>
      <c r="AG7" s="195">
        <f>AA7-AE7</f>
        <v>0</v>
      </c>
      <c r="AH7" s="196">
        <f>'4. T7 LAINAT '!Q11</f>
        <v>0</v>
      </c>
      <c r="AI7" s="194"/>
      <c r="AJ7" s="197"/>
      <c r="AK7" s="195">
        <f>IF(D7=0,0,IF(C7-S7-Y7-AE7&lt;AE7,AG7,'AT2 Lainat,sotum., alv-osto'!AE7))</f>
        <v>0</v>
      </c>
      <c r="AL7" s="195">
        <f>AG7-AK7/4</f>
        <v>0</v>
      </c>
      <c r="AM7" s="195">
        <f>AG7-AK7</f>
        <v>0</v>
      </c>
      <c r="AN7" s="196"/>
    </row>
    <row r="8" spans="2:40" x14ac:dyDescent="0.2">
      <c r="B8" s="1">
        <f>'4. T7 LAINAT '!B12</f>
        <v>0</v>
      </c>
      <c r="C8" s="192">
        <f>'4. T7 LAINAT '!C12</f>
        <v>0</v>
      </c>
      <c r="D8" s="76">
        <f>'4. T7 LAINAT '!D12</f>
        <v>0</v>
      </c>
      <c r="E8" s="193">
        <f>'4. T7 LAINAT '!E12</f>
        <v>0</v>
      </c>
      <c r="F8" s="353"/>
      <c r="G8" s="354"/>
      <c r="H8" s="355"/>
      <c r="I8" s="355"/>
      <c r="J8" s="356"/>
      <c r="K8" s="194"/>
      <c r="L8" s="197"/>
      <c r="M8" s="195">
        <f>'4. T7 LAINAT '!F12</f>
        <v>0</v>
      </c>
      <c r="N8" s="195">
        <f t="shared" ref="N8:N13" si="0">O8+M8/4</f>
        <v>0</v>
      </c>
      <c r="O8" s="195">
        <f t="shared" ref="O8:O13" si="1">C8</f>
        <v>0</v>
      </c>
      <c r="P8" s="196">
        <f>'4. T7 LAINAT '!H12</f>
        <v>0</v>
      </c>
      <c r="Q8" s="194"/>
      <c r="R8" s="197"/>
      <c r="S8" s="195">
        <f>'4. T7 LAINAT '!I12</f>
        <v>0</v>
      </c>
      <c r="T8" s="195">
        <f t="shared" ref="T8:T14" si="2">O8-S8/4</f>
        <v>0</v>
      </c>
      <c r="U8" s="195">
        <f t="shared" ref="U8:U13" si="3">O8-S8</f>
        <v>0</v>
      </c>
      <c r="V8" s="196">
        <f>'4. T7 LAINAT '!K12</f>
        <v>0</v>
      </c>
      <c r="W8" s="194"/>
      <c r="X8" s="197"/>
      <c r="Y8" s="195">
        <f>'4. T7 LAINAT '!L12</f>
        <v>0</v>
      </c>
      <c r="Z8" s="195">
        <f t="shared" ref="Z8:Z14" si="4">U8-Y8/4</f>
        <v>0</v>
      </c>
      <c r="AA8" s="195">
        <f t="shared" ref="AA8:AA13" si="5">U8-Y8</f>
        <v>0</v>
      </c>
      <c r="AB8" s="196">
        <f>'4. T7 LAINAT '!N12</f>
        <v>0</v>
      </c>
      <c r="AC8" s="194"/>
      <c r="AD8" s="197"/>
      <c r="AE8" s="195">
        <f>'4. T7 LAINAT '!O12</f>
        <v>0</v>
      </c>
      <c r="AF8" s="195">
        <f t="shared" ref="AF8:AF14" si="6">AA8-AE8/4</f>
        <v>0</v>
      </c>
      <c r="AG8" s="195">
        <f t="shared" ref="AG8:AG13" si="7">AA8-AE8</f>
        <v>0</v>
      </c>
      <c r="AH8" s="196">
        <f>'4. T7 LAINAT '!Q12</f>
        <v>0</v>
      </c>
      <c r="AI8" s="194"/>
      <c r="AJ8" s="197"/>
      <c r="AK8" s="195">
        <f>IF(D8=0,0,IF(C8-S8-Y8-AE8&lt;AE8,AG8,'AT2 Lainat,sotum., alv-osto'!AE8))</f>
        <v>0</v>
      </c>
      <c r="AL8" s="195">
        <f t="shared" ref="AL8:AL14" si="8">AG8-AK8/4</f>
        <v>0</v>
      </c>
      <c r="AM8" s="195">
        <f t="shared" ref="AM8:AM13" si="9">AG8-AK8</f>
        <v>0</v>
      </c>
      <c r="AN8" s="196"/>
    </row>
    <row r="9" spans="2:40" x14ac:dyDescent="0.2">
      <c r="B9" s="1">
        <f>'4. T7 LAINAT '!B13</f>
        <v>0</v>
      </c>
      <c r="C9" s="192">
        <f>'4. T7 LAINAT '!C13</f>
        <v>0</v>
      </c>
      <c r="D9" s="76">
        <f>'4. T7 LAINAT '!D13</f>
        <v>0</v>
      </c>
      <c r="E9" s="193">
        <f>'4. T7 LAINAT '!E13</f>
        <v>0</v>
      </c>
      <c r="F9" s="353"/>
      <c r="G9" s="354"/>
      <c r="H9" s="355"/>
      <c r="I9" s="355"/>
      <c r="J9" s="356"/>
      <c r="K9" s="194"/>
      <c r="L9" s="197"/>
      <c r="M9" s="195">
        <f>'4. T7 LAINAT '!F13</f>
        <v>0</v>
      </c>
      <c r="N9" s="195">
        <f t="shared" si="0"/>
        <v>0</v>
      </c>
      <c r="O9" s="195">
        <f t="shared" si="1"/>
        <v>0</v>
      </c>
      <c r="P9" s="196">
        <f>'4. T7 LAINAT '!H13</f>
        <v>0</v>
      </c>
      <c r="Q9" s="194"/>
      <c r="R9" s="197"/>
      <c r="S9" s="195">
        <f>'4. T7 LAINAT '!I13</f>
        <v>0</v>
      </c>
      <c r="T9" s="195">
        <f t="shared" si="2"/>
        <v>0</v>
      </c>
      <c r="U9" s="195">
        <f t="shared" si="3"/>
        <v>0</v>
      </c>
      <c r="V9" s="196">
        <f>'4. T7 LAINAT '!K13</f>
        <v>0</v>
      </c>
      <c r="W9" s="194"/>
      <c r="X9" s="197"/>
      <c r="Y9" s="195">
        <f>'4. T7 LAINAT '!L13</f>
        <v>0</v>
      </c>
      <c r="Z9" s="195">
        <f t="shared" si="4"/>
        <v>0</v>
      </c>
      <c r="AA9" s="195">
        <f t="shared" si="5"/>
        <v>0</v>
      </c>
      <c r="AB9" s="196">
        <f>'4. T7 LAINAT '!N13</f>
        <v>0</v>
      </c>
      <c r="AC9" s="194"/>
      <c r="AD9" s="197"/>
      <c r="AE9" s="195">
        <f>'4. T7 LAINAT '!O13</f>
        <v>0</v>
      </c>
      <c r="AF9" s="195">
        <f t="shared" si="6"/>
        <v>0</v>
      </c>
      <c r="AG9" s="195">
        <f t="shared" si="7"/>
        <v>0</v>
      </c>
      <c r="AH9" s="196">
        <f>'4. T7 LAINAT '!Q13</f>
        <v>0</v>
      </c>
      <c r="AI9" s="194"/>
      <c r="AJ9" s="197"/>
      <c r="AK9" s="195">
        <f>IF(D9=0,0,IF(C9-S9-Y9-AE9&lt;AE9,AG9,'AT2 Lainat,sotum., alv-osto'!AE9))</f>
        <v>0</v>
      </c>
      <c r="AL9" s="195">
        <f t="shared" si="8"/>
        <v>0</v>
      </c>
      <c r="AM9" s="195">
        <f t="shared" si="9"/>
        <v>0</v>
      </c>
      <c r="AN9" s="196"/>
    </row>
    <row r="10" spans="2:40" x14ac:dyDescent="0.2">
      <c r="B10" s="1">
        <f>'4. T7 LAINAT '!B14</f>
        <v>0</v>
      </c>
      <c r="C10" s="192">
        <f>'4. T7 LAINAT '!C14</f>
        <v>0</v>
      </c>
      <c r="D10" s="76">
        <f>'4. T7 LAINAT '!D14</f>
        <v>0</v>
      </c>
      <c r="E10" s="193">
        <f>'4. T7 LAINAT '!E14</f>
        <v>0</v>
      </c>
      <c r="F10" s="353"/>
      <c r="G10" s="354"/>
      <c r="H10" s="355"/>
      <c r="I10" s="355"/>
      <c r="J10" s="356"/>
      <c r="K10" s="194"/>
      <c r="L10" s="197"/>
      <c r="M10" s="195">
        <f>'4. T7 LAINAT '!F14</f>
        <v>0</v>
      </c>
      <c r="N10" s="195">
        <f t="shared" si="0"/>
        <v>0</v>
      </c>
      <c r="O10" s="195">
        <f t="shared" si="1"/>
        <v>0</v>
      </c>
      <c r="P10" s="196">
        <f>'4. T7 LAINAT '!H14</f>
        <v>0</v>
      </c>
      <c r="Q10" s="194"/>
      <c r="R10" s="197"/>
      <c r="S10" s="195">
        <f>'4. T7 LAINAT '!I14</f>
        <v>0</v>
      </c>
      <c r="T10" s="195">
        <f t="shared" si="2"/>
        <v>0</v>
      </c>
      <c r="U10" s="195">
        <f t="shared" si="3"/>
        <v>0</v>
      </c>
      <c r="V10" s="196">
        <f>'4. T7 LAINAT '!K14</f>
        <v>0</v>
      </c>
      <c r="W10" s="194"/>
      <c r="X10" s="197"/>
      <c r="Y10" s="195">
        <f>'4. T7 LAINAT '!L14</f>
        <v>0</v>
      </c>
      <c r="Z10" s="195">
        <f t="shared" si="4"/>
        <v>0</v>
      </c>
      <c r="AA10" s="195">
        <f t="shared" si="5"/>
        <v>0</v>
      </c>
      <c r="AB10" s="196">
        <f>'4. T7 LAINAT '!N14</f>
        <v>0</v>
      </c>
      <c r="AC10" s="194"/>
      <c r="AD10" s="197"/>
      <c r="AE10" s="195">
        <f>'4. T7 LAINAT '!O14</f>
        <v>0</v>
      </c>
      <c r="AF10" s="195">
        <f t="shared" si="6"/>
        <v>0</v>
      </c>
      <c r="AG10" s="195">
        <f t="shared" si="7"/>
        <v>0</v>
      </c>
      <c r="AH10" s="196">
        <f>'4. T7 LAINAT '!Q14</f>
        <v>0</v>
      </c>
      <c r="AI10" s="194"/>
      <c r="AJ10" s="197"/>
      <c r="AK10" s="195">
        <f>IF(D10=0,0,IF(C10-S10-Y10-AE10&lt;AE10,AG10,'AT2 Lainat,sotum., alv-osto'!AE10))</f>
        <v>0</v>
      </c>
      <c r="AL10" s="195">
        <f t="shared" si="8"/>
        <v>0</v>
      </c>
      <c r="AM10" s="195">
        <f t="shared" si="9"/>
        <v>0</v>
      </c>
      <c r="AN10" s="196"/>
    </row>
    <row r="11" spans="2:40" x14ac:dyDescent="0.2">
      <c r="B11" s="1">
        <f>'4. T7 LAINAT '!B15</f>
        <v>0</v>
      </c>
      <c r="C11" s="192">
        <f>'4. T7 LAINAT '!C15</f>
        <v>0</v>
      </c>
      <c r="D11" s="76">
        <f>'4. T7 LAINAT '!D15</f>
        <v>0</v>
      </c>
      <c r="E11" s="193">
        <f>'4. T7 LAINAT '!E15</f>
        <v>0</v>
      </c>
      <c r="F11" s="353"/>
      <c r="G11" s="354"/>
      <c r="H11" s="355"/>
      <c r="I11" s="355"/>
      <c r="J11" s="356"/>
      <c r="K11" s="194"/>
      <c r="L11" s="197"/>
      <c r="M11" s="195">
        <f>'4. T7 LAINAT '!F15</f>
        <v>0</v>
      </c>
      <c r="N11" s="195">
        <f t="shared" si="0"/>
        <v>0</v>
      </c>
      <c r="O11" s="195">
        <f t="shared" si="1"/>
        <v>0</v>
      </c>
      <c r="P11" s="196">
        <f>'4. T7 LAINAT '!H15</f>
        <v>0</v>
      </c>
      <c r="Q11" s="194"/>
      <c r="R11" s="197"/>
      <c r="S11" s="195">
        <f>'4. T7 LAINAT '!I15</f>
        <v>0</v>
      </c>
      <c r="T11" s="195">
        <f t="shared" si="2"/>
        <v>0</v>
      </c>
      <c r="U11" s="195">
        <f t="shared" si="3"/>
        <v>0</v>
      </c>
      <c r="V11" s="196">
        <f>'4. T7 LAINAT '!K15</f>
        <v>0</v>
      </c>
      <c r="W11" s="194"/>
      <c r="X11" s="197"/>
      <c r="Y11" s="195">
        <f>'4. T7 LAINAT '!L15</f>
        <v>0</v>
      </c>
      <c r="Z11" s="195">
        <f t="shared" si="4"/>
        <v>0</v>
      </c>
      <c r="AA11" s="195">
        <f t="shared" si="5"/>
        <v>0</v>
      </c>
      <c r="AB11" s="196">
        <f>'4. T7 LAINAT '!N15</f>
        <v>0</v>
      </c>
      <c r="AC11" s="194"/>
      <c r="AD11" s="197"/>
      <c r="AE11" s="195">
        <f>'4. T7 LAINAT '!O15</f>
        <v>0</v>
      </c>
      <c r="AF11" s="195">
        <f t="shared" si="6"/>
        <v>0</v>
      </c>
      <c r="AG11" s="195">
        <f t="shared" si="7"/>
        <v>0</v>
      </c>
      <c r="AH11" s="196">
        <f>'4. T7 LAINAT '!Q15</f>
        <v>0</v>
      </c>
      <c r="AI11" s="194"/>
      <c r="AJ11" s="197"/>
      <c r="AK11" s="195">
        <f>IF(D11=0,0,IF(C11-S11-Y11-AE11&lt;AE11,AG11,'AT2 Lainat,sotum., alv-osto'!AE11))</f>
        <v>0</v>
      </c>
      <c r="AL11" s="195">
        <f t="shared" si="8"/>
        <v>0</v>
      </c>
      <c r="AM11" s="195">
        <f t="shared" si="9"/>
        <v>0</v>
      </c>
      <c r="AN11" s="196"/>
    </row>
    <row r="12" spans="2:40" x14ac:dyDescent="0.2">
      <c r="B12" s="1">
        <f>'4. T7 LAINAT '!B16</f>
        <v>0</v>
      </c>
      <c r="C12" s="192">
        <f>'4. T7 LAINAT '!C16</f>
        <v>0</v>
      </c>
      <c r="D12" s="76">
        <f>'4. T7 LAINAT '!D16</f>
        <v>0</v>
      </c>
      <c r="E12" s="193">
        <f>'4. T7 LAINAT '!E16</f>
        <v>0</v>
      </c>
      <c r="F12" s="353"/>
      <c r="G12" s="354"/>
      <c r="H12" s="355"/>
      <c r="I12" s="355"/>
      <c r="J12" s="356"/>
      <c r="K12" s="194"/>
      <c r="L12" s="197"/>
      <c r="M12" s="195">
        <f>'4. T7 LAINAT '!F16</f>
        <v>0</v>
      </c>
      <c r="N12" s="195">
        <f t="shared" si="0"/>
        <v>0</v>
      </c>
      <c r="O12" s="195">
        <f t="shared" si="1"/>
        <v>0</v>
      </c>
      <c r="P12" s="196">
        <f>'4. T7 LAINAT '!H16</f>
        <v>0</v>
      </c>
      <c r="Q12" s="194"/>
      <c r="R12" s="197"/>
      <c r="S12" s="195">
        <f>'4. T7 LAINAT '!I16</f>
        <v>0</v>
      </c>
      <c r="T12" s="195">
        <f t="shared" si="2"/>
        <v>0</v>
      </c>
      <c r="U12" s="195">
        <f t="shared" si="3"/>
        <v>0</v>
      </c>
      <c r="V12" s="196">
        <f>'4. T7 LAINAT '!K16</f>
        <v>0</v>
      </c>
      <c r="W12" s="194"/>
      <c r="X12" s="197"/>
      <c r="Y12" s="195">
        <f>'4. T7 LAINAT '!L16</f>
        <v>0</v>
      </c>
      <c r="Z12" s="195">
        <f t="shared" si="4"/>
        <v>0</v>
      </c>
      <c r="AA12" s="195">
        <f t="shared" si="5"/>
        <v>0</v>
      </c>
      <c r="AB12" s="196">
        <f>'4. T7 LAINAT '!N16</f>
        <v>0</v>
      </c>
      <c r="AC12" s="194"/>
      <c r="AD12" s="197"/>
      <c r="AE12" s="195">
        <f>'4. T7 LAINAT '!O16</f>
        <v>0</v>
      </c>
      <c r="AF12" s="195">
        <f t="shared" si="6"/>
        <v>0</v>
      </c>
      <c r="AG12" s="195">
        <f t="shared" si="7"/>
        <v>0</v>
      </c>
      <c r="AH12" s="196">
        <f>'4. T7 LAINAT '!Q16</f>
        <v>0</v>
      </c>
      <c r="AI12" s="194"/>
      <c r="AJ12" s="197"/>
      <c r="AK12" s="195">
        <f>IF(D12=0,0,IF(C12-S12-Y12-AE12&lt;AE12,AG12,'AT2 Lainat,sotum., alv-osto'!AE12))</f>
        <v>0</v>
      </c>
      <c r="AL12" s="195">
        <f t="shared" si="8"/>
        <v>0</v>
      </c>
      <c r="AM12" s="195">
        <f t="shared" si="9"/>
        <v>0</v>
      </c>
      <c r="AN12" s="196"/>
    </row>
    <row r="13" spans="2:40" x14ac:dyDescent="0.2">
      <c r="B13" s="1" t="str">
        <f>'4. T7 LAINAT '!B17</f>
        <v xml:space="preserve"> Luotollinen tili</v>
      </c>
      <c r="C13" s="192">
        <f>'4. T7 LAINAT '!C17</f>
        <v>0</v>
      </c>
      <c r="D13" s="76">
        <f>'4. T7 LAINAT '!D17</f>
        <v>0</v>
      </c>
      <c r="E13" s="193">
        <f>'4. T7 LAINAT '!E17</f>
        <v>0</v>
      </c>
      <c r="F13" s="353"/>
      <c r="G13" s="354"/>
      <c r="H13" s="355"/>
      <c r="I13" s="355"/>
      <c r="J13" s="356"/>
      <c r="K13" s="194"/>
      <c r="L13" s="197"/>
      <c r="M13" s="195">
        <f>'4. T7 LAINAT '!F17</f>
        <v>0</v>
      </c>
      <c r="N13" s="195">
        <f t="shared" si="0"/>
        <v>0</v>
      </c>
      <c r="O13" s="195">
        <f t="shared" si="1"/>
        <v>0</v>
      </c>
      <c r="P13" s="196">
        <f>'4. T7 LAINAT '!H17</f>
        <v>0</v>
      </c>
      <c r="Q13" s="194"/>
      <c r="R13" s="197"/>
      <c r="S13" s="195">
        <f>'4. T7 LAINAT '!I17</f>
        <v>0</v>
      </c>
      <c r="T13" s="195">
        <f t="shared" si="2"/>
        <v>0</v>
      </c>
      <c r="U13" s="195">
        <f t="shared" si="3"/>
        <v>0</v>
      </c>
      <c r="V13" s="196">
        <f>'4. T7 LAINAT '!K17</f>
        <v>0</v>
      </c>
      <c r="W13" s="194"/>
      <c r="X13" s="197"/>
      <c r="Y13" s="195">
        <f>'4. T7 LAINAT '!L17</f>
        <v>0</v>
      </c>
      <c r="Z13" s="195">
        <f t="shared" si="4"/>
        <v>0</v>
      </c>
      <c r="AA13" s="195">
        <f t="shared" si="5"/>
        <v>0</v>
      </c>
      <c r="AB13" s="196">
        <f>'4. T7 LAINAT '!N17</f>
        <v>0</v>
      </c>
      <c r="AC13" s="194"/>
      <c r="AD13" s="197"/>
      <c r="AE13" s="195">
        <f>'4. T7 LAINAT '!O17</f>
        <v>0</v>
      </c>
      <c r="AF13" s="195">
        <f t="shared" si="6"/>
        <v>0</v>
      </c>
      <c r="AG13" s="195">
        <f t="shared" si="7"/>
        <v>0</v>
      </c>
      <c r="AH13" s="196">
        <f>'4. T7 LAINAT '!Q17</f>
        <v>0</v>
      </c>
      <c r="AI13" s="194"/>
      <c r="AJ13" s="197"/>
      <c r="AK13" s="195">
        <f>IF(D13=0,0,IF(C13-S13-Y13-AE13&lt;AE13,AG13,'AT2 Lainat,sotum., alv-osto'!AE13))</f>
        <v>0</v>
      </c>
      <c r="AL13" s="195">
        <f t="shared" si="8"/>
        <v>0</v>
      </c>
      <c r="AM13" s="195">
        <f t="shared" si="9"/>
        <v>0</v>
      </c>
      <c r="AN13" s="196"/>
    </row>
    <row r="14" spans="2:40" s="2" customFormat="1" x14ac:dyDescent="0.2">
      <c r="B14" s="2" t="s">
        <v>226</v>
      </c>
      <c r="C14" s="271">
        <f>SUM(C7:C13)</f>
        <v>0</v>
      </c>
      <c r="D14" s="479"/>
      <c r="E14" s="272"/>
      <c r="F14" s="194"/>
      <c r="G14" s="278">
        <f>SUM(G7:G13)</f>
        <v>0</v>
      </c>
      <c r="H14" s="279"/>
      <c r="I14" s="278">
        <f>SUM(I7:I13)</f>
        <v>0</v>
      </c>
      <c r="J14" s="196"/>
      <c r="K14" s="194"/>
      <c r="L14" s="197"/>
      <c r="M14" s="271">
        <f>SUM(M7:M13)</f>
        <v>0</v>
      </c>
      <c r="N14" s="271">
        <f>SUM(N7:N13)</f>
        <v>0</v>
      </c>
      <c r="O14" s="271">
        <f>SUM(O7:O13)</f>
        <v>0</v>
      </c>
      <c r="P14" s="271">
        <f>SUM(P7:P13)</f>
        <v>0</v>
      </c>
      <c r="Q14" s="271">
        <f>SUM(Q7:Q13)</f>
        <v>0</v>
      </c>
      <c r="R14" s="197"/>
      <c r="S14" s="271">
        <f>SUM(S7:S13)</f>
        <v>0</v>
      </c>
      <c r="T14" s="195">
        <f t="shared" si="2"/>
        <v>0</v>
      </c>
      <c r="U14" s="271">
        <f>SUM(U7:U13)</f>
        <v>0</v>
      </c>
      <c r="V14" s="271">
        <f>SUM(V7:V13)</f>
        <v>0</v>
      </c>
      <c r="W14" s="271">
        <f>SUM(W7:W13)</f>
        <v>0</v>
      </c>
      <c r="X14" s="197"/>
      <c r="Y14" s="271">
        <f t="shared" ref="Y14:AN14" si="10">SUM(Y7:Y13)</f>
        <v>0</v>
      </c>
      <c r="Z14" s="195">
        <f t="shared" si="4"/>
        <v>0</v>
      </c>
      <c r="AA14" s="271">
        <f t="shared" si="10"/>
        <v>0</v>
      </c>
      <c r="AB14" s="271">
        <f t="shared" si="10"/>
        <v>0</v>
      </c>
      <c r="AC14" s="271">
        <f t="shared" si="10"/>
        <v>0</v>
      </c>
      <c r="AD14" s="271">
        <f t="shared" si="10"/>
        <v>0</v>
      </c>
      <c r="AE14" s="271">
        <f t="shared" si="10"/>
        <v>0</v>
      </c>
      <c r="AF14" s="195">
        <f t="shared" si="6"/>
        <v>0</v>
      </c>
      <c r="AG14" s="271">
        <f t="shared" si="10"/>
        <v>0</v>
      </c>
      <c r="AH14" s="271">
        <f t="shared" si="10"/>
        <v>0</v>
      </c>
      <c r="AI14" s="271">
        <f t="shared" si="10"/>
        <v>0</v>
      </c>
      <c r="AJ14" s="271">
        <f t="shared" si="10"/>
        <v>0</v>
      </c>
      <c r="AK14" s="271">
        <f t="shared" si="10"/>
        <v>0</v>
      </c>
      <c r="AL14" s="195">
        <f t="shared" si="8"/>
        <v>0</v>
      </c>
      <c r="AM14" s="271">
        <f t="shared" si="10"/>
        <v>0</v>
      </c>
      <c r="AN14" s="271">
        <f t="shared" si="10"/>
        <v>0</v>
      </c>
    </row>
    <row r="15" spans="2:40" x14ac:dyDescent="0.2">
      <c r="B15" s="1" t="s">
        <v>84</v>
      </c>
      <c r="C15" s="35"/>
      <c r="D15" s="76"/>
      <c r="E15" s="35"/>
      <c r="F15" s="88"/>
      <c r="G15" s="84"/>
      <c r="H15" s="84"/>
      <c r="I15" s="84"/>
      <c r="J15" s="89"/>
      <c r="K15" s="88"/>
      <c r="L15" s="87"/>
      <c r="M15" s="84"/>
      <c r="N15" s="84"/>
      <c r="O15" s="84"/>
      <c r="P15" s="89"/>
      <c r="Q15" s="88"/>
      <c r="R15" s="87"/>
      <c r="S15" s="84"/>
      <c r="T15" s="84"/>
      <c r="U15" s="84"/>
      <c r="V15" s="89"/>
      <c r="W15" s="88"/>
      <c r="X15" s="87"/>
      <c r="Y15" s="84"/>
      <c r="Z15" s="84"/>
      <c r="AA15" s="84"/>
      <c r="AB15" s="89"/>
      <c r="AC15" s="88"/>
      <c r="AD15" s="87"/>
      <c r="AE15" s="195" t="s">
        <v>0</v>
      </c>
      <c r="AF15" s="84"/>
      <c r="AG15" s="84"/>
      <c r="AH15" s="89"/>
      <c r="AI15" s="88"/>
      <c r="AJ15" s="87"/>
      <c r="AK15" s="195" t="s">
        <v>0</v>
      </c>
      <c r="AL15" s="84"/>
      <c r="AM15" s="84"/>
      <c r="AN15" s="89"/>
    </row>
    <row r="16" spans="2:40" x14ac:dyDescent="0.2">
      <c r="B16" s="78" t="str">
        <f>'4. T7 LAINAT '!B24</f>
        <v xml:space="preserve"> Rahoittaja/rahoitettava kohde</v>
      </c>
      <c r="C16" s="85">
        <f>'4. T7 LAINAT '!C24</f>
        <v>0</v>
      </c>
      <c r="D16" s="480">
        <f>'4. T7 LAINAT '!D24</f>
        <v>0</v>
      </c>
      <c r="E16" s="86">
        <f>'4. T7 LAINAT '!E24</f>
        <v>0</v>
      </c>
      <c r="F16" s="635"/>
      <c r="G16" s="636"/>
      <c r="H16" s="636"/>
      <c r="I16" s="636"/>
      <c r="J16" s="637"/>
      <c r="K16" s="203">
        <f>'4. T7 LAINAT '!F24</f>
        <v>0</v>
      </c>
      <c r="L16" s="204">
        <f>IF(I16&gt;0,IF(D16-1&gt;0,D16-1,D16),D16)</f>
        <v>0</v>
      </c>
      <c r="M16" s="188">
        <f>'4. T7 LAINAT '!G24</f>
        <v>0</v>
      </c>
      <c r="N16" s="188">
        <f>F16-G16+K16-M16/4</f>
        <v>0</v>
      </c>
      <c r="O16" s="188">
        <f>K16-M16</f>
        <v>0</v>
      </c>
      <c r="P16" s="161">
        <f>IF($E16*N16&lt;0,0,N16*$E16)</f>
        <v>0</v>
      </c>
      <c r="Q16" s="162">
        <f>'4. T7 LAINAT '!I24</f>
        <v>0</v>
      </c>
      <c r="R16" s="204">
        <f t="shared" ref="R16:R21" si="11">IF(F16=0,IF(K16=0,L16,$D16-1),$D16-2)</f>
        <v>0</v>
      </c>
      <c r="S16" s="188">
        <f>'4. T7 LAINAT '!J24</f>
        <v>0</v>
      </c>
      <c r="T16" s="188">
        <f t="shared" ref="T16:T21" si="12">O16+Q16-S16/4</f>
        <v>0</v>
      </c>
      <c r="U16" s="188">
        <f t="shared" ref="U16:U21" si="13">O16+Q16-S16</f>
        <v>0</v>
      </c>
      <c r="V16" s="161">
        <f t="shared" ref="V16:V21" si="14">IF($E16*T16&lt;0,0,T16*$E16)</f>
        <v>0</v>
      </c>
      <c r="W16" s="162">
        <f>'4. T7 LAINAT '!L24</f>
        <v>0</v>
      </c>
      <c r="X16" s="204">
        <f>IF(R16-1&gt;0,R16-1,0)</f>
        <v>0</v>
      </c>
      <c r="Y16" s="188">
        <f>'4. T7 LAINAT '!M24</f>
        <v>0</v>
      </c>
      <c r="Z16" s="188">
        <f>(U16+W16-Y16/4)</f>
        <v>0</v>
      </c>
      <c r="AA16" s="188">
        <f>U16+W16-Y16</f>
        <v>0</v>
      </c>
      <c r="AB16" s="161">
        <f>IF($E16*Z16&lt;0,0,Z16*$E16)</f>
        <v>0</v>
      </c>
      <c r="AC16" s="162">
        <f>'4. T7 LAINAT '!O24</f>
        <v>0</v>
      </c>
      <c r="AD16" s="204">
        <f>IF(X16-1&gt;0,X16-1,0)</f>
        <v>0</v>
      </c>
      <c r="AE16" s="195">
        <f>'4. T7 LAINAT '!P24</f>
        <v>0</v>
      </c>
      <c r="AF16" s="188">
        <f>(AA16+AC16-AE16/4)</f>
        <v>0</v>
      </c>
      <c r="AG16" s="188">
        <f>AA16+AC16-AE16</f>
        <v>0</v>
      </c>
      <c r="AH16" s="161">
        <f>IF($E16*AF16&lt;0,0,AF16*$E16)</f>
        <v>0</v>
      </c>
      <c r="AI16" s="162">
        <v>0</v>
      </c>
      <c r="AJ16" s="204">
        <f>IF(AD16-1&gt;0,AD16-1,0)</f>
        <v>0</v>
      </c>
      <c r="AK16" s="195">
        <f>IF(D16=0,0,IF(C16-S16-Y16-AE16-M16&lt;=0,0,IF(AG16&lt;AE16,AG16,'AT2 Lainat,sotum., alv-osto'!AE16)))</f>
        <v>0</v>
      </c>
      <c r="AL16" s="188">
        <f>(AG16+AI16-AK16/4)</f>
        <v>0</v>
      </c>
      <c r="AM16" s="188">
        <f>AG16+AI16-AK16</f>
        <v>0</v>
      </c>
      <c r="AN16" s="161">
        <f>IF($E16*AL16&lt;0,0,AL16*$E16)</f>
        <v>0</v>
      </c>
    </row>
    <row r="17" spans="2:40" x14ac:dyDescent="0.2">
      <c r="B17" s="78">
        <f>'4. T7 LAINAT '!B25</f>
        <v>0</v>
      </c>
      <c r="C17" s="85">
        <f>'4. T7 LAINAT '!C25</f>
        <v>0</v>
      </c>
      <c r="D17" s="480">
        <f>'4. T7 LAINAT '!D25</f>
        <v>0</v>
      </c>
      <c r="E17" s="86">
        <f>'4. T7 LAINAT '!E25</f>
        <v>0</v>
      </c>
      <c r="F17" s="635"/>
      <c r="G17" s="636"/>
      <c r="H17" s="636"/>
      <c r="I17" s="636"/>
      <c r="J17" s="637"/>
      <c r="K17" s="203">
        <f>'4. T7 LAINAT '!F25</f>
        <v>0</v>
      </c>
      <c r="L17" s="204">
        <f>IF(I17&gt;0,IF(D17-1&gt;0,D17-1,D17),D17)</f>
        <v>0</v>
      </c>
      <c r="M17" s="188">
        <f>'4. T7 LAINAT '!G25</f>
        <v>0</v>
      </c>
      <c r="N17" s="188">
        <f>F17-G17+K17-M17/4</f>
        <v>0</v>
      </c>
      <c r="O17" s="188">
        <f>K17-M17</f>
        <v>0</v>
      </c>
      <c r="P17" s="161">
        <f>IF($E17*N17&lt;0,0,N17*$E17)</f>
        <v>0</v>
      </c>
      <c r="Q17" s="162">
        <f>'4. T7 LAINAT '!I25</f>
        <v>0</v>
      </c>
      <c r="R17" s="204">
        <f t="shared" si="11"/>
        <v>0</v>
      </c>
      <c r="S17" s="188">
        <f>'4. T7 LAINAT '!J25</f>
        <v>0</v>
      </c>
      <c r="T17" s="188">
        <f t="shared" si="12"/>
        <v>0</v>
      </c>
      <c r="U17" s="188">
        <f t="shared" si="13"/>
        <v>0</v>
      </c>
      <c r="V17" s="161">
        <f t="shared" si="14"/>
        <v>0</v>
      </c>
      <c r="W17" s="162">
        <f>'4. T7 LAINAT '!L25</f>
        <v>0</v>
      </c>
      <c r="X17" s="204">
        <f>IF(R17-1&gt;0,R17-1,0)</f>
        <v>0</v>
      </c>
      <c r="Y17" s="188">
        <f>'4. T7 LAINAT '!M25</f>
        <v>0</v>
      </c>
      <c r="Z17" s="188">
        <f t="shared" ref="Z17:Z27" si="15">(U17+W17-Y17/4)</f>
        <v>0</v>
      </c>
      <c r="AA17" s="188">
        <f>U17+W17-Y17</f>
        <v>0</v>
      </c>
      <c r="AB17" s="161">
        <f>IF($E17*Z17&lt;0,0,Z17*$E17)</f>
        <v>0</v>
      </c>
      <c r="AC17" s="162">
        <f>'4. T7 LAINAT '!O25</f>
        <v>0</v>
      </c>
      <c r="AD17" s="204">
        <f>IF(X17-1&gt;0,X17-1,0)</f>
        <v>0</v>
      </c>
      <c r="AE17" s="195">
        <f>'4. T7 LAINAT '!P25</f>
        <v>0</v>
      </c>
      <c r="AF17" s="188">
        <f t="shared" ref="AF17:AF27" si="16">(AA17+AC17-AE17/4)</f>
        <v>0</v>
      </c>
      <c r="AG17" s="188">
        <f>AA17+AC17-AE17</f>
        <v>0</v>
      </c>
      <c r="AH17" s="161">
        <f>IF($E17*AF17&lt;0,0,AF17*$E17)</f>
        <v>0</v>
      </c>
      <c r="AI17" s="162">
        <v>0</v>
      </c>
      <c r="AJ17" s="204">
        <f>IF(AD17-1&gt;0,AD17-1,0)</f>
        <v>0</v>
      </c>
      <c r="AK17" s="195">
        <f>IF(D17=0,0,IF(C17-S17-Y17-AE17-M17&lt;=0,0,IF(AG17&lt;AE17,AG17,'AT2 Lainat,sotum., alv-osto'!AE17)))</f>
        <v>0</v>
      </c>
      <c r="AL17" s="188">
        <f t="shared" ref="AL17:AL27" si="17">(AG17+AI17-AK17/4)</f>
        <v>0</v>
      </c>
      <c r="AM17" s="188">
        <f>AG17+AI17-AK17</f>
        <v>0</v>
      </c>
      <c r="AN17" s="161">
        <f>IF($E17*AL17&lt;0,0,AL17*$E17)</f>
        <v>0</v>
      </c>
    </row>
    <row r="18" spans="2:40" x14ac:dyDescent="0.2">
      <c r="B18" s="78">
        <f>'4. T7 LAINAT '!B26</f>
        <v>0</v>
      </c>
      <c r="C18" s="85">
        <f>'4. T7 LAINAT '!C26</f>
        <v>0</v>
      </c>
      <c r="D18" s="480">
        <f>'4. T7 LAINAT '!D26</f>
        <v>0</v>
      </c>
      <c r="E18" s="86">
        <f>'4. T7 LAINAT '!E26</f>
        <v>0</v>
      </c>
      <c r="F18" s="635"/>
      <c r="G18" s="636"/>
      <c r="H18" s="636"/>
      <c r="I18" s="636"/>
      <c r="J18" s="637"/>
      <c r="K18" s="203">
        <f>'4. T7 LAINAT '!F26</f>
        <v>0</v>
      </c>
      <c r="L18" s="204">
        <f>IF(I18&gt;0,IF(D18-1&gt;0,D18-1,D18),D18)</f>
        <v>0</v>
      </c>
      <c r="M18" s="188">
        <f>'4. T7 LAINAT '!G26</f>
        <v>0</v>
      </c>
      <c r="N18" s="188">
        <f>F18-G18+K18-M18/4</f>
        <v>0</v>
      </c>
      <c r="O18" s="188">
        <f>K18-M18</f>
        <v>0</v>
      </c>
      <c r="P18" s="161">
        <f>IF($E18*N18&lt;0,0,N18*$E18)</f>
        <v>0</v>
      </c>
      <c r="Q18" s="162">
        <f>'4. T7 LAINAT '!I26</f>
        <v>0</v>
      </c>
      <c r="R18" s="204">
        <f t="shared" si="11"/>
        <v>0</v>
      </c>
      <c r="S18" s="188">
        <f>'4. T7 LAINAT '!J26</f>
        <v>0</v>
      </c>
      <c r="T18" s="188">
        <f t="shared" si="12"/>
        <v>0</v>
      </c>
      <c r="U18" s="188">
        <f t="shared" si="13"/>
        <v>0</v>
      </c>
      <c r="V18" s="161">
        <f t="shared" si="14"/>
        <v>0</v>
      </c>
      <c r="W18" s="162">
        <f>'4. T7 LAINAT '!L26</f>
        <v>0</v>
      </c>
      <c r="X18" s="204">
        <f t="shared" ref="X18:X24" si="18">IF(R18-1&gt;0,R18-1,0)</f>
        <v>0</v>
      </c>
      <c r="Y18" s="188">
        <f>'4. T7 LAINAT '!M26</f>
        <v>0</v>
      </c>
      <c r="Z18" s="188">
        <f t="shared" si="15"/>
        <v>0</v>
      </c>
      <c r="AA18" s="188">
        <f t="shared" ref="AA18:AA24" si="19">U18+W18-Y18</f>
        <v>0</v>
      </c>
      <c r="AB18" s="161">
        <f t="shared" ref="AB18:AB24" si="20">IF($E18*Z18&lt;0,0,Z18*$E18)</f>
        <v>0</v>
      </c>
      <c r="AC18" s="162">
        <f>'4. T7 LAINAT '!O26</f>
        <v>0</v>
      </c>
      <c r="AD18" s="204">
        <f t="shared" ref="AD18:AD27" si="21">IF(X18-1&gt;0,X18-1,0)</f>
        <v>0</v>
      </c>
      <c r="AE18" s="195">
        <f>'4. T7 LAINAT '!P26</f>
        <v>0</v>
      </c>
      <c r="AF18" s="188">
        <f t="shared" si="16"/>
        <v>0</v>
      </c>
      <c r="AG18" s="188">
        <f t="shared" ref="AG18:AG27" si="22">AA18+AC18-AE18</f>
        <v>0</v>
      </c>
      <c r="AH18" s="161">
        <f t="shared" ref="AH18:AH27" si="23">IF($E18*AF18&lt;0,0,AF18*$E18)</f>
        <v>0</v>
      </c>
      <c r="AI18" s="162">
        <v>0</v>
      </c>
      <c r="AJ18" s="204">
        <f t="shared" ref="AJ18:AJ27" si="24">IF(AD18-1&gt;0,AD18-1,0)</f>
        <v>0</v>
      </c>
      <c r="AK18" s="195">
        <f>IF(D18=0,0,IF(C18-S18-Y18-AE18-M18&lt;=0,0,IF(AG18&lt;AE18,AG18,'AT2 Lainat,sotum., alv-osto'!AE18)))</f>
        <v>0</v>
      </c>
      <c r="AL18" s="188">
        <f t="shared" si="17"/>
        <v>0</v>
      </c>
      <c r="AM18" s="188">
        <f t="shared" ref="AM18:AM27" si="25">AG18+AI18-AK18</f>
        <v>0</v>
      </c>
      <c r="AN18" s="161">
        <f t="shared" ref="AN18:AN27" si="26">IF($E18*AL18&lt;0,0,AL18*$E18)</f>
        <v>0</v>
      </c>
    </row>
    <row r="19" spans="2:40" x14ac:dyDescent="0.2">
      <c r="B19" s="78" t="str">
        <f>'4. T7 LAINAT '!B28</f>
        <v xml:space="preserve"> Rahoittaja/rahoitettava kohde</v>
      </c>
      <c r="C19" s="85">
        <f>'4. T7 LAINAT '!C28</f>
        <v>0</v>
      </c>
      <c r="D19" s="480">
        <f>'4. T7 LAINAT '!D28</f>
        <v>0</v>
      </c>
      <c r="E19" s="86">
        <f>'4. T7 LAINAT '!E28</f>
        <v>0</v>
      </c>
      <c r="F19" s="635"/>
      <c r="G19" s="636"/>
      <c r="H19" s="636"/>
      <c r="I19" s="636"/>
      <c r="J19" s="637"/>
      <c r="K19" s="203"/>
      <c r="L19" s="204"/>
      <c r="M19" s="188"/>
      <c r="N19" s="188"/>
      <c r="O19" s="188"/>
      <c r="P19" s="161"/>
      <c r="Q19" s="162">
        <f>'4. T7 LAINAT '!I28</f>
        <v>0</v>
      </c>
      <c r="R19" s="204">
        <f t="shared" si="11"/>
        <v>0</v>
      </c>
      <c r="S19" s="188">
        <f>'4. T7 LAINAT '!J28</f>
        <v>0</v>
      </c>
      <c r="T19" s="188">
        <f t="shared" si="12"/>
        <v>0</v>
      </c>
      <c r="U19" s="188">
        <f t="shared" si="13"/>
        <v>0</v>
      </c>
      <c r="V19" s="161">
        <f t="shared" si="14"/>
        <v>0</v>
      </c>
      <c r="W19" s="162">
        <f>'4. T7 LAINAT '!L28</f>
        <v>0</v>
      </c>
      <c r="X19" s="204">
        <f t="shared" si="18"/>
        <v>0</v>
      </c>
      <c r="Y19" s="188">
        <f>'4. T7 LAINAT '!M28</f>
        <v>0</v>
      </c>
      <c r="Z19" s="188">
        <f t="shared" si="15"/>
        <v>0</v>
      </c>
      <c r="AA19" s="188">
        <f t="shared" si="19"/>
        <v>0</v>
      </c>
      <c r="AB19" s="161">
        <f t="shared" si="20"/>
        <v>0</v>
      </c>
      <c r="AC19" s="162">
        <f>'4. T7 LAINAT '!O28</f>
        <v>0</v>
      </c>
      <c r="AD19" s="204">
        <f t="shared" si="21"/>
        <v>0</v>
      </c>
      <c r="AE19" s="195">
        <f>'4. T7 LAINAT '!P28</f>
        <v>0</v>
      </c>
      <c r="AF19" s="188">
        <f t="shared" si="16"/>
        <v>0</v>
      </c>
      <c r="AG19" s="188">
        <f t="shared" si="22"/>
        <v>0</v>
      </c>
      <c r="AH19" s="161">
        <f t="shared" si="23"/>
        <v>0</v>
      </c>
      <c r="AI19" s="162">
        <v>0</v>
      </c>
      <c r="AJ19" s="204">
        <f t="shared" si="24"/>
        <v>0</v>
      </c>
      <c r="AK19" s="195">
        <f>IF(D19=0,0,IF(C19-S19-Y19-AE19-M19&lt;=0,0,IF(AG19&lt;AE19,AG19,'AT2 Lainat,sotum., alv-osto'!AE19)))</f>
        <v>0</v>
      </c>
      <c r="AL19" s="188">
        <f t="shared" si="17"/>
        <v>0</v>
      </c>
      <c r="AM19" s="188">
        <f t="shared" si="25"/>
        <v>0</v>
      </c>
      <c r="AN19" s="161">
        <f t="shared" si="26"/>
        <v>0</v>
      </c>
    </row>
    <row r="20" spans="2:40" x14ac:dyDescent="0.2">
      <c r="B20" s="78">
        <f>'4. T7 LAINAT '!B29</f>
        <v>0</v>
      </c>
      <c r="C20" s="85">
        <f>'4. T7 LAINAT '!C29</f>
        <v>0</v>
      </c>
      <c r="D20" s="480">
        <f>'4. T7 LAINAT '!D29</f>
        <v>0</v>
      </c>
      <c r="E20" s="86">
        <f>'4. T7 LAINAT '!E29</f>
        <v>0</v>
      </c>
      <c r="F20" s="635"/>
      <c r="G20" s="636"/>
      <c r="H20" s="636"/>
      <c r="I20" s="636"/>
      <c r="J20" s="637"/>
      <c r="K20" s="203"/>
      <c r="L20" s="204"/>
      <c r="M20" s="188"/>
      <c r="N20" s="188"/>
      <c r="O20" s="188"/>
      <c r="P20" s="161"/>
      <c r="Q20" s="162">
        <f>'4. T7 LAINAT '!I29</f>
        <v>0</v>
      </c>
      <c r="R20" s="204">
        <f t="shared" si="11"/>
        <v>0</v>
      </c>
      <c r="S20" s="188">
        <f>'4. T7 LAINAT '!J29</f>
        <v>0</v>
      </c>
      <c r="T20" s="188">
        <f t="shared" si="12"/>
        <v>0</v>
      </c>
      <c r="U20" s="188">
        <f t="shared" si="13"/>
        <v>0</v>
      </c>
      <c r="V20" s="161">
        <f t="shared" si="14"/>
        <v>0</v>
      </c>
      <c r="W20" s="162">
        <f>'4. T7 LAINAT '!L29</f>
        <v>0</v>
      </c>
      <c r="X20" s="204">
        <f>IF(R20-1&gt;0,R20-1,0)</f>
        <v>0</v>
      </c>
      <c r="Y20" s="188">
        <f>'4. T7 LAINAT '!M29</f>
        <v>0</v>
      </c>
      <c r="Z20" s="188">
        <f t="shared" si="15"/>
        <v>0</v>
      </c>
      <c r="AA20" s="188">
        <f>U20+W20-Y20</f>
        <v>0</v>
      </c>
      <c r="AB20" s="161">
        <f>IF($E20*Z20&lt;0,0,Z20*$E20)</f>
        <v>0</v>
      </c>
      <c r="AC20" s="162">
        <f>'4. T7 LAINAT '!O29</f>
        <v>0</v>
      </c>
      <c r="AD20" s="204">
        <f>IF(X20-1&gt;0,X20-1,0)</f>
        <v>0</v>
      </c>
      <c r="AE20" s="195">
        <f>'4. T7 LAINAT '!P29</f>
        <v>0</v>
      </c>
      <c r="AF20" s="188">
        <f t="shared" si="16"/>
        <v>0</v>
      </c>
      <c r="AG20" s="188">
        <f>AA20+AC20-AE20</f>
        <v>0</v>
      </c>
      <c r="AH20" s="161">
        <f>IF($E20*AF20&lt;0,0,AF20*$E20)</f>
        <v>0</v>
      </c>
      <c r="AI20" s="162">
        <v>0</v>
      </c>
      <c r="AJ20" s="204">
        <f>IF(AD20-1&gt;0,AD20-1,0)</f>
        <v>0</v>
      </c>
      <c r="AK20" s="195">
        <f>IF(D20=0,0,IF(C20-S20-Y20-AE20-M20&lt;=0,0,IF(AG20&lt;AE20,AG20,'AT2 Lainat,sotum., alv-osto'!AE20)))</f>
        <v>0</v>
      </c>
      <c r="AL20" s="188">
        <f t="shared" si="17"/>
        <v>0</v>
      </c>
      <c r="AM20" s="188">
        <f>AG20+AI20-AK20</f>
        <v>0</v>
      </c>
      <c r="AN20" s="161">
        <f>IF($E20*AL20&lt;0,0,AL20*$E20)</f>
        <v>0</v>
      </c>
    </row>
    <row r="21" spans="2:40" x14ac:dyDescent="0.2">
      <c r="B21" s="78">
        <f>'4. T7 LAINAT '!B30</f>
        <v>0</v>
      </c>
      <c r="C21" s="85">
        <f>'4. T7 LAINAT '!C30</f>
        <v>0</v>
      </c>
      <c r="D21" s="480">
        <f>'4. T7 LAINAT '!D30</f>
        <v>0</v>
      </c>
      <c r="E21" s="86">
        <f>'4. T7 LAINAT '!E30</f>
        <v>0</v>
      </c>
      <c r="F21" s="635"/>
      <c r="G21" s="636"/>
      <c r="H21" s="636"/>
      <c r="I21" s="636"/>
      <c r="J21" s="637"/>
      <c r="K21" s="203"/>
      <c r="L21" s="204"/>
      <c r="M21" s="188"/>
      <c r="N21" s="188"/>
      <c r="O21" s="188"/>
      <c r="P21" s="161"/>
      <c r="Q21" s="162">
        <f>'4. T7 LAINAT '!I30</f>
        <v>0</v>
      </c>
      <c r="R21" s="204">
        <f t="shared" si="11"/>
        <v>0</v>
      </c>
      <c r="S21" s="188">
        <f>'4. T7 LAINAT '!J30</f>
        <v>0</v>
      </c>
      <c r="T21" s="188">
        <f t="shared" si="12"/>
        <v>0</v>
      </c>
      <c r="U21" s="188">
        <f t="shared" si="13"/>
        <v>0</v>
      </c>
      <c r="V21" s="161">
        <f t="shared" si="14"/>
        <v>0</v>
      </c>
      <c r="W21" s="162">
        <f>'4. T7 LAINAT '!L30</f>
        <v>0</v>
      </c>
      <c r="X21" s="204">
        <f t="shared" si="18"/>
        <v>0</v>
      </c>
      <c r="Y21" s="188">
        <f>'4. T7 LAINAT '!M30</f>
        <v>0</v>
      </c>
      <c r="Z21" s="188">
        <f t="shared" si="15"/>
        <v>0</v>
      </c>
      <c r="AA21" s="188">
        <f t="shared" si="19"/>
        <v>0</v>
      </c>
      <c r="AB21" s="161">
        <f t="shared" si="20"/>
        <v>0</v>
      </c>
      <c r="AC21" s="162">
        <f>'4. T7 LAINAT '!O30</f>
        <v>0</v>
      </c>
      <c r="AD21" s="204">
        <f t="shared" si="21"/>
        <v>0</v>
      </c>
      <c r="AE21" s="195">
        <f>'4. T7 LAINAT '!P30</f>
        <v>0</v>
      </c>
      <c r="AF21" s="188">
        <f t="shared" si="16"/>
        <v>0</v>
      </c>
      <c r="AG21" s="188">
        <f t="shared" si="22"/>
        <v>0</v>
      </c>
      <c r="AH21" s="161">
        <f t="shared" si="23"/>
        <v>0</v>
      </c>
      <c r="AI21" s="162">
        <v>0</v>
      </c>
      <c r="AJ21" s="204">
        <f t="shared" si="24"/>
        <v>0</v>
      </c>
      <c r="AK21" s="195">
        <f>IF(D21=0,0,IF(C21-S21-Y21-AE21-M21&lt;=0,0,IF(AG21&lt;AE21,AG21,'AT2 Lainat,sotum., alv-osto'!AE21)))</f>
        <v>0</v>
      </c>
      <c r="AL21" s="188">
        <f t="shared" si="17"/>
        <v>0</v>
      </c>
      <c r="AM21" s="188">
        <f t="shared" si="25"/>
        <v>0</v>
      </c>
      <c r="AN21" s="161">
        <f t="shared" si="26"/>
        <v>0</v>
      </c>
    </row>
    <row r="22" spans="2:40" x14ac:dyDescent="0.2">
      <c r="B22" s="78" t="str">
        <f>'4. T7 LAINAT '!B32</f>
        <v xml:space="preserve"> Rahoittaja/rahoitettava kohde</v>
      </c>
      <c r="C22" s="85">
        <f>'4. T7 LAINAT '!C32</f>
        <v>0</v>
      </c>
      <c r="D22" s="480">
        <f>'4. T7 LAINAT '!D32</f>
        <v>0</v>
      </c>
      <c r="E22" s="86">
        <f>'4. T7 LAINAT '!E32</f>
        <v>0</v>
      </c>
      <c r="F22" s="635"/>
      <c r="G22" s="636"/>
      <c r="H22" s="636"/>
      <c r="I22" s="636"/>
      <c r="J22" s="637"/>
      <c r="K22" s="203"/>
      <c r="L22" s="204"/>
      <c r="M22" s="188"/>
      <c r="N22" s="188"/>
      <c r="O22" s="188"/>
      <c r="P22" s="161"/>
      <c r="Q22" s="162">
        <f>'4. T7 LAINAT '!I32</f>
        <v>0</v>
      </c>
      <c r="R22" s="204">
        <f>IF(F22=0,IF(K22=0,L22,$D22-1),$D22-2)</f>
        <v>0</v>
      </c>
      <c r="S22" s="188">
        <f>'4. T7 LAINAT '!J32</f>
        <v>0</v>
      </c>
      <c r="T22" s="188">
        <f>O22+Q22-S22/2</f>
        <v>0</v>
      </c>
      <c r="U22" s="188">
        <f>O22+Q22-S22</f>
        <v>0</v>
      </c>
      <c r="V22" s="161">
        <f>IF($E22*T22&lt;0,0,T22*$E22)</f>
        <v>0</v>
      </c>
      <c r="W22" s="162">
        <f>'4. T7 LAINAT '!L32</f>
        <v>0</v>
      </c>
      <c r="X22" s="204">
        <f t="shared" si="18"/>
        <v>0</v>
      </c>
      <c r="Y22" s="188">
        <f>'4. T7 LAINAT '!M32</f>
        <v>0</v>
      </c>
      <c r="Z22" s="188">
        <f t="shared" si="15"/>
        <v>0</v>
      </c>
      <c r="AA22" s="188">
        <f t="shared" si="19"/>
        <v>0</v>
      </c>
      <c r="AB22" s="161">
        <f t="shared" si="20"/>
        <v>0</v>
      </c>
      <c r="AC22" s="162">
        <f>'4. T7 LAINAT '!O32</f>
        <v>0</v>
      </c>
      <c r="AD22" s="204">
        <f t="shared" si="21"/>
        <v>0</v>
      </c>
      <c r="AE22" s="195">
        <f>'4. T7 LAINAT '!P32</f>
        <v>0</v>
      </c>
      <c r="AF22" s="188">
        <f t="shared" si="16"/>
        <v>0</v>
      </c>
      <c r="AG22" s="188">
        <f t="shared" si="22"/>
        <v>0</v>
      </c>
      <c r="AH22" s="161">
        <f t="shared" si="23"/>
        <v>0</v>
      </c>
      <c r="AI22" s="162">
        <v>0</v>
      </c>
      <c r="AJ22" s="204">
        <f t="shared" si="24"/>
        <v>0</v>
      </c>
      <c r="AK22" s="195">
        <f>IF(D22=0,0,IF(C22-S22-Y22-AE22-M22&lt;=0,0,IF(AG22&lt;AE22,AG22,'AT2 Lainat,sotum., alv-osto'!AE22)))</f>
        <v>0</v>
      </c>
      <c r="AL22" s="188">
        <f t="shared" si="17"/>
        <v>0</v>
      </c>
      <c r="AM22" s="188">
        <f t="shared" si="25"/>
        <v>0</v>
      </c>
      <c r="AN22" s="161">
        <f t="shared" si="26"/>
        <v>0</v>
      </c>
    </row>
    <row r="23" spans="2:40" x14ac:dyDescent="0.2">
      <c r="B23" s="78">
        <f>'4. T7 LAINAT '!B33</f>
        <v>0</v>
      </c>
      <c r="C23" s="85">
        <f>'4. T7 LAINAT '!C33</f>
        <v>0</v>
      </c>
      <c r="D23" s="480">
        <f>'4. T7 LAINAT '!D33</f>
        <v>0</v>
      </c>
      <c r="E23" s="86">
        <f>'4. T7 LAINAT '!E33</f>
        <v>0</v>
      </c>
      <c r="F23" s="635"/>
      <c r="G23" s="636"/>
      <c r="H23" s="636"/>
      <c r="I23" s="636"/>
      <c r="J23" s="637"/>
      <c r="K23" s="203"/>
      <c r="L23" s="204"/>
      <c r="M23" s="188"/>
      <c r="N23" s="188"/>
      <c r="O23" s="188"/>
      <c r="P23" s="161"/>
      <c r="Q23" s="162">
        <f>'4. T7 LAINAT '!I33</f>
        <v>0</v>
      </c>
      <c r="R23" s="204">
        <f>IF(F23=0,IF(K23=0,L23,$D23-1),$D23-2)</f>
        <v>0</v>
      </c>
      <c r="S23" s="188">
        <f>'4. T7 LAINAT '!J33</f>
        <v>0</v>
      </c>
      <c r="T23" s="188">
        <f>O23+Q23-S23/2</f>
        <v>0</v>
      </c>
      <c r="U23" s="188">
        <f>O23+Q23-S23</f>
        <v>0</v>
      </c>
      <c r="V23" s="161">
        <f>IF($E23*T23&lt;0,0,T23*$E23)</f>
        <v>0</v>
      </c>
      <c r="W23" s="162">
        <f>'4. T7 LAINAT '!L33</f>
        <v>0</v>
      </c>
      <c r="X23" s="204">
        <f>IF(R23-1&gt;0,R23-1,0)</f>
        <v>0</v>
      </c>
      <c r="Y23" s="188">
        <f>'4. T7 LAINAT '!M33</f>
        <v>0</v>
      </c>
      <c r="Z23" s="188">
        <f t="shared" si="15"/>
        <v>0</v>
      </c>
      <c r="AA23" s="188">
        <f>U23+W23-Y23</f>
        <v>0</v>
      </c>
      <c r="AB23" s="161">
        <f>IF($E23*Z23&lt;0,0,Z23*$E23)</f>
        <v>0</v>
      </c>
      <c r="AC23" s="162">
        <f>'4. T7 LAINAT '!O33</f>
        <v>0</v>
      </c>
      <c r="AD23" s="204">
        <f>IF(X23-1&gt;0,X23-1,0)</f>
        <v>0</v>
      </c>
      <c r="AE23" s="195">
        <f>'4. T7 LAINAT '!P33</f>
        <v>0</v>
      </c>
      <c r="AF23" s="188">
        <f t="shared" si="16"/>
        <v>0</v>
      </c>
      <c r="AG23" s="188">
        <f>AA23+AC23-AE23</f>
        <v>0</v>
      </c>
      <c r="AH23" s="161">
        <f>IF($E23*AF23&lt;0,0,AF23*$E23)</f>
        <v>0</v>
      </c>
      <c r="AI23" s="162">
        <v>0</v>
      </c>
      <c r="AJ23" s="204">
        <f>IF(AD23-1&gt;0,AD23-1,0)</f>
        <v>0</v>
      </c>
      <c r="AK23" s="195">
        <f>IF(D23=0,0,IF(C23-S23-Y23-AE23-M23&lt;=0,0,IF(AG23&lt;AE23,AG23,'AT2 Lainat,sotum., alv-osto'!AE23)))</f>
        <v>0</v>
      </c>
      <c r="AL23" s="188">
        <f t="shared" si="17"/>
        <v>0</v>
      </c>
      <c r="AM23" s="188">
        <f>AG23+AI23-AK23</f>
        <v>0</v>
      </c>
      <c r="AN23" s="161">
        <f>IF($E23*AL23&lt;0,0,AL23*$E23)</f>
        <v>0</v>
      </c>
    </row>
    <row r="24" spans="2:40" x14ac:dyDescent="0.2">
      <c r="B24" s="78">
        <f>'4. T7 LAINAT '!B34</f>
        <v>0</v>
      </c>
      <c r="C24" s="85">
        <f>'4. T7 LAINAT '!C34</f>
        <v>0</v>
      </c>
      <c r="D24" s="480">
        <f>'4. T7 LAINAT '!D34</f>
        <v>0</v>
      </c>
      <c r="E24" s="86">
        <f>'4. T7 LAINAT '!E34</f>
        <v>0</v>
      </c>
      <c r="F24" s="635"/>
      <c r="G24" s="636"/>
      <c r="H24" s="636"/>
      <c r="I24" s="636"/>
      <c r="J24" s="637"/>
      <c r="K24" s="203">
        <f>'4. T7 LAINAT '!F34</f>
        <v>0</v>
      </c>
      <c r="L24" s="204">
        <f>IF(I24&gt;0,IF(D24-1&gt;0,D24-1,D24),D24)</f>
        <v>0</v>
      </c>
      <c r="M24" s="188">
        <f>'4. T7 LAINAT '!G34</f>
        <v>0</v>
      </c>
      <c r="N24" s="188">
        <f>F24-G24+K24-M24/2</f>
        <v>0</v>
      </c>
      <c r="O24" s="188">
        <f>K24-M24</f>
        <v>0</v>
      </c>
      <c r="P24" s="161">
        <f>IF($E24*N24&lt;0,0,N24*$E24)</f>
        <v>0</v>
      </c>
      <c r="Q24" s="162">
        <f>'4. T7 LAINAT '!I34</f>
        <v>0</v>
      </c>
      <c r="R24" s="204">
        <f>IF(F24=0,IF(K24=0,L24,$D24-1),$D24-2)</f>
        <v>0</v>
      </c>
      <c r="S24" s="188">
        <f>'4. T7 LAINAT '!J34</f>
        <v>0</v>
      </c>
      <c r="T24" s="188">
        <f>O24+Q24-S24/2</f>
        <v>0</v>
      </c>
      <c r="U24" s="188">
        <f>O24+Q24-S24</f>
        <v>0</v>
      </c>
      <c r="V24" s="161">
        <f>IF($E24*T24&lt;0,0,T24*$E24)</f>
        <v>0</v>
      </c>
      <c r="W24" s="162">
        <f>'4. T7 LAINAT '!L34</f>
        <v>0</v>
      </c>
      <c r="X24" s="204">
        <f t="shared" si="18"/>
        <v>0</v>
      </c>
      <c r="Y24" s="188">
        <f>'4. T7 LAINAT '!M34</f>
        <v>0</v>
      </c>
      <c r="Z24" s="188">
        <f t="shared" si="15"/>
        <v>0</v>
      </c>
      <c r="AA24" s="188">
        <f t="shared" si="19"/>
        <v>0</v>
      </c>
      <c r="AB24" s="161">
        <f t="shared" si="20"/>
        <v>0</v>
      </c>
      <c r="AC24" s="162">
        <f>'4. T7 LAINAT '!O34</f>
        <v>0</v>
      </c>
      <c r="AD24" s="204">
        <f t="shared" si="21"/>
        <v>0</v>
      </c>
      <c r="AE24" s="195">
        <f>'4. T7 LAINAT '!P34</f>
        <v>0</v>
      </c>
      <c r="AF24" s="188">
        <f t="shared" si="16"/>
        <v>0</v>
      </c>
      <c r="AG24" s="188">
        <f t="shared" si="22"/>
        <v>0</v>
      </c>
      <c r="AH24" s="161">
        <f t="shared" si="23"/>
        <v>0</v>
      </c>
      <c r="AI24" s="162">
        <v>0</v>
      </c>
      <c r="AJ24" s="204">
        <f t="shared" si="24"/>
        <v>0</v>
      </c>
      <c r="AK24" s="195">
        <f>IF(D24=0,0,IF(C24-S24-Y24-AE24-M24&lt;=0,0,IF(AG24&lt;AE24,AG24,'AT2 Lainat,sotum., alv-osto'!AE24)))</f>
        <v>0</v>
      </c>
      <c r="AL24" s="188">
        <f t="shared" si="17"/>
        <v>0</v>
      </c>
      <c r="AM24" s="188">
        <f t="shared" si="25"/>
        <v>0</v>
      </c>
      <c r="AN24" s="161">
        <f t="shared" si="26"/>
        <v>0</v>
      </c>
    </row>
    <row r="25" spans="2:40" x14ac:dyDescent="0.2">
      <c r="B25" s="78" t="str">
        <f>'4. T7 LAINAT '!B36</f>
        <v xml:space="preserve"> Rahoittaja/rahoitettava kohde</v>
      </c>
      <c r="C25" s="85">
        <f>'4. T7 LAINAT '!C36</f>
        <v>0</v>
      </c>
      <c r="D25" s="480">
        <f>'4. T7 LAINAT '!D36</f>
        <v>0</v>
      </c>
      <c r="E25" s="86">
        <f>'4. T7 LAINAT '!E36</f>
        <v>0</v>
      </c>
      <c r="F25" s="635"/>
      <c r="G25" s="636"/>
      <c r="H25" s="636"/>
      <c r="I25" s="636"/>
      <c r="J25" s="637"/>
      <c r="K25" s="203">
        <f>'4. T7 LAINAT '!F36</f>
        <v>0</v>
      </c>
      <c r="L25" s="204">
        <f>IF(I25&gt;0,IF(D25-1&gt;0,D25-1,D25),D25)</f>
        <v>0</v>
      </c>
      <c r="M25" s="188">
        <f>'4. T7 LAINAT '!G36</f>
        <v>0</v>
      </c>
      <c r="N25" s="188">
        <f>F25-G25+K25-M25/2</f>
        <v>0</v>
      </c>
      <c r="O25" s="188">
        <f>K25-M25</f>
        <v>0</v>
      </c>
      <c r="P25" s="161">
        <f>IF($E25*N25&lt;0,0,N25*$E25)</f>
        <v>0</v>
      </c>
      <c r="Q25" s="162">
        <f>'4. T7 LAINAT '!I36</f>
        <v>0</v>
      </c>
      <c r="R25" s="204">
        <f>IF(F25=0,IF(K25=0,L25,$D25-1),$D25-2)</f>
        <v>0</v>
      </c>
      <c r="S25" s="188">
        <f>'4. T7 LAINAT '!J36</f>
        <v>0</v>
      </c>
      <c r="T25" s="188">
        <f>O25+Q25-S25/2</f>
        <v>0</v>
      </c>
      <c r="U25" s="188">
        <f>O25+Q25-S25</f>
        <v>0</v>
      </c>
      <c r="V25" s="161">
        <f>IF($E25*T25&lt;0,0,T25*$E25)</f>
        <v>0</v>
      </c>
      <c r="W25" s="162">
        <f>'4. T7 LAINAT '!L36</f>
        <v>0</v>
      </c>
      <c r="X25" s="204">
        <f>IF(R25-1&gt;0,R25-1,0)</f>
        <v>0</v>
      </c>
      <c r="Y25" s="188">
        <f>'4. T7 LAINAT '!M36</f>
        <v>0</v>
      </c>
      <c r="Z25" s="188">
        <f t="shared" si="15"/>
        <v>0</v>
      </c>
      <c r="AA25" s="188">
        <f>U25+W25-Y25</f>
        <v>0</v>
      </c>
      <c r="AB25" s="161">
        <f>IF($E25*Z25&lt;0,0,Z25*$E25)</f>
        <v>0</v>
      </c>
      <c r="AC25" s="162">
        <f>'4. T7 LAINAT '!O36</f>
        <v>0</v>
      </c>
      <c r="AD25" s="204">
        <f>IF(X25-1&gt;0,X25-1,0)</f>
        <v>0</v>
      </c>
      <c r="AE25" s="195">
        <f>'4. T7 LAINAT '!P36</f>
        <v>0</v>
      </c>
      <c r="AF25" s="188">
        <f t="shared" si="16"/>
        <v>0</v>
      </c>
      <c r="AG25" s="188">
        <f>AA25+AC25-AE25</f>
        <v>0</v>
      </c>
      <c r="AH25" s="161">
        <f>IF($E25*AF25&lt;0,0,AF25*$E25)</f>
        <v>0</v>
      </c>
      <c r="AI25" s="162">
        <v>0</v>
      </c>
      <c r="AJ25" s="204">
        <f>IF(AD25-1&gt;0,AD25-1,0)</f>
        <v>0</v>
      </c>
      <c r="AK25" s="195">
        <f>IF(D25=0,0,IF(C25-S25-Y25-AE25-M25&lt;=0,0,IF(AG25&lt;AE25,AG25,'AT2 Lainat,sotum., alv-osto'!AE25)))</f>
        <v>0</v>
      </c>
      <c r="AL25" s="188">
        <f t="shared" si="17"/>
        <v>0</v>
      </c>
      <c r="AM25" s="188">
        <f>AG25+AI25-AK25</f>
        <v>0</v>
      </c>
      <c r="AN25" s="161">
        <f>IF($E25*AL25&lt;0,0,AL25*$E25)</f>
        <v>0</v>
      </c>
    </row>
    <row r="26" spans="2:40" x14ac:dyDescent="0.2">
      <c r="B26" s="78">
        <f>'4. T7 LAINAT '!B37</f>
        <v>0</v>
      </c>
      <c r="C26" s="85">
        <f>'4. T7 LAINAT '!C37</f>
        <v>0</v>
      </c>
      <c r="D26" s="480">
        <f>'4. T7 LAINAT '!D37</f>
        <v>0</v>
      </c>
      <c r="E26" s="86">
        <f>'4. T7 LAINAT '!E37</f>
        <v>0</v>
      </c>
      <c r="F26" s="635"/>
      <c r="G26" s="636"/>
      <c r="H26" s="636"/>
      <c r="I26" s="636"/>
      <c r="J26" s="637"/>
      <c r="K26" s="203">
        <f>'4. T7 LAINAT '!F37</f>
        <v>0</v>
      </c>
      <c r="L26" s="204">
        <f>IF(I26&gt;0,IF(D26-1&gt;0,D26-1,D26),D26)</f>
        <v>0</v>
      </c>
      <c r="M26" s="188">
        <f>'4. T7 LAINAT '!G37</f>
        <v>0</v>
      </c>
      <c r="N26" s="188">
        <f>F26-G26+K26-M26/2</f>
        <v>0</v>
      </c>
      <c r="O26" s="188">
        <f>K26-M26</f>
        <v>0</v>
      </c>
      <c r="P26" s="161">
        <f>IF($E26*N26&lt;0,0,N26*$E26)</f>
        <v>0</v>
      </c>
      <c r="Q26" s="162">
        <f>'4. T7 LAINAT '!I37</f>
        <v>0</v>
      </c>
      <c r="R26" s="204">
        <f>IF(F26=0,IF(K26=0,L26,$D26-1),$D26-2)</f>
        <v>0</v>
      </c>
      <c r="S26" s="188">
        <f>'4. T7 LAINAT '!J37</f>
        <v>0</v>
      </c>
      <c r="T26" s="188">
        <f>O26+Q26-S26/2</f>
        <v>0</v>
      </c>
      <c r="U26" s="188">
        <f>O26+Q26-S26</f>
        <v>0</v>
      </c>
      <c r="V26" s="161">
        <f>IF($E26*T26&lt;0,0,T26*$E26)</f>
        <v>0</v>
      </c>
      <c r="W26" s="162">
        <f>'4. T7 LAINAT '!L37</f>
        <v>0</v>
      </c>
      <c r="X26" s="204">
        <f>IF(R26-1&gt;0,R26-1,0)</f>
        <v>0</v>
      </c>
      <c r="Y26" s="188">
        <f>'4. T7 LAINAT '!M37</f>
        <v>0</v>
      </c>
      <c r="Z26" s="188">
        <f t="shared" si="15"/>
        <v>0</v>
      </c>
      <c r="AA26" s="188">
        <f>U26+W26-Y26</f>
        <v>0</v>
      </c>
      <c r="AB26" s="161">
        <f>IF($E26*Z26&lt;0,0,Z26*$E26)</f>
        <v>0</v>
      </c>
      <c r="AC26" s="162">
        <f>'4. T7 LAINAT '!O37</f>
        <v>0</v>
      </c>
      <c r="AD26" s="204">
        <f>IF(X26-1&gt;0,X26-1,0)</f>
        <v>0</v>
      </c>
      <c r="AE26" s="195">
        <f>'4. T7 LAINAT '!P37</f>
        <v>0</v>
      </c>
      <c r="AF26" s="188">
        <f t="shared" si="16"/>
        <v>0</v>
      </c>
      <c r="AG26" s="188">
        <f>AA26+AC26-AE26</f>
        <v>0</v>
      </c>
      <c r="AH26" s="161">
        <f>IF($E26*AF26&lt;0,0,AF26*$E26)</f>
        <v>0</v>
      </c>
      <c r="AI26" s="162">
        <v>0</v>
      </c>
      <c r="AJ26" s="204">
        <f>IF(AD26-1&gt;0,AD26-1,0)</f>
        <v>0</v>
      </c>
      <c r="AK26" s="195">
        <f>IF(D26=0,0,IF(C26-S26-Y26-AE26-M26&lt;=0,0,IF(AG26&lt;AE26,AG26,'AT2 Lainat,sotum., alv-osto'!AE26)))</f>
        <v>0</v>
      </c>
      <c r="AL26" s="188">
        <f t="shared" si="17"/>
        <v>0</v>
      </c>
      <c r="AM26" s="188">
        <f>AG26+AI26-AK26</f>
        <v>0</v>
      </c>
      <c r="AN26" s="161">
        <f>IF($E26*AL26&lt;0,0,AL26*$E26)</f>
        <v>0</v>
      </c>
    </row>
    <row r="27" spans="2:40" x14ac:dyDescent="0.2">
      <c r="B27" s="78">
        <f>'4. T7 LAINAT '!B38</f>
        <v>0</v>
      </c>
      <c r="C27" s="85">
        <f>'4. T7 LAINAT '!C38</f>
        <v>0</v>
      </c>
      <c r="D27" s="480">
        <f>'4. T7 LAINAT '!D38</f>
        <v>0</v>
      </c>
      <c r="E27" s="86">
        <f>'4. T7 LAINAT '!E38</f>
        <v>0</v>
      </c>
      <c r="F27" s="635"/>
      <c r="G27" s="636"/>
      <c r="H27" s="636"/>
      <c r="I27" s="636"/>
      <c r="J27" s="637"/>
      <c r="K27" s="203">
        <f>'4. T7 LAINAT '!F38</f>
        <v>0</v>
      </c>
      <c r="L27" s="204">
        <f>IF(I27&gt;0,IF(D27-1&gt;0,D27-1,D27),D27)</f>
        <v>0</v>
      </c>
      <c r="M27" s="188"/>
      <c r="N27" s="188"/>
      <c r="O27" s="188"/>
      <c r="P27" s="161"/>
      <c r="Q27" s="162"/>
      <c r="R27" s="204"/>
      <c r="S27" s="188"/>
      <c r="T27" s="188"/>
      <c r="U27" s="188"/>
      <c r="V27" s="161"/>
      <c r="W27" s="162"/>
      <c r="X27" s="204"/>
      <c r="Y27" s="188"/>
      <c r="Z27" s="188">
        <f t="shared" si="15"/>
        <v>0</v>
      </c>
      <c r="AA27" s="188"/>
      <c r="AB27" s="161"/>
      <c r="AC27" s="162">
        <f>'4. T7 LAINAT '!O38</f>
        <v>0</v>
      </c>
      <c r="AD27" s="204">
        <f t="shared" si="21"/>
        <v>0</v>
      </c>
      <c r="AE27" s="493">
        <f>'4. T7 LAINAT '!P38</f>
        <v>0</v>
      </c>
      <c r="AF27" s="188">
        <f t="shared" si="16"/>
        <v>0</v>
      </c>
      <c r="AG27" s="188">
        <f t="shared" si="22"/>
        <v>0</v>
      </c>
      <c r="AH27" s="161">
        <f t="shared" si="23"/>
        <v>0</v>
      </c>
      <c r="AI27" s="162">
        <v>0</v>
      </c>
      <c r="AJ27" s="204">
        <f t="shared" si="24"/>
        <v>0</v>
      </c>
      <c r="AK27" s="493">
        <f>IF(D27=0,0,IF(C27-S27-Y27-AE27-M27&lt;=0,0,IF(AG27&lt;AE27,AG27,'AT2 Lainat,sotum., alv-osto'!AE27)))</f>
        <v>0</v>
      </c>
      <c r="AL27" s="188">
        <f t="shared" si="17"/>
        <v>0</v>
      </c>
      <c r="AM27" s="188">
        <f t="shared" si="25"/>
        <v>0</v>
      </c>
      <c r="AN27" s="161">
        <f t="shared" si="26"/>
        <v>0</v>
      </c>
    </row>
    <row r="28" spans="2:40" s="2" customFormat="1" x14ac:dyDescent="0.2">
      <c r="B28" s="2" t="s">
        <v>89</v>
      </c>
      <c r="C28" s="273">
        <f>SUM(C16:C27)</f>
        <v>0</v>
      </c>
      <c r="D28" s="274"/>
      <c r="F28" s="163"/>
      <c r="G28" s="163">
        <f>SUM(G7:G27)</f>
        <v>0</v>
      </c>
      <c r="H28" s="163"/>
      <c r="I28" s="163"/>
      <c r="J28" s="163"/>
      <c r="K28" s="273">
        <f>SUM(K16:K27)</f>
        <v>0</v>
      </c>
      <c r="L28" s="163" t="s">
        <v>0</v>
      </c>
      <c r="M28" s="273">
        <f>SUM(M16:M27)</f>
        <v>0</v>
      </c>
      <c r="N28" s="273">
        <f>SUM(N16:N27)</f>
        <v>0</v>
      </c>
      <c r="O28" s="273">
        <f>SUM(O16:O27)</f>
        <v>0</v>
      </c>
      <c r="P28" s="273">
        <f>SUM(P16:P27)</f>
        <v>0</v>
      </c>
      <c r="Q28" s="273">
        <f>SUM(Q16:Q27)</f>
        <v>0</v>
      </c>
      <c r="R28" s="163" t="s">
        <v>0</v>
      </c>
      <c r="S28" s="273">
        <f>SUM(S16:S27)</f>
        <v>0</v>
      </c>
      <c r="T28" s="273">
        <f>SUM(T16:T27)</f>
        <v>0</v>
      </c>
      <c r="U28" s="273">
        <f>SUM(U16:U27)</f>
        <v>0</v>
      </c>
      <c r="V28" s="273">
        <f>SUM(V16:V27)</f>
        <v>0</v>
      </c>
      <c r="W28" s="273">
        <f>SUM(W16:W27)</f>
        <v>0</v>
      </c>
      <c r="X28" s="163"/>
      <c r="Y28" s="273">
        <f t="shared" ref="Y28:AI28" si="27">SUM(Y16:Y27)</f>
        <v>0</v>
      </c>
      <c r="Z28" s="273">
        <f t="shared" si="27"/>
        <v>0</v>
      </c>
      <c r="AA28" s="273">
        <f t="shared" si="27"/>
        <v>0</v>
      </c>
      <c r="AB28" s="273">
        <f t="shared" si="27"/>
        <v>0</v>
      </c>
      <c r="AC28" s="273">
        <f t="shared" si="27"/>
        <v>0</v>
      </c>
      <c r="AD28" s="273">
        <f t="shared" si="27"/>
        <v>0</v>
      </c>
      <c r="AE28" s="273">
        <f t="shared" si="27"/>
        <v>0</v>
      </c>
      <c r="AF28" s="273">
        <f t="shared" si="27"/>
        <v>0</v>
      </c>
      <c r="AG28" s="273">
        <f t="shared" si="27"/>
        <v>0</v>
      </c>
      <c r="AH28" s="273">
        <f t="shared" si="27"/>
        <v>0</v>
      </c>
      <c r="AI28" s="273">
        <f t="shared" si="27"/>
        <v>0</v>
      </c>
      <c r="AJ28" s="163"/>
      <c r="AK28" s="273">
        <f>SUM(AK16:AK27)</f>
        <v>0</v>
      </c>
      <c r="AL28" s="163"/>
      <c r="AM28" s="163">
        <f>SUM(AM15:AM27)</f>
        <v>0</v>
      </c>
      <c r="AN28" s="163"/>
    </row>
    <row r="29" spans="2:40" s="2" customFormat="1" ht="13.5" thickBot="1" x14ac:dyDescent="0.25">
      <c r="C29" s="273"/>
      <c r="D29" s="274"/>
      <c r="F29" s="273"/>
      <c r="G29" s="163"/>
      <c r="H29" s="6" t="s">
        <v>82</v>
      </c>
      <c r="I29" s="273"/>
      <c r="J29" s="273"/>
      <c r="K29" s="273"/>
      <c r="L29" s="163"/>
      <c r="M29" s="6" t="s">
        <v>82</v>
      </c>
      <c r="N29" s="273"/>
      <c r="O29" s="273"/>
      <c r="P29" s="273"/>
      <c r="Q29" s="273"/>
      <c r="R29" s="163"/>
      <c r="S29" s="6" t="s">
        <v>82</v>
      </c>
      <c r="T29" s="273"/>
      <c r="U29" s="273"/>
      <c r="V29" s="273"/>
      <c r="W29" s="273"/>
      <c r="X29" s="163"/>
      <c r="Y29" s="6" t="s">
        <v>82</v>
      </c>
      <c r="Z29" s="273"/>
      <c r="AA29" s="273"/>
      <c r="AB29" s="273"/>
      <c r="AC29" s="273"/>
      <c r="AD29" s="273"/>
      <c r="AE29" s="6" t="s">
        <v>82</v>
      </c>
      <c r="AF29" s="273"/>
      <c r="AG29" s="273"/>
      <c r="AH29" s="273"/>
      <c r="AI29" s="273"/>
      <c r="AJ29" s="163"/>
      <c r="AK29" s="6" t="s">
        <v>82</v>
      </c>
      <c r="AL29" s="163"/>
      <c r="AM29" s="163"/>
      <c r="AN29" s="163"/>
    </row>
    <row r="30" spans="2:40" s="2" customFormat="1" x14ac:dyDescent="0.2">
      <c r="B30" s="363" t="s">
        <v>228</v>
      </c>
      <c r="C30" s="364"/>
      <c r="D30" s="365"/>
      <c r="E30" s="363"/>
      <c r="F30" s="366" t="s">
        <v>86</v>
      </c>
      <c r="G30" s="367"/>
      <c r="H30" s="368" t="s">
        <v>235</v>
      </c>
      <c r="I30" s="369" t="s">
        <v>233</v>
      </c>
      <c r="J30" s="369" t="s">
        <v>234</v>
      </c>
      <c r="K30" s="364"/>
      <c r="L30" s="367"/>
      <c r="M30" s="368" t="s">
        <v>235</v>
      </c>
      <c r="N30" s="369" t="s">
        <v>233</v>
      </c>
      <c r="O30" s="369" t="s">
        <v>234</v>
      </c>
      <c r="P30" s="364"/>
      <c r="Q30" s="366" t="s">
        <v>86</v>
      </c>
      <c r="R30" s="367"/>
      <c r="S30" s="368" t="s">
        <v>235</v>
      </c>
      <c r="T30" s="369" t="s">
        <v>233</v>
      </c>
      <c r="U30" s="369" t="s">
        <v>234</v>
      </c>
      <c r="V30" s="364"/>
      <c r="W30" s="366" t="s">
        <v>86</v>
      </c>
      <c r="X30" s="367"/>
      <c r="Y30" s="368" t="s">
        <v>235</v>
      </c>
      <c r="Z30" s="369" t="s">
        <v>233</v>
      </c>
      <c r="AA30" s="369" t="s">
        <v>234</v>
      </c>
      <c r="AB30" s="364"/>
      <c r="AC30" s="366" t="s">
        <v>86</v>
      </c>
      <c r="AD30" s="364"/>
      <c r="AE30" s="368" t="s">
        <v>235</v>
      </c>
      <c r="AF30" s="369" t="s">
        <v>233</v>
      </c>
      <c r="AG30" s="369" t="s">
        <v>234</v>
      </c>
      <c r="AH30" s="364"/>
      <c r="AI30" s="366" t="s">
        <v>86</v>
      </c>
      <c r="AJ30" s="367"/>
      <c r="AK30" s="368" t="s">
        <v>235</v>
      </c>
      <c r="AL30" s="369" t="s">
        <v>233</v>
      </c>
      <c r="AM30" s="369" t="s">
        <v>234</v>
      </c>
      <c r="AN30" s="367"/>
    </row>
    <row r="31" spans="2:40" s="2" customFormat="1" x14ac:dyDescent="0.2">
      <c r="B31" s="363" t="s">
        <v>229</v>
      </c>
      <c r="C31" s="364"/>
      <c r="D31" s="365"/>
      <c r="E31" s="363"/>
      <c r="F31" s="367"/>
      <c r="G31" s="367"/>
      <c r="H31" s="367"/>
      <c r="I31" s="367">
        <f>M14</f>
        <v>0</v>
      </c>
      <c r="J31" s="367">
        <f>I14-I31</f>
        <v>0</v>
      </c>
      <c r="K31" s="364"/>
      <c r="L31" s="367"/>
      <c r="M31" s="363"/>
      <c r="N31" s="364">
        <f>S14</f>
        <v>0</v>
      </c>
      <c r="O31" s="364">
        <f>U14</f>
        <v>0</v>
      </c>
      <c r="P31" s="364"/>
      <c r="Q31" s="364"/>
      <c r="R31" s="367"/>
      <c r="S31" s="363"/>
      <c r="T31" s="364">
        <f>S14</f>
        <v>0</v>
      </c>
      <c r="U31" s="364">
        <f>AA14</f>
        <v>0</v>
      </c>
      <c r="V31" s="364"/>
      <c r="W31" s="364"/>
      <c r="X31" s="367"/>
      <c r="Y31" s="363"/>
      <c r="Z31" s="364">
        <f>Y14</f>
        <v>0</v>
      </c>
      <c r="AA31" s="364">
        <f>AG14</f>
        <v>0</v>
      </c>
      <c r="AB31" s="364"/>
      <c r="AC31" s="364"/>
      <c r="AD31" s="364"/>
      <c r="AE31" s="363"/>
      <c r="AF31" s="364">
        <f>AE14</f>
        <v>0</v>
      </c>
      <c r="AG31" s="364">
        <f>AM14</f>
        <v>0</v>
      </c>
      <c r="AH31" s="364"/>
      <c r="AI31" s="364"/>
      <c r="AJ31" s="367"/>
      <c r="AK31" s="363"/>
      <c r="AL31" s="364">
        <f>AK14</f>
        <v>0</v>
      </c>
      <c r="AM31" s="364"/>
      <c r="AN31" s="367"/>
    </row>
    <row r="32" spans="2:40" s="2" customFormat="1" x14ac:dyDescent="0.2">
      <c r="B32" s="370" t="s">
        <v>84</v>
      </c>
      <c r="C32" s="364"/>
      <c r="D32" s="365"/>
      <c r="E32" s="363"/>
      <c r="F32" s="367"/>
      <c r="G32" s="367"/>
      <c r="H32" s="367"/>
      <c r="I32" s="367"/>
      <c r="J32" s="367"/>
      <c r="K32" s="364"/>
      <c r="L32" s="367"/>
      <c r="M32" s="364"/>
      <c r="N32" s="364"/>
      <c r="O32" s="364"/>
      <c r="P32" s="364"/>
      <c r="Q32" s="364"/>
      <c r="R32" s="367"/>
      <c r="S32" s="364"/>
      <c r="T32" s="364"/>
      <c r="U32" s="364"/>
      <c r="V32" s="364"/>
      <c r="W32" s="364"/>
      <c r="X32" s="367"/>
      <c r="Y32" s="364"/>
      <c r="Z32" s="364"/>
      <c r="AA32" s="364"/>
      <c r="AB32" s="364"/>
      <c r="AC32" s="364"/>
      <c r="AD32" s="364"/>
      <c r="AE32" s="364"/>
      <c r="AF32" s="364"/>
      <c r="AG32" s="364"/>
      <c r="AH32" s="364"/>
      <c r="AI32" s="364"/>
      <c r="AJ32" s="367"/>
      <c r="AK32" s="367"/>
      <c r="AL32" s="367"/>
      <c r="AM32" s="367"/>
      <c r="AN32" s="367"/>
    </row>
    <row r="33" spans="2:40" s="2" customFormat="1" x14ac:dyDescent="0.2">
      <c r="B33" s="371" t="str">
        <f>B16</f>
        <v xml:space="preserve"> Rahoittaja/rahoitettava kohde</v>
      </c>
      <c r="C33" s="364"/>
      <c r="D33" s="365"/>
      <c r="E33" s="363"/>
      <c r="F33" s="367"/>
      <c r="G33" s="367"/>
      <c r="H33" s="367"/>
      <c r="I33" s="367"/>
      <c r="J33" s="367"/>
      <c r="K33" s="364">
        <f>K16</f>
        <v>0</v>
      </c>
      <c r="L33" s="367"/>
      <c r="M33" s="364">
        <f>IF(K33&gt;0,M16,0)</f>
        <v>0</v>
      </c>
      <c r="N33" s="364">
        <f>IF(O16&gt;0,S16,0)</f>
        <v>0</v>
      </c>
      <c r="O33" s="364">
        <f>O16</f>
        <v>0</v>
      </c>
      <c r="P33" s="364"/>
      <c r="Q33" s="364">
        <f>Q16</f>
        <v>0</v>
      </c>
      <c r="R33" s="367"/>
      <c r="S33" s="364">
        <f>IF(Q33&gt;0,S16,0)</f>
        <v>0</v>
      </c>
      <c r="T33" s="364">
        <f>IF(U16&gt;0,Y16,0)</f>
        <v>0</v>
      </c>
      <c r="U33" s="364"/>
      <c r="V33" s="364"/>
      <c r="W33" s="364">
        <f>W16</f>
        <v>0</v>
      </c>
      <c r="X33" s="367"/>
      <c r="Y33" s="364">
        <f>IF(W33&gt;0,Y16,0)</f>
        <v>0</v>
      </c>
      <c r="Z33" s="364">
        <f>IF(AA16&gt;0,AE16,0)</f>
        <v>0</v>
      </c>
      <c r="AA33" s="364"/>
      <c r="AB33" s="364"/>
      <c r="AC33" s="364">
        <f>AC16</f>
        <v>0</v>
      </c>
      <c r="AD33" s="364"/>
      <c r="AE33" s="364">
        <f>IF(AC33&gt;0,AE16,0)</f>
        <v>0</v>
      </c>
      <c r="AF33" s="364">
        <f>IF(AG16&gt;0,AK16,0)</f>
        <v>0</v>
      </c>
      <c r="AG33" s="364"/>
      <c r="AH33" s="364"/>
      <c r="AI33" s="364">
        <f>AI16</f>
        <v>0</v>
      </c>
      <c r="AJ33" s="367"/>
      <c r="AK33" s="364">
        <f>IF(AI33&gt;0,AK16,0)</f>
        <v>0</v>
      </c>
      <c r="AL33" s="364">
        <f>IF(AM16&gt;0,AQ16,0)</f>
        <v>0</v>
      </c>
      <c r="AM33" s="364"/>
      <c r="AN33" s="367"/>
    </row>
    <row r="34" spans="2:40" s="2" customFormat="1" x14ac:dyDescent="0.2">
      <c r="B34" s="371">
        <f>B24</f>
        <v>0</v>
      </c>
      <c r="C34" s="364"/>
      <c r="D34" s="365"/>
      <c r="E34" s="363"/>
      <c r="F34" s="367"/>
      <c r="G34" s="367"/>
      <c r="H34" s="367"/>
      <c r="I34" s="367"/>
      <c r="J34" s="367"/>
      <c r="K34" s="364">
        <f>K24</f>
        <v>0</v>
      </c>
      <c r="L34" s="367"/>
      <c r="M34" s="364">
        <f>IF(K34&gt;0,M24,0)</f>
        <v>0</v>
      </c>
      <c r="N34" s="364">
        <f>IF(O24&gt;0,S24,0)</f>
        <v>0</v>
      </c>
      <c r="O34" s="364">
        <f>O24</f>
        <v>0</v>
      </c>
      <c r="P34" s="364"/>
      <c r="Q34" s="364">
        <f>Q24</f>
        <v>0</v>
      </c>
      <c r="R34" s="367"/>
      <c r="S34" s="364">
        <f>IF(Q34&gt;0,S24,0)</f>
        <v>0</v>
      </c>
      <c r="T34" s="364">
        <f>IF(U24&gt;0,Y24,0)</f>
        <v>0</v>
      </c>
      <c r="U34" s="364"/>
      <c r="V34" s="364"/>
      <c r="W34" s="364">
        <f>W24</f>
        <v>0</v>
      </c>
      <c r="X34" s="367"/>
      <c r="Y34" s="364">
        <f>IF(W34&gt;0,Y24,0)</f>
        <v>0</v>
      </c>
      <c r="Z34" s="364">
        <f>IF(AA24&gt;0,AE24,0)</f>
        <v>0</v>
      </c>
      <c r="AA34" s="364"/>
      <c r="AB34" s="364"/>
      <c r="AC34" s="364">
        <f>AC24</f>
        <v>0</v>
      </c>
      <c r="AD34" s="364"/>
      <c r="AE34" s="364">
        <f>IF(AC34&gt;0,AE24,0)</f>
        <v>0</v>
      </c>
      <c r="AF34" s="364">
        <f>IF(AG24&gt;0,AK24,0)</f>
        <v>0</v>
      </c>
      <c r="AG34" s="364"/>
      <c r="AH34" s="364"/>
      <c r="AI34" s="364">
        <f>AI24</f>
        <v>0</v>
      </c>
      <c r="AJ34" s="367"/>
      <c r="AK34" s="364">
        <f>IF(AI34&gt;0,AK24,0)</f>
        <v>0</v>
      </c>
      <c r="AL34" s="364">
        <f>IF(AM24&gt;0,AQ24,0)</f>
        <v>0</v>
      </c>
      <c r="AM34" s="364"/>
      <c r="AN34" s="367"/>
    </row>
    <row r="35" spans="2:40" s="2" customFormat="1" x14ac:dyDescent="0.2">
      <c r="B35" s="371">
        <f>B26</f>
        <v>0</v>
      </c>
      <c r="C35" s="364"/>
      <c r="D35" s="365"/>
      <c r="E35" s="363"/>
      <c r="F35" s="367"/>
      <c r="G35" s="367"/>
      <c r="H35" s="367"/>
      <c r="I35" s="367"/>
      <c r="J35" s="367"/>
      <c r="K35" s="364">
        <f>K26</f>
        <v>0</v>
      </c>
      <c r="L35" s="367"/>
      <c r="M35" s="364">
        <f>IF(K35&gt;0,M26,0)</f>
        <v>0</v>
      </c>
      <c r="N35" s="364">
        <f>IF(O26&gt;0,S26,0)</f>
        <v>0</v>
      </c>
      <c r="O35" s="364">
        <f>O26</f>
        <v>0</v>
      </c>
      <c r="P35" s="364"/>
      <c r="Q35" s="364">
        <f>Q26</f>
        <v>0</v>
      </c>
      <c r="R35" s="367"/>
      <c r="S35" s="364">
        <f>IF(Q35&gt;0,S26,0)</f>
        <v>0</v>
      </c>
      <c r="T35" s="364">
        <f>IF(U26&gt;0,Y26,0)</f>
        <v>0</v>
      </c>
      <c r="U35" s="364"/>
      <c r="V35" s="364"/>
      <c r="W35" s="364">
        <f>W26</f>
        <v>0</v>
      </c>
      <c r="X35" s="367"/>
      <c r="Y35" s="364">
        <f>IF(W35&gt;0,Y26,0)</f>
        <v>0</v>
      </c>
      <c r="Z35" s="364">
        <f>IF(AA26&gt;0,AE26,0)</f>
        <v>0</v>
      </c>
      <c r="AA35" s="364"/>
      <c r="AB35" s="364"/>
      <c r="AC35" s="364">
        <f>AC26</f>
        <v>0</v>
      </c>
      <c r="AD35" s="364"/>
      <c r="AE35" s="364">
        <f>IF(AC35&gt;0,AE26,0)</f>
        <v>0</v>
      </c>
      <c r="AF35" s="364">
        <f>IF(AG26&gt;0,AK26,0)</f>
        <v>0</v>
      </c>
      <c r="AG35" s="364"/>
      <c r="AH35" s="364"/>
      <c r="AI35" s="364">
        <f>AI26</f>
        <v>0</v>
      </c>
      <c r="AJ35" s="367"/>
      <c r="AK35" s="364">
        <f>IF(AI35&gt;0,AK26,0)</f>
        <v>0</v>
      </c>
      <c r="AL35" s="364">
        <f>IF(AM26&gt;0,AQ26,0)</f>
        <v>0</v>
      </c>
      <c r="AM35" s="364"/>
      <c r="AN35" s="367"/>
    </row>
    <row r="36" spans="2:40" s="2" customFormat="1" x14ac:dyDescent="0.2">
      <c r="B36" s="371">
        <f>B27</f>
        <v>0</v>
      </c>
      <c r="C36" s="364"/>
      <c r="D36" s="365"/>
      <c r="E36" s="363"/>
      <c r="F36" s="367"/>
      <c r="G36" s="367"/>
      <c r="H36" s="367"/>
      <c r="I36" s="367"/>
      <c r="J36" s="367"/>
      <c r="K36" s="364">
        <f>K27</f>
        <v>0</v>
      </c>
      <c r="L36" s="367"/>
      <c r="M36" s="364">
        <f>IF(K36&gt;0,M27,0)</f>
        <v>0</v>
      </c>
      <c r="N36" s="364">
        <f>IF(O27&gt;0,S27,0)</f>
        <v>0</v>
      </c>
      <c r="O36" s="364">
        <f>O27</f>
        <v>0</v>
      </c>
      <c r="P36" s="364"/>
      <c r="Q36" s="364">
        <f>Q27</f>
        <v>0</v>
      </c>
      <c r="R36" s="367"/>
      <c r="S36" s="364">
        <f>IF(Q36&gt;0,S27,0)</f>
        <v>0</v>
      </c>
      <c r="T36" s="364">
        <f>IF(U27&gt;0,Y27,0)</f>
        <v>0</v>
      </c>
      <c r="U36" s="364"/>
      <c r="V36" s="364"/>
      <c r="W36" s="364">
        <f>W27</f>
        <v>0</v>
      </c>
      <c r="X36" s="367"/>
      <c r="Y36" s="364">
        <f>IF(W36&gt;0,Y27,0)</f>
        <v>0</v>
      </c>
      <c r="Z36" s="364">
        <f>IF(AA27&gt;0,AE27,0)</f>
        <v>0</v>
      </c>
      <c r="AA36" s="364"/>
      <c r="AB36" s="364"/>
      <c r="AC36" s="364">
        <f>AC27</f>
        <v>0</v>
      </c>
      <c r="AD36" s="364"/>
      <c r="AE36" s="364">
        <f>IF(AC36&gt;0,AE27,0)</f>
        <v>0</v>
      </c>
      <c r="AF36" s="364">
        <f>IF(AG27&gt;0,AK27,0)</f>
        <v>0</v>
      </c>
      <c r="AG36" s="364"/>
      <c r="AH36" s="364"/>
      <c r="AI36" s="364">
        <f>AI27</f>
        <v>0</v>
      </c>
      <c r="AJ36" s="367"/>
      <c r="AK36" s="364">
        <f>IF(AI36&gt;0,AK27,0)</f>
        <v>0</v>
      </c>
      <c r="AL36" s="364">
        <f>IF(AM27&gt;0,AQ27,0)</f>
        <v>0</v>
      </c>
      <c r="AM36" s="364"/>
      <c r="AN36" s="367"/>
    </row>
    <row r="37" spans="2:40" s="2" customFormat="1" ht="13.5" thickBot="1" x14ac:dyDescent="0.25">
      <c r="B37" s="363" t="s">
        <v>236</v>
      </c>
      <c r="C37" s="364"/>
      <c r="D37" s="365"/>
      <c r="E37" s="363"/>
      <c r="F37" s="367"/>
      <c r="G37" s="367"/>
      <c r="H37" s="367"/>
      <c r="I37" s="367"/>
      <c r="J37" s="367"/>
      <c r="K37" s="364">
        <f>SUM(K33:K36)</f>
        <v>0</v>
      </c>
      <c r="L37" s="367"/>
      <c r="M37" s="364">
        <f>SUM(M31:M36)</f>
        <v>0</v>
      </c>
      <c r="N37" s="364">
        <f>SUM(N31:N36)</f>
        <v>0</v>
      </c>
      <c r="O37" s="364">
        <f>SUM(O31:O36)</f>
        <v>0</v>
      </c>
      <c r="P37" s="364"/>
      <c r="Q37" s="364">
        <f>SUM(Q33:Q36)</f>
        <v>0</v>
      </c>
      <c r="R37" s="367"/>
      <c r="S37" s="364">
        <f>SUM(S30:S36)</f>
        <v>0</v>
      </c>
      <c r="T37" s="364">
        <f>SUM(T31:T36)</f>
        <v>0</v>
      </c>
      <c r="U37" s="364"/>
      <c r="V37" s="364"/>
      <c r="W37" s="364">
        <f>SUM(W33:W36)</f>
        <v>0</v>
      </c>
      <c r="X37" s="367"/>
      <c r="Y37" s="364">
        <f>SUM(Y30:Y36)</f>
        <v>0</v>
      </c>
      <c r="Z37" s="364">
        <f>SUM(Z31:Z36)</f>
        <v>0</v>
      </c>
      <c r="AA37" s="364">
        <f>SUM(AA31:AA36)</f>
        <v>0</v>
      </c>
      <c r="AB37" s="364"/>
      <c r="AC37" s="364">
        <f>SUM(AC33:AC36)</f>
        <v>0</v>
      </c>
      <c r="AD37" s="364"/>
      <c r="AE37" s="364">
        <f>SUM(AE30:AE36)</f>
        <v>0</v>
      </c>
      <c r="AF37" s="364">
        <f>SUM(AF31:AF36)</f>
        <v>0</v>
      </c>
      <c r="AG37" s="364">
        <f>SUM(AG31:AG36)</f>
        <v>0</v>
      </c>
      <c r="AH37" s="364"/>
      <c r="AI37" s="364">
        <f>SUM(AI33:AI36)</f>
        <v>0</v>
      </c>
      <c r="AJ37" s="367"/>
      <c r="AK37" s="364">
        <f>SUM(AK30:AK36)</f>
        <v>0</v>
      </c>
      <c r="AL37" s="367"/>
      <c r="AM37" s="364">
        <f>SUM(AM31:AM36)</f>
        <v>0</v>
      </c>
      <c r="AN37" s="367"/>
    </row>
    <row r="38" spans="2:40" s="2" customFormat="1" x14ac:dyDescent="0.2">
      <c r="D38" s="6" t="s">
        <v>93</v>
      </c>
      <c r="F38" s="2301">
        <f>F3</f>
        <v>0</v>
      </c>
      <c r="G38" s="2302"/>
      <c r="H38" s="2302"/>
      <c r="I38" s="2302"/>
      <c r="J38" s="2303"/>
      <c r="K38" s="2301" t="str">
        <f>K3</f>
        <v>Ennuste 1</v>
      </c>
      <c r="L38" s="2302"/>
      <c r="M38" s="2302"/>
      <c r="N38" s="2302"/>
      <c r="O38" s="2302"/>
      <c r="P38" s="2303"/>
      <c r="Q38" s="2301" t="str">
        <f>Q3</f>
        <v>Ennuste 2</v>
      </c>
      <c r="R38" s="2302"/>
      <c r="S38" s="2302"/>
      <c r="T38" s="2302"/>
      <c r="U38" s="2302"/>
      <c r="V38" s="2303"/>
      <c r="W38" s="2301" t="str">
        <f>W3</f>
        <v>Ennuste 3</v>
      </c>
      <c r="X38" s="2302"/>
      <c r="Y38" s="2302"/>
      <c r="Z38" s="2302"/>
      <c r="AA38" s="2302"/>
      <c r="AB38" s="2303"/>
      <c r="AC38" s="2301" t="s">
        <v>195</v>
      </c>
      <c r="AD38" s="2302"/>
      <c r="AE38" s="2302"/>
      <c r="AF38" s="2302"/>
      <c r="AG38" s="2302"/>
      <c r="AH38" s="2303"/>
      <c r="AI38" s="2301" t="s">
        <v>208</v>
      </c>
      <c r="AJ38" s="2302"/>
      <c r="AK38" s="2302"/>
      <c r="AL38" s="2302"/>
      <c r="AM38" s="2302"/>
      <c r="AN38" s="2303"/>
    </row>
    <row r="39" spans="2:40" ht="13.5" thickBot="1" x14ac:dyDescent="0.25">
      <c r="C39" s="6" t="s">
        <v>85</v>
      </c>
      <c r="D39" s="6" t="s">
        <v>92</v>
      </c>
      <c r="E39" s="6" t="s">
        <v>83</v>
      </c>
      <c r="F39" s="2304">
        <f>F4</f>
        <v>0</v>
      </c>
      <c r="G39" s="2305"/>
      <c r="H39" s="2305"/>
      <c r="I39" s="2305"/>
      <c r="J39" s="2306"/>
      <c r="K39" s="2304">
        <f>K4</f>
        <v>2027</v>
      </c>
      <c r="L39" s="2305"/>
      <c r="M39" s="2305"/>
      <c r="N39" s="2305"/>
      <c r="O39" s="2305"/>
      <c r="P39" s="2306"/>
      <c r="Q39" s="2308">
        <f>Q4</f>
        <v>2028</v>
      </c>
      <c r="R39" s="2309"/>
      <c r="S39" s="2309"/>
      <c r="T39" s="2309"/>
      <c r="U39" s="2309"/>
      <c r="V39" s="2310"/>
      <c r="W39" s="2308">
        <f>W4</f>
        <v>2029</v>
      </c>
      <c r="X39" s="2309"/>
      <c r="Y39" s="2309"/>
      <c r="Z39" s="2309"/>
      <c r="AA39" s="2309"/>
      <c r="AB39" s="2310"/>
      <c r="AC39" s="2308">
        <f>AC4</f>
        <v>2030</v>
      </c>
      <c r="AD39" s="2309"/>
      <c r="AE39" s="2309"/>
      <c r="AF39" s="2309"/>
      <c r="AG39" s="2309"/>
      <c r="AH39" s="2310"/>
      <c r="AI39" s="2308">
        <f>AI4</f>
        <v>2031</v>
      </c>
      <c r="AJ39" s="2309"/>
      <c r="AK39" s="2309"/>
      <c r="AL39" s="2309"/>
      <c r="AM39" s="2309"/>
      <c r="AN39" s="2310"/>
    </row>
    <row r="40" spans="2:40" s="2" customFormat="1" x14ac:dyDescent="0.2">
      <c r="B40" s="243" t="s">
        <v>167</v>
      </c>
      <c r="C40" s="244">
        <f>'4. T7 LAINAT '!C19</f>
        <v>0</v>
      </c>
      <c r="D40" s="159">
        <f>IF(12*'4. T7 LAINAT '!D19-12&lt;0,0,12*'4. T7 LAINAT '!D19-12)</f>
        <v>0</v>
      </c>
      <c r="E40" s="245">
        <f>'4. T7 LAINAT '!E19</f>
        <v>0</v>
      </c>
      <c r="F40" s="246"/>
      <c r="G40" s="247"/>
      <c r="H40" s="246"/>
      <c r="I40" s="244">
        <f>C40</f>
        <v>0</v>
      </c>
      <c r="J40" s="246"/>
      <c r="K40" s="244"/>
      <c r="L40" s="244"/>
      <c r="M40" s="244">
        <f>'4. T7 LAINAT '!F19</f>
        <v>0</v>
      </c>
      <c r="N40" s="244"/>
      <c r="O40" s="244">
        <f>I40</f>
        <v>0</v>
      </c>
      <c r="P40" s="244">
        <f>IF($D40&lt;Q41,0,IF($E40=0,0,-CUMIPMT($E40/12,$D40,$C40+M40,Q41,Q42,0)))</f>
        <v>0</v>
      </c>
      <c r="Q40" s="244"/>
      <c r="R40" s="244"/>
      <c r="S40" s="244">
        <f>IF($D40&lt;Q41,0,IF($E40=0,0,-CUMPRINC($E40/12,$D40,$C40,Q41,Q42,0)))</f>
        <v>0</v>
      </c>
      <c r="T40" s="244"/>
      <c r="U40" s="244">
        <f>IF(S40=0,0,O40-S40)</f>
        <v>0</v>
      </c>
      <c r="V40" s="244">
        <f>IF($D40&lt;Q41,0,IF($E40=0,0,-CUMIPMT($E40/12,$D40,$C40,Q41,Q42,0)))</f>
        <v>0</v>
      </c>
      <c r="W40" s="244"/>
      <c r="X40" s="244"/>
      <c r="Y40" s="244">
        <f>IF($D40&lt;W41,0,IF($E40=0,0,-CUMPRINC($E40/12,$D40,$C40,W41,W42,0)))</f>
        <v>0</v>
      </c>
      <c r="Z40" s="244"/>
      <c r="AA40" s="244">
        <f>IF(Y40=0,0,U40-Y40)</f>
        <v>0</v>
      </c>
      <c r="AB40" s="244">
        <f>IF($D40&lt;W41,0,IF($E40=0,0,-CUMIPMT($E40/12,$D40,$C40,W41,W42,0)))</f>
        <v>0</v>
      </c>
      <c r="AC40" s="244"/>
      <c r="AD40" s="244"/>
      <c r="AE40" s="244">
        <f>IF($D40&lt;AC41,0,IF($E40=0,0,-CUMPRINC($E40/12,$D40,$C40,AC41,AC42,0)))</f>
        <v>0</v>
      </c>
      <c r="AF40" s="244"/>
      <c r="AG40" s="244">
        <f>IF(AE40=0,0,AA40-AE40)</f>
        <v>0</v>
      </c>
      <c r="AH40" s="248">
        <f>IF($D40&lt;AC41,0,IF($E40=0,0,-CUMIPMT($E40/12,$D40,$C40,AC41,AC42,0)))</f>
        <v>0</v>
      </c>
      <c r="AI40" s="244"/>
      <c r="AJ40" s="244"/>
      <c r="AK40" s="244">
        <f>IF($D40&lt;AI41,0,IF($E40=0,0,-CUMPRINC($E40/12,$D40,$C40,AI41,AI42,0)))</f>
        <v>0</v>
      </c>
      <c r="AL40" s="244"/>
      <c r="AM40" s="244">
        <f>IF(AK40=0,0,AG40-AK40)</f>
        <v>0</v>
      </c>
      <c r="AN40" s="248">
        <f>IF($D40&lt;AI41,0,IF($E40=0,0,-CUMIPMT($E40/12,$D40,$C40,AI41,AI42,0)))</f>
        <v>0</v>
      </c>
    </row>
    <row r="41" spans="2:40" x14ac:dyDescent="0.2">
      <c r="B41" s="249" t="s">
        <v>168</v>
      </c>
      <c r="G41" s="91"/>
      <c r="Q41" s="32">
        <v>1</v>
      </c>
      <c r="R41" s="97"/>
      <c r="S41" s="32"/>
      <c r="T41" s="32"/>
      <c r="U41" s="32"/>
      <c r="V41" s="32"/>
      <c r="W41" s="32">
        <v>13</v>
      </c>
      <c r="X41" s="97"/>
      <c r="Y41" s="32"/>
      <c r="Z41" s="32"/>
      <c r="AA41" s="32"/>
      <c r="AB41" s="32"/>
      <c r="AC41" s="32">
        <v>25</v>
      </c>
      <c r="AD41" s="32"/>
      <c r="AE41" s="32"/>
      <c r="AF41" s="32"/>
      <c r="AG41" s="32"/>
      <c r="AH41" s="32"/>
      <c r="AI41">
        <v>37</v>
      </c>
      <c r="AN41" s="160"/>
    </row>
    <row r="42" spans="2:40" x14ac:dyDescent="0.2">
      <c r="B42" s="249" t="s">
        <v>169</v>
      </c>
      <c r="G42" s="91"/>
      <c r="Q42" s="32">
        <v>12</v>
      </c>
      <c r="R42" s="97"/>
      <c r="S42" s="32"/>
      <c r="T42" s="32"/>
      <c r="U42" s="32"/>
      <c r="V42" s="32"/>
      <c r="W42" s="32">
        <v>24</v>
      </c>
      <c r="X42" s="97"/>
      <c r="Y42" s="32"/>
      <c r="Z42" s="32"/>
      <c r="AA42" s="32"/>
      <c r="AB42" s="32"/>
      <c r="AC42" s="32">
        <v>36</v>
      </c>
      <c r="AD42" s="32"/>
      <c r="AE42" s="32"/>
      <c r="AF42" s="32"/>
      <c r="AG42" s="32"/>
      <c r="AH42" s="32"/>
      <c r="AI42">
        <v>48</v>
      </c>
      <c r="AN42" s="160"/>
    </row>
    <row r="43" spans="2:40" ht="13.5" thickBot="1" x14ac:dyDescent="0.25">
      <c r="B43" s="250" t="s">
        <v>205</v>
      </c>
      <c r="C43" s="175"/>
      <c r="D43" s="251"/>
      <c r="E43" s="175"/>
      <c r="F43" s="175"/>
      <c r="G43" s="252"/>
      <c r="H43" s="175"/>
      <c r="I43" s="253">
        <f>SUM(I40:I42)</f>
        <v>0</v>
      </c>
      <c r="J43" s="175"/>
      <c r="K43" s="253"/>
      <c r="L43" s="254"/>
      <c r="M43" s="253">
        <f>SUM(M40:M42)</f>
        <v>0</v>
      </c>
      <c r="N43" s="253"/>
      <c r="O43" s="253">
        <f>SUM(O40:O42)</f>
        <v>0</v>
      </c>
      <c r="P43" s="253">
        <f>SUM(P40:P42)</f>
        <v>0</v>
      </c>
      <c r="Q43" s="253"/>
      <c r="R43" s="254"/>
      <c r="S43" s="253">
        <f>SUM(S40:S42)</f>
        <v>0</v>
      </c>
      <c r="T43" s="253"/>
      <c r="U43" s="253">
        <f>SUM(U40:U42)</f>
        <v>0</v>
      </c>
      <c r="V43" s="253">
        <f>SUM(V40:V42)</f>
        <v>0</v>
      </c>
      <c r="W43" s="253"/>
      <c r="X43" s="253"/>
      <c r="Y43" s="253">
        <f>SUM(Y40:Y42)</f>
        <v>0</v>
      </c>
      <c r="Z43" s="253"/>
      <c r="AA43" s="253">
        <f>SUM(AA40:AA42)</f>
        <v>0</v>
      </c>
      <c r="AB43" s="253">
        <f>SUM(AB40:AB42)</f>
        <v>0</v>
      </c>
      <c r="AC43" s="175"/>
      <c r="AD43" s="175"/>
      <c r="AE43" s="253">
        <f>SUM(AE40:AE42)</f>
        <v>0</v>
      </c>
      <c r="AF43" s="175"/>
      <c r="AG43" s="253">
        <f>SUM(AG40:AG42)</f>
        <v>0</v>
      </c>
      <c r="AH43" s="253">
        <f>SUM(AH40:AH42)</f>
        <v>0</v>
      </c>
      <c r="AI43" s="175"/>
      <c r="AJ43" s="175"/>
      <c r="AK43" s="253">
        <f>SUM(AK40:AK42)</f>
        <v>0</v>
      </c>
      <c r="AL43" s="175"/>
      <c r="AM43" s="253">
        <f>SUM(AM40:AM42)</f>
        <v>0</v>
      </c>
      <c r="AN43" s="253">
        <f>SUM(AN40:AN42)</f>
        <v>0</v>
      </c>
    </row>
    <row r="44" spans="2:40" x14ac:dyDescent="0.2">
      <c r="B44" s="158" t="s">
        <v>171</v>
      </c>
      <c r="C44" s="32">
        <f>'4. T7 LAINAT '!C41</f>
        <v>0</v>
      </c>
      <c r="D44" s="159">
        <f>12*'4. T7 LAINAT '!D41</f>
        <v>0</v>
      </c>
      <c r="E44" s="177">
        <f>'4. T7 LAINAT '!E41</f>
        <v>0</v>
      </c>
      <c r="G44" s="91"/>
      <c r="K44" s="97">
        <f>'4. T7 LAINAT '!F41</f>
        <v>0</v>
      </c>
      <c r="L44" s="163"/>
      <c r="M44" s="163">
        <f>IF($E44=0,0,-CUMPRINC($E44/12,$D44,$C44,K45,K46,0))</f>
        <v>0</v>
      </c>
      <c r="N44" s="163"/>
      <c r="O44" s="163">
        <f>K44-M44</f>
        <v>0</v>
      </c>
      <c r="P44" s="244">
        <f>IF($D44&lt;K45,0,IF($E44=0,0,-CUMIPMT($E44/12,$D44,$C44,K45,K46,0)))</f>
        <v>0</v>
      </c>
      <c r="Q44" s="163"/>
      <c r="R44" s="163"/>
      <c r="S44" s="244">
        <f>IF($D44&lt;Q45,0,IF($E44=0,0,-CUMPRINC($E44/12,$D44,$C44,Q45,Q46,0)))</f>
        <v>0</v>
      </c>
      <c r="T44" s="163"/>
      <c r="U44" s="163">
        <f>O44-S44</f>
        <v>0</v>
      </c>
      <c r="V44" s="244">
        <f>IF($D44&lt;Q45,0,IF($E44=0,0,-CUMIPMT($E44/12,$D44,$C44,Q45,Q46,0)))</f>
        <v>0</v>
      </c>
      <c r="W44" s="163"/>
      <c r="X44" s="163"/>
      <c r="Y44" s="244">
        <f>IF($D44&lt;W45,0,IF($E44=0,0,-CUMPRINC($E44/12,$D44,$C44,W45,W46,0)))</f>
        <v>0</v>
      </c>
      <c r="Z44" s="163"/>
      <c r="AA44" s="163">
        <f>U44-Y44</f>
        <v>0</v>
      </c>
      <c r="AB44" s="244">
        <f>IF($D44&lt;W45,0,IF($E44=0,0,-CUMIPMT($E44/12,$D44,$C44,W45,W46,0)))</f>
        <v>0</v>
      </c>
      <c r="AC44" s="163"/>
      <c r="AD44" s="163"/>
      <c r="AE44" s="244">
        <f>IF($D44&lt;AC45,0,IF($E44=0,0,-CUMPRINC($E44/12,$D44,$C44,AC45,AC46,0)))</f>
        <v>0</v>
      </c>
      <c r="AF44" s="163"/>
      <c r="AG44" s="163">
        <f>AA44-AE44</f>
        <v>0</v>
      </c>
      <c r="AH44" s="248">
        <f>IF($D44&lt;AC45,0,IF($E44=0,0,-CUMIPMT($E44/12,$D44,$C44,AC45,AC46,0)))</f>
        <v>0</v>
      </c>
      <c r="AI44" s="163"/>
      <c r="AJ44" s="163"/>
      <c r="AK44" s="244">
        <f>IF($D44&lt;AI45,0,IF($E44=0,0,-CUMPRINC($E44/12,$D44,$C44,AI45,AI46,0)))</f>
        <v>0</v>
      </c>
      <c r="AL44" s="163"/>
      <c r="AM44" s="163">
        <f>AG44-AK44</f>
        <v>0</v>
      </c>
      <c r="AN44" s="248">
        <f>IF($D44&lt;AI45,0,IF($E44=0,0,-CUMIPMT($E44/12,$D44,$C44,AI45,AI46,0)))</f>
        <v>0</v>
      </c>
    </row>
    <row r="45" spans="2:40" x14ac:dyDescent="0.2">
      <c r="B45" s="179" t="s">
        <v>168</v>
      </c>
      <c r="G45" s="91"/>
      <c r="K45" s="32">
        <v>1</v>
      </c>
      <c r="L45" s="97"/>
      <c r="M45" s="32"/>
      <c r="N45" s="32"/>
      <c r="O45" s="32"/>
      <c r="P45" s="32"/>
      <c r="Q45" s="32">
        <v>13</v>
      </c>
      <c r="R45" s="97"/>
      <c r="S45" s="32"/>
      <c r="T45" s="32"/>
      <c r="U45" s="32"/>
      <c r="V45" s="32"/>
      <c r="W45" s="32">
        <v>25</v>
      </c>
      <c r="X45" s="32"/>
      <c r="Y45" s="32"/>
      <c r="Z45" s="32"/>
      <c r="AA45" s="32"/>
      <c r="AB45" s="32"/>
      <c r="AC45">
        <v>37</v>
      </c>
      <c r="AI45">
        <v>49</v>
      </c>
    </row>
    <row r="46" spans="2:40" ht="13.5" thickBot="1" x14ac:dyDescent="0.25">
      <c r="B46" s="179" t="s">
        <v>169</v>
      </c>
      <c r="G46" s="91"/>
      <c r="K46" s="32">
        <v>12</v>
      </c>
      <c r="L46" s="97"/>
      <c r="M46" s="32"/>
      <c r="N46" s="32"/>
      <c r="O46" s="32"/>
      <c r="P46" s="32"/>
      <c r="Q46" s="32">
        <v>24</v>
      </c>
      <c r="R46" s="97"/>
      <c r="S46" s="32"/>
      <c r="T46" s="32"/>
      <c r="U46" s="32"/>
      <c r="V46" s="32"/>
      <c r="W46" s="32">
        <v>36</v>
      </c>
      <c r="X46" s="32"/>
      <c r="Y46" s="32"/>
      <c r="Z46" s="32"/>
      <c r="AA46" s="32"/>
      <c r="AB46" s="32"/>
      <c r="AC46">
        <v>48</v>
      </c>
      <c r="AI46">
        <v>60</v>
      </c>
    </row>
    <row r="47" spans="2:40" s="2" customFormat="1" x14ac:dyDescent="0.2">
      <c r="B47" s="158" t="s">
        <v>172</v>
      </c>
      <c r="C47" s="32">
        <f>'4. T7 LAINAT '!C42</f>
        <v>0</v>
      </c>
      <c r="D47" s="80">
        <f>'4. T7 LAINAT '!D42*12</f>
        <v>0</v>
      </c>
      <c r="E47" s="177">
        <f>'4. T7 LAINAT '!E42</f>
        <v>0</v>
      </c>
      <c r="G47" s="178"/>
      <c r="K47" s="97">
        <f>'4. T7 LAINAT '!F42</f>
        <v>0</v>
      </c>
      <c r="L47" s="163"/>
      <c r="M47" s="163">
        <f>IF($E47=0,0,IF($K47=0,0,-CUMPRINC($E47/12,$D47,$C47,Q48,Q49,0)))</f>
        <v>0</v>
      </c>
      <c r="N47" s="163"/>
      <c r="O47" s="163"/>
      <c r="P47" s="163">
        <v>0</v>
      </c>
      <c r="Q47" s="97">
        <f>'4. T7 LAINAT '!I42</f>
        <v>0</v>
      </c>
      <c r="R47" s="163"/>
      <c r="S47" s="244">
        <f>IF($D47&lt;Q48,0,IF($E47=0,0,-CUMPRINC($E47/12,$D47,$C47,Q48,Q49,0)))</f>
        <v>0</v>
      </c>
      <c r="T47" s="180"/>
      <c r="U47" s="181">
        <f>Q47-S47</f>
        <v>0</v>
      </c>
      <c r="V47" s="244">
        <f>IF($D47&lt;Q48,0,IF($E47=0,0,-CUMIPMT($E47/12,$D47,$C47,Q48,Q49,0)))</f>
        <v>0</v>
      </c>
      <c r="W47" s="163"/>
      <c r="X47" s="163"/>
      <c r="Y47" s="244">
        <f>IF($D47&lt;W48,0,IF($E47=0,0,-CUMPRINC($E47/12,$D47,$C47,W48,W49,0)))</f>
        <v>0</v>
      </c>
      <c r="Z47" s="163"/>
      <c r="AA47" s="163">
        <f>U47-Y47</f>
        <v>0</v>
      </c>
      <c r="AB47" s="244">
        <f>IF($D47&lt;W48,0,IF($E47=0,0,-CUMIPMT($E47/12,$D47,$C47,W48,W49,0)))</f>
        <v>0</v>
      </c>
      <c r="AC47" s="163"/>
      <c r="AD47" s="163"/>
      <c r="AE47" s="244">
        <f>IF($D47&lt;AC48,0,IF($E47=0,0,-CUMPRINC($E47/12,$D47,$C47,AC48,AC49,0)))</f>
        <v>0</v>
      </c>
      <c r="AF47" s="163"/>
      <c r="AG47" s="163">
        <f>AA47-AE47</f>
        <v>0</v>
      </c>
      <c r="AH47" s="248">
        <f>IF($D47&lt;AC48,0,IF($E47=0,0,-CUMIPMT($E47/12,$D47,$C47,AC48,AC49,0)))</f>
        <v>0</v>
      </c>
      <c r="AI47" s="163"/>
      <c r="AJ47" s="163"/>
      <c r="AK47" s="244">
        <f>IF($D47&lt;AI48,0,IF($E47=0,0,-CUMPRINC($E47/12,$D47,$C47,AI48,AI49,0)))</f>
        <v>0</v>
      </c>
      <c r="AL47" s="163"/>
      <c r="AM47" s="163">
        <f>AG47-AK47</f>
        <v>0</v>
      </c>
      <c r="AN47" s="248">
        <f>IF($D47&lt;AI48,0,IF($E47=0,0,-CUMIPMT($E47/12,$D47,$C47,AI48,AI49,0)))</f>
        <v>0</v>
      </c>
    </row>
    <row r="48" spans="2:40" x14ac:dyDescent="0.2">
      <c r="B48" s="179" t="s">
        <v>168</v>
      </c>
      <c r="G48" s="91"/>
      <c r="K48" s="32"/>
      <c r="L48" s="32"/>
      <c r="M48" s="32"/>
      <c r="N48" s="32"/>
      <c r="O48" s="32"/>
      <c r="P48" s="32"/>
      <c r="Q48" s="32">
        <v>1</v>
      </c>
      <c r="R48" s="97"/>
      <c r="S48" s="32"/>
      <c r="T48" s="32"/>
      <c r="U48" s="32"/>
      <c r="V48" s="32"/>
      <c r="W48" s="32">
        <v>13</v>
      </c>
      <c r="X48" s="97"/>
      <c r="Y48" s="32"/>
      <c r="Z48" s="32"/>
      <c r="AA48" s="32"/>
      <c r="AB48" s="32"/>
      <c r="AC48" s="82">
        <v>25</v>
      </c>
      <c r="AI48" s="82">
        <v>37</v>
      </c>
    </row>
    <row r="49" spans="2:40" ht="13.5" thickBot="1" x14ac:dyDescent="0.25">
      <c r="B49" s="179" t="s">
        <v>169</v>
      </c>
      <c r="G49" s="91"/>
      <c r="K49" s="32"/>
      <c r="L49" s="32"/>
      <c r="M49" s="32"/>
      <c r="N49" s="32"/>
      <c r="O49" s="32"/>
      <c r="P49" s="32"/>
      <c r="Q49" s="32">
        <v>12</v>
      </c>
      <c r="R49" s="97"/>
      <c r="S49" s="32"/>
      <c r="T49" s="32"/>
      <c r="U49" s="32"/>
      <c r="V49" s="32"/>
      <c r="W49" s="32">
        <v>24</v>
      </c>
      <c r="X49" s="97"/>
      <c r="Y49" s="32"/>
      <c r="Z49" s="32"/>
      <c r="AA49" s="32"/>
      <c r="AB49" s="32"/>
      <c r="AC49" s="82">
        <v>36</v>
      </c>
      <c r="AI49" s="82">
        <v>48</v>
      </c>
    </row>
    <row r="50" spans="2:40" x14ac:dyDescent="0.2">
      <c r="B50" s="158" t="s">
        <v>173</v>
      </c>
      <c r="C50" s="32">
        <f>'4. T7 LAINAT '!C43</f>
        <v>0</v>
      </c>
      <c r="D50" s="80">
        <f>'4. T7 LAINAT '!D43*12</f>
        <v>0</v>
      </c>
      <c r="E50" s="177">
        <f>'4. T7 LAINAT '!E43</f>
        <v>0</v>
      </c>
      <c r="G50" s="91"/>
      <c r="K50" s="32"/>
      <c r="L50" s="32"/>
      <c r="M50" s="32"/>
      <c r="N50" s="32"/>
      <c r="O50" s="32"/>
      <c r="P50" s="32"/>
      <c r="Q50" s="32"/>
      <c r="R50" s="97"/>
      <c r="S50" s="32"/>
      <c r="T50" s="32"/>
      <c r="U50" s="32"/>
      <c r="V50" s="32"/>
      <c r="W50" s="32">
        <f>'4. T7 LAINAT '!L43</f>
        <v>0</v>
      </c>
      <c r="X50" s="97"/>
      <c r="Y50" s="244">
        <f>IF($D50&lt;W51,0,IF($E50=0,0,-CUMPRINC($E50/12,$D50,$C50,W51,W52,0)))</f>
        <v>0</v>
      </c>
      <c r="Z50" s="163"/>
      <c r="AA50" s="163">
        <f>W50-Y50</f>
        <v>0</v>
      </c>
      <c r="AB50" s="244">
        <f>IF($D50&lt;W51,0,IF($E50=0,0,-CUMIPMT($E50/12,$D50,$C50,W51,W52,0)))</f>
        <v>0</v>
      </c>
      <c r="AC50" s="163"/>
      <c r="AD50" s="163"/>
      <c r="AE50" s="244">
        <f>IF($D50&lt;AC51,0,IF($E50=0,0,-CUMPRINC($E50/12,$D50,$C50,AC51,AC52,0)))</f>
        <v>0</v>
      </c>
      <c r="AF50" s="163"/>
      <c r="AG50" s="163">
        <f>AA50-AE50</f>
        <v>0</v>
      </c>
      <c r="AH50" s="248">
        <f>IF($D50&lt;AC51,0,IF($E50=0,0,-CUMIPMT($E50/12,$D50,$C50,AC51,AC52,0)))</f>
        <v>0</v>
      </c>
      <c r="AI50" s="163"/>
      <c r="AJ50" s="163"/>
      <c r="AK50" s="244">
        <f>IF($D50&lt;AI51,0,IF($E50=0,0,-CUMPRINC($E50/12,$D50,$C50,AI51,AI52,0)))</f>
        <v>0</v>
      </c>
      <c r="AL50" s="163"/>
      <c r="AM50" s="163">
        <f>AG50-AK50</f>
        <v>0</v>
      </c>
      <c r="AN50" s="248">
        <f>IF($D50&lt;AI51,0,IF($E50=0,0,-CUMIPMT($E50/12,$D50,$C50,AI51,AI52,0)))</f>
        <v>0</v>
      </c>
    </row>
    <row r="51" spans="2:40" x14ac:dyDescent="0.2">
      <c r="B51" s="179" t="s">
        <v>168</v>
      </c>
      <c r="G51" s="91"/>
      <c r="K51" s="32"/>
      <c r="L51" s="32"/>
      <c r="M51" s="32"/>
      <c r="N51" s="32"/>
      <c r="O51" s="32"/>
      <c r="P51" s="32"/>
      <c r="Q51" s="32"/>
      <c r="R51" s="97"/>
      <c r="S51" s="32"/>
      <c r="T51" s="32"/>
      <c r="U51" s="32"/>
      <c r="V51" s="32"/>
      <c r="W51" s="32">
        <v>1</v>
      </c>
      <c r="X51" s="97"/>
      <c r="Y51" s="32"/>
      <c r="Z51" s="32"/>
      <c r="AA51" s="32"/>
      <c r="AB51" s="32"/>
      <c r="AC51" s="32">
        <v>13</v>
      </c>
      <c r="AI51" s="32">
        <v>25</v>
      </c>
    </row>
    <row r="52" spans="2:40" ht="13.5" thickBot="1" x14ac:dyDescent="0.25">
      <c r="B52" s="179" t="s">
        <v>169</v>
      </c>
      <c r="G52" s="91"/>
      <c r="K52" s="32"/>
      <c r="L52" s="32"/>
      <c r="M52" s="32"/>
      <c r="N52" s="32"/>
      <c r="O52" s="32"/>
      <c r="P52" s="32"/>
      <c r="Q52" s="32"/>
      <c r="R52" s="97"/>
      <c r="S52" s="32"/>
      <c r="T52" s="32"/>
      <c r="U52" s="32"/>
      <c r="V52" s="32"/>
      <c r="W52" s="32">
        <v>12</v>
      </c>
      <c r="X52" s="97"/>
      <c r="Y52" s="32"/>
      <c r="Z52" s="32"/>
      <c r="AA52" s="32"/>
      <c r="AB52" s="32"/>
      <c r="AC52" s="32">
        <v>24</v>
      </c>
      <c r="AI52" s="32">
        <v>36</v>
      </c>
    </row>
    <row r="53" spans="2:40" x14ac:dyDescent="0.2">
      <c r="B53" s="158" t="s">
        <v>209</v>
      </c>
      <c r="C53" s="32">
        <f>'4. T7 LAINAT '!C44</f>
        <v>0</v>
      </c>
      <c r="D53" s="32">
        <f>'4. T7 LAINAT '!D44*12</f>
        <v>0</v>
      </c>
      <c r="E53" s="177">
        <f>'4. T7 LAINAT '!E44</f>
        <v>0</v>
      </c>
      <c r="G53" s="91"/>
      <c r="K53" s="32"/>
      <c r="L53" s="32"/>
      <c r="M53" s="32"/>
      <c r="N53" s="32"/>
      <c r="O53" s="32"/>
      <c r="P53" s="32"/>
      <c r="Q53" s="32"/>
      <c r="R53" s="97"/>
      <c r="S53" s="32"/>
      <c r="T53" s="32"/>
      <c r="U53" s="32"/>
      <c r="V53" s="32"/>
      <c r="W53" s="32"/>
      <c r="X53" s="97"/>
      <c r="Y53" s="163"/>
      <c r="Z53" s="163"/>
      <c r="AA53" s="163"/>
      <c r="AB53" s="163"/>
      <c r="AC53" s="163">
        <f>'4. T7 LAINAT '!O44</f>
        <v>0</v>
      </c>
      <c r="AD53" s="163"/>
      <c r="AE53" s="244">
        <f>IF($D53&lt;AC54,0,IF($E53=0,0,-CUMPRINC($E53/12,$D53,$C53,AC54,AC55,0)))</f>
        <v>0</v>
      </c>
      <c r="AF53" s="163"/>
      <c r="AG53" s="163">
        <f>AC53-AE53</f>
        <v>0</v>
      </c>
      <c r="AH53" s="248">
        <f>IF($D53&lt;AC54,0,IF($E53=0,0,-CUMIPMT($E53/12,$D53,$C53,AC54,AC55,0)))</f>
        <v>0</v>
      </c>
      <c r="AI53" s="163"/>
      <c r="AJ53" s="163"/>
      <c r="AK53" s="244">
        <f>IF($D53&lt;AI54,0,IF($E53=0,0,-CUMPRINC($E53/12,$D53,$C53,AI54,AI55,0)))</f>
        <v>0</v>
      </c>
      <c r="AL53" s="163"/>
      <c r="AM53" s="163">
        <f>AG53-AK53</f>
        <v>0</v>
      </c>
      <c r="AN53" s="248">
        <f>IF($D53&lt;AI54,0,IF($E53=0,0,-CUMIPMT($E53/12,$D53,$C53,AI54,AI55,0)))</f>
        <v>0</v>
      </c>
    </row>
    <row r="54" spans="2:40" x14ac:dyDescent="0.2">
      <c r="B54" s="179" t="s">
        <v>168</v>
      </c>
      <c r="G54" s="91"/>
      <c r="K54" s="32"/>
      <c r="L54" s="32"/>
      <c r="M54" s="32"/>
      <c r="N54" s="32"/>
      <c r="O54" s="32"/>
      <c r="P54" s="32"/>
      <c r="Q54" s="32"/>
      <c r="R54" s="97"/>
      <c r="S54" s="32"/>
      <c r="T54" s="32"/>
      <c r="U54" s="32"/>
      <c r="V54" s="32"/>
      <c r="W54" s="32"/>
      <c r="X54" s="97"/>
      <c r="Y54" s="32"/>
      <c r="Z54" s="32"/>
      <c r="AA54" s="32"/>
      <c r="AB54" s="32"/>
      <c r="AC54" s="32">
        <v>1</v>
      </c>
      <c r="AI54" s="32">
        <v>13</v>
      </c>
    </row>
    <row r="55" spans="2:40" x14ac:dyDescent="0.2">
      <c r="B55" s="179" t="s">
        <v>169</v>
      </c>
      <c r="G55" s="91"/>
      <c r="K55" s="32"/>
      <c r="L55" s="32"/>
      <c r="M55" s="32"/>
      <c r="N55" s="32"/>
      <c r="O55" s="32"/>
      <c r="P55" s="32"/>
      <c r="Q55" s="32"/>
      <c r="R55" s="97"/>
      <c r="S55" s="32"/>
      <c r="T55" s="32"/>
      <c r="U55" s="32"/>
      <c r="V55" s="32"/>
      <c r="W55" s="32"/>
      <c r="X55" s="97"/>
      <c r="Y55" s="32"/>
      <c r="Z55" s="32"/>
      <c r="AA55" s="32"/>
      <c r="AB55" s="32"/>
      <c r="AC55" s="32">
        <v>12</v>
      </c>
      <c r="AI55" s="32">
        <v>24</v>
      </c>
    </row>
    <row r="56" spans="2:40" s="2" customFormat="1" x14ac:dyDescent="0.2">
      <c r="B56" s="189" t="s">
        <v>194</v>
      </c>
      <c r="C56" s="190"/>
      <c r="D56" s="191"/>
      <c r="E56" s="190"/>
      <c r="F56" s="1624"/>
      <c r="G56" s="1625"/>
      <c r="H56" s="1624"/>
      <c r="I56" s="1624"/>
      <c r="J56" s="1624"/>
      <c r="K56" s="280">
        <f>K44+K47+K50+K53</f>
        <v>0</v>
      </c>
      <c r="L56" s="280"/>
      <c r="M56" s="280">
        <f>SUM(M44:M52)</f>
        <v>0</v>
      </c>
      <c r="N56" s="280"/>
      <c r="O56" s="280">
        <f>SUM(O44:O52)</f>
        <v>0</v>
      </c>
      <c r="P56" s="280">
        <f>SUM(P44:P52)</f>
        <v>0</v>
      </c>
      <c r="Q56" s="280">
        <f>Q44+Q47+Q50+Q53</f>
        <v>0</v>
      </c>
      <c r="R56" s="280"/>
      <c r="S56" s="280">
        <f>SUM(S44:S52)</f>
        <v>0</v>
      </c>
      <c r="T56" s="280"/>
      <c r="U56" s="280">
        <f>SUM(U44:U52)</f>
        <v>0</v>
      </c>
      <c r="V56" s="280">
        <f>SUM(V44:V52)</f>
        <v>0</v>
      </c>
      <c r="W56" s="280">
        <f>W44+W47+W50+W53</f>
        <v>0</v>
      </c>
      <c r="X56" s="280"/>
      <c r="Y56" s="280">
        <f>SUM(Y44:Y53)</f>
        <v>0</v>
      </c>
      <c r="Z56" s="280"/>
      <c r="AA56" s="280">
        <f>SUM(AA44:AA52)</f>
        <v>0</v>
      </c>
      <c r="AB56" s="280">
        <f>SUM(AB44:AB52)</f>
        <v>0</v>
      </c>
      <c r="AC56" s="280">
        <f>AC44+AC47+AC50+AC53</f>
        <v>0</v>
      </c>
      <c r="AD56" s="280"/>
      <c r="AE56" s="280">
        <f>AE44+AE47+AE50+AE53</f>
        <v>0</v>
      </c>
      <c r="AF56" s="280"/>
      <c r="AG56" s="280">
        <f>AG44+AG47+AG50+AG53</f>
        <v>0</v>
      </c>
      <c r="AH56" s="280">
        <f>AH44+AH47+AH50+AH53</f>
        <v>0</v>
      </c>
      <c r="AI56" s="280">
        <f>AI44+AI47+AI50+AI53</f>
        <v>0</v>
      </c>
      <c r="AJ56" s="280"/>
      <c r="AK56" s="280">
        <f>AK44+AK47+AK50+AK53</f>
        <v>0</v>
      </c>
      <c r="AL56" s="280"/>
      <c r="AM56" s="280">
        <f>AM44+AM47+AM50+AM53</f>
        <v>0</v>
      </c>
      <c r="AN56" s="280">
        <f>AN44+AN47+AN50+AN53</f>
        <v>0</v>
      </c>
    </row>
    <row r="57" spans="2:40" s="2" customFormat="1" x14ac:dyDescent="0.2">
      <c r="B57" s="158"/>
      <c r="D57" s="274"/>
      <c r="F57" s="2314"/>
      <c r="G57" s="2314"/>
      <c r="H57" s="2314"/>
      <c r="I57" s="2314"/>
      <c r="J57" s="2314"/>
      <c r="K57" s="2307"/>
      <c r="L57" s="2307"/>
      <c r="M57" s="2307"/>
      <c r="N57" s="2307"/>
      <c r="O57" s="2307"/>
      <c r="P57" s="2307"/>
      <c r="Q57" s="2307"/>
      <c r="R57" s="2307"/>
      <c r="S57" s="2307"/>
      <c r="T57" s="2307"/>
      <c r="U57" s="2307"/>
      <c r="V57" s="2307"/>
      <c r="W57" s="2307"/>
      <c r="X57" s="2307"/>
      <c r="Y57" s="2307"/>
      <c r="Z57" s="2307"/>
      <c r="AA57" s="2307"/>
      <c r="AB57" s="2307"/>
      <c r="AC57" s="2307"/>
      <c r="AD57" s="2307"/>
      <c r="AE57" s="2307"/>
      <c r="AF57" s="2307"/>
      <c r="AG57" s="2307"/>
      <c r="AH57" s="2307"/>
      <c r="AI57" s="2307"/>
      <c r="AJ57" s="2307"/>
      <c r="AK57" s="2307"/>
      <c r="AL57" s="2307"/>
      <c r="AM57" s="2307"/>
      <c r="AN57" s="2307"/>
    </row>
    <row r="58" spans="2:40" s="2" customFormat="1" x14ac:dyDescent="0.2">
      <c r="B58" s="158"/>
      <c r="D58" s="274"/>
      <c r="F58" s="273"/>
      <c r="G58" s="163"/>
      <c r="H58" s="6"/>
      <c r="I58" s="273"/>
      <c r="J58" s="273"/>
      <c r="K58" s="163"/>
      <c r="L58" s="163"/>
      <c r="M58" s="6"/>
      <c r="N58" s="273"/>
      <c r="O58" s="273"/>
      <c r="P58" s="163"/>
      <c r="Q58" s="163"/>
      <c r="R58" s="163"/>
      <c r="S58" s="6"/>
      <c r="T58" s="273"/>
      <c r="U58" s="273"/>
      <c r="V58" s="163"/>
      <c r="W58" s="163"/>
      <c r="X58" s="163"/>
      <c r="Y58" s="6"/>
      <c r="Z58" s="273"/>
      <c r="AA58" s="273"/>
      <c r="AB58" s="163"/>
      <c r="AC58" s="163"/>
      <c r="AD58" s="163"/>
      <c r="AE58" s="6"/>
      <c r="AF58" s="273"/>
      <c r="AG58" s="273"/>
      <c r="AH58" s="163"/>
      <c r="AI58" s="163"/>
      <c r="AJ58" s="163"/>
      <c r="AK58" s="6"/>
      <c r="AL58" s="273"/>
      <c r="AM58" s="273"/>
      <c r="AN58" s="163"/>
    </row>
    <row r="59" spans="2:40" s="2" customFormat="1" x14ac:dyDescent="0.2">
      <c r="B59" s="158"/>
      <c r="D59" s="274"/>
      <c r="F59" s="1626"/>
      <c r="G59" s="163"/>
      <c r="H59" s="6"/>
      <c r="I59" s="1068"/>
      <c r="J59" s="1068"/>
      <c r="K59" s="163"/>
      <c r="L59" s="163"/>
      <c r="M59" s="6"/>
      <c r="N59" s="1068"/>
      <c r="O59" s="1068"/>
      <c r="P59" s="163"/>
      <c r="Q59" s="271"/>
      <c r="R59" s="163"/>
      <c r="S59" s="6"/>
      <c r="T59" s="1068"/>
      <c r="U59" s="1068"/>
      <c r="V59" s="163"/>
      <c r="W59" s="271"/>
      <c r="X59" s="163"/>
      <c r="Y59" s="6"/>
      <c r="Z59" s="1068"/>
      <c r="AA59" s="1068"/>
      <c r="AB59" s="163"/>
      <c r="AC59" s="271"/>
      <c r="AD59" s="163"/>
      <c r="AE59" s="6"/>
      <c r="AF59" s="1068"/>
      <c r="AG59" s="1068"/>
      <c r="AH59" s="163"/>
      <c r="AI59" s="271"/>
      <c r="AJ59" s="163"/>
      <c r="AK59" s="6"/>
      <c r="AL59" s="1068"/>
      <c r="AM59" s="1068"/>
      <c r="AN59" s="163"/>
    </row>
    <row r="60" spans="2:40" s="2" customFormat="1" x14ac:dyDescent="0.2">
      <c r="B60" s="158"/>
      <c r="D60" s="274"/>
      <c r="G60" s="178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/>
      <c r="AJ60" s="163"/>
      <c r="AK60" s="163"/>
      <c r="AL60" s="163"/>
      <c r="AM60" s="163"/>
      <c r="AN60" s="163"/>
    </row>
    <row r="61" spans="2:40" s="2" customFormat="1" x14ac:dyDescent="0.2">
      <c r="B61" s="158"/>
      <c r="D61" s="274"/>
      <c r="G61" s="178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</row>
    <row r="62" spans="2:40" s="2" customFormat="1" x14ac:dyDescent="0.2">
      <c r="B62" s="158"/>
      <c r="D62" s="274"/>
      <c r="G62" s="178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3"/>
    </row>
    <row r="63" spans="2:40" s="2" customFormat="1" x14ac:dyDescent="0.2">
      <c r="B63" s="158"/>
      <c r="D63" s="274"/>
      <c r="G63" s="178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</row>
    <row r="64" spans="2:40" s="2" customFormat="1" x14ac:dyDescent="0.2">
      <c r="B64" s="158"/>
      <c r="D64" s="274"/>
      <c r="G64" s="178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  <c r="AL64" s="163"/>
      <c r="AM64" s="163"/>
      <c r="AN64" s="163"/>
    </row>
    <row r="65" spans="2:40" s="2" customFormat="1" x14ac:dyDescent="0.2">
      <c r="B65" s="158"/>
      <c r="D65" s="274"/>
      <c r="G65" s="178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</row>
    <row r="67" spans="2:40" s="2" customFormat="1" x14ac:dyDescent="0.2">
      <c r="K67" s="43"/>
    </row>
    <row r="68" spans="2:40" x14ac:dyDescent="0.2">
      <c r="K68" s="2317"/>
      <c r="L68" s="2317"/>
    </row>
    <row r="69" spans="2:40" x14ac:dyDescent="0.2">
      <c r="K69" s="304"/>
      <c r="L69" s="304"/>
    </row>
    <row r="70" spans="2:40" x14ac:dyDescent="0.2">
      <c r="K70" s="2318"/>
      <c r="L70" s="2318"/>
    </row>
    <row r="71" spans="2:40" x14ac:dyDescent="0.2">
      <c r="C71" s="104"/>
      <c r="D71" s="112"/>
      <c r="E71" s="113"/>
      <c r="F71" s="113"/>
      <c r="G71" s="113"/>
    </row>
    <row r="72" spans="2:40" ht="15" x14ac:dyDescent="0.2">
      <c r="B72" s="1575" t="s">
        <v>613</v>
      </c>
      <c r="C72" s="1576"/>
      <c r="D72" s="43">
        <f>'2. &amp; 7. T2 TULOSSUUN. '!I8</f>
        <v>2027</v>
      </c>
      <c r="F72" s="43">
        <f>'2. &amp; 7. T2 TULOSSUUN. '!K8</f>
        <v>2028</v>
      </c>
      <c r="G72" s="43"/>
      <c r="H72" s="43">
        <f>'2. &amp; 7. T2 TULOSSUUN. '!M8</f>
        <v>2029</v>
      </c>
      <c r="I72" s="43"/>
      <c r="J72" s="43">
        <f>'2. &amp; 7. T2 TULOSSUUN. '!O8</f>
        <v>2030</v>
      </c>
      <c r="K72" s="43"/>
    </row>
    <row r="73" spans="2:40" x14ac:dyDescent="0.2">
      <c r="B73" s="1577" t="s">
        <v>614</v>
      </c>
      <c r="C73" s="1578">
        <v>0</v>
      </c>
      <c r="D73" s="2315">
        <f>'5. E1 KUSTANNUKSET '!F47+'5. E1 KUSTANNUKSET '!F50+'5. E1 KUSTANNUKSET '!F54+'5. E1 KUSTANNUKSET '!F55+'5. E1 KUSTANNUKSET '!F56+'5. E1 KUSTANNUKSET '!F57+'5. E1 KUSTANNUKSET '!F58+'5. E1 KUSTANNUKSET '!F59+'5. E1 KUSTANNUKSET '!F60+'5. E1 KUSTANNUKSET '!F64+'5. E1 KUSTANNUKSET '!F65+'5. E1 KUSTANNUKSET '!F66+'5. E1 KUSTANNUKSET '!F68+'5. E1 KUSTANNUKSET '!F69+'5. E1 KUSTANNUKSET '!F74+'5. E1 KUSTANNUKSET '!F87+'5. E1 KUSTANNUKSET '!F88+'5. E1 KUSTANNUKSET '!F95+'5. E1 KUSTANNUKSET '!F97+'5. E1 KUSTANNUKSET '!F98+'5. E1 KUSTANNUKSET '!F100+'5. E1 KUSTANNUKSET '!F101+'5. E1 KUSTANNUKSET '!F102+'5. E1 KUSTANNUKSET '!F109+'5. E1 KUSTANNUKSET '!F110+'5. E1 KUSTANNUKSET '!F117+'5. E1 KUSTANNUKSET '!F118+'5. E1 KUSTANNUKSET '!F121+'5. E1 KUSTANNUKSET '!F123</f>
        <v>0</v>
      </c>
      <c r="E73" s="2316"/>
      <c r="F73" s="2315">
        <f>'5. E1 KUSTANNUKSET '!H47+'5. E1 KUSTANNUKSET '!H50+'5. E1 KUSTANNUKSET '!H54+'5. E1 KUSTANNUKSET '!H55+'5. E1 KUSTANNUKSET '!H56+'5. E1 KUSTANNUKSET '!H57+'5. E1 KUSTANNUKSET '!H58+'5. E1 KUSTANNUKSET '!H59+'5. E1 KUSTANNUKSET '!H60+'5. E1 KUSTANNUKSET '!H64+'5. E1 KUSTANNUKSET '!H65+'5. E1 KUSTANNUKSET '!H66+'5. E1 KUSTANNUKSET '!H68+'5. E1 KUSTANNUKSET '!H69+'5. E1 KUSTANNUKSET '!H74+'5. E1 KUSTANNUKSET '!H87+'5. E1 KUSTANNUKSET '!H88+'5. E1 KUSTANNUKSET '!H95+'5. E1 KUSTANNUKSET '!H97+'5. E1 KUSTANNUKSET '!H98+'5. E1 KUSTANNUKSET '!H100+'5. E1 KUSTANNUKSET '!H101+'5. E1 KUSTANNUKSET '!H102+'5. E1 KUSTANNUKSET '!H109+'5. E1 KUSTANNUKSET '!H110+'5. E1 KUSTANNUKSET '!H117+'5. E1 KUSTANNUKSET '!H118+'5. E1 KUSTANNUKSET '!H121+'5. E1 KUSTANNUKSET '!H123</f>
        <v>0</v>
      </c>
      <c r="G73" s="2316"/>
      <c r="H73" s="2315">
        <f>'5. E1 KUSTANNUKSET '!J47+'5. E1 KUSTANNUKSET '!J50+'5. E1 KUSTANNUKSET '!J54+'5. E1 KUSTANNUKSET '!J55+'5. E1 KUSTANNUKSET '!J56+'5. E1 KUSTANNUKSET '!J57+'5. E1 KUSTANNUKSET '!J58+'5. E1 KUSTANNUKSET '!J59+'5. E1 KUSTANNUKSET '!J60+'5. E1 KUSTANNUKSET '!J64+'5. E1 KUSTANNUKSET '!J65+'5. E1 KUSTANNUKSET '!J66+'5. E1 KUSTANNUKSET '!J68+'5. E1 KUSTANNUKSET '!J69+'5. E1 KUSTANNUKSET '!J74+'5. E1 KUSTANNUKSET '!J87+'5. E1 KUSTANNUKSET '!J88+'5. E1 KUSTANNUKSET '!J95+'5. E1 KUSTANNUKSET '!J97+'5. E1 KUSTANNUKSET '!J98+'5. E1 KUSTANNUKSET '!J100+'5. E1 KUSTANNUKSET '!J101+'5. E1 KUSTANNUKSET '!J102+'5. E1 KUSTANNUKSET '!J109+'5. E1 KUSTANNUKSET '!J110+'5. E1 KUSTANNUKSET '!J117+'5. E1 KUSTANNUKSET '!J118+'5. E1 KUSTANNUKSET '!J121+'5. E1 KUSTANNUKSET '!J123</f>
        <v>0</v>
      </c>
      <c r="I73" s="2316"/>
      <c r="J73" s="2315">
        <f>'5. E1 KUSTANNUKSET '!L47+'5. E1 KUSTANNUKSET '!L50+'5. E1 KUSTANNUKSET '!L54+'5. E1 KUSTANNUKSET '!L55+'5. E1 KUSTANNUKSET '!L56+'5. E1 KUSTANNUKSET '!L57+'5. E1 KUSTANNUKSET '!L58+'5. E1 KUSTANNUKSET '!L59+'5. E1 KUSTANNUKSET '!L60+'5. E1 KUSTANNUKSET '!L64+'5. E1 KUSTANNUKSET '!L65+'5. E1 KUSTANNUKSET '!L66+'5. E1 KUSTANNUKSET '!L68+'5. E1 KUSTANNUKSET '!L69+'5. E1 KUSTANNUKSET '!L74+'5. E1 KUSTANNUKSET '!L87+'5. E1 KUSTANNUKSET '!L88+'5. E1 KUSTANNUKSET '!L95+'5. E1 KUSTANNUKSET '!L97+'5. E1 KUSTANNUKSET '!L98+'5. E1 KUSTANNUKSET '!L100+'5. E1 KUSTANNUKSET '!L101+'5. E1 KUSTANNUKSET '!L102+'5. E1 KUSTANNUKSET '!L109+'5. E1 KUSTANNUKSET '!L110+'5. E1 KUSTANNUKSET '!L117+'5. E1 KUSTANNUKSET '!L118+'5. E1 KUSTANNUKSET '!L121+'5. E1 KUSTANNUKSET '!L123</f>
        <v>0</v>
      </c>
      <c r="K73" s="2316"/>
    </row>
    <row r="74" spans="2:40" x14ac:dyDescent="0.2">
      <c r="B74" s="1577" t="s">
        <v>614</v>
      </c>
      <c r="C74" s="1578">
        <v>0.255</v>
      </c>
      <c r="D74" s="2315">
        <f>D73+D73*$C74</f>
        <v>0</v>
      </c>
      <c r="E74" s="2316"/>
      <c r="F74" s="2315">
        <f t="shared" ref="F74" si="28">F73+F73*$C74</f>
        <v>0</v>
      </c>
      <c r="G74" s="2316"/>
      <c r="H74" s="2315">
        <f t="shared" ref="H74" si="29">H73+H73*$C74</f>
        <v>0</v>
      </c>
      <c r="I74" s="2316"/>
      <c r="J74" s="2315">
        <f t="shared" ref="J74" si="30">J73+J73*$C74</f>
        <v>0</v>
      </c>
      <c r="K74" s="2316"/>
    </row>
    <row r="75" spans="2:40" x14ac:dyDescent="0.2">
      <c r="B75" s="1577" t="s">
        <v>620</v>
      </c>
      <c r="C75" s="1578">
        <v>0</v>
      </c>
      <c r="D75" s="2315">
        <f>'5. E1 KUSTANNUKSET '!F105+'5. E1 KUSTANNUKSET '!F80+'5. E1 KUSTANNUKSET '!F82</f>
        <v>0</v>
      </c>
      <c r="E75" s="2316"/>
      <c r="F75" s="2315">
        <f>'5. E1 KUSTANNUKSET '!H105+'5. E1 KUSTANNUKSET '!H80+'5. E1 KUSTANNUKSET '!H82</f>
        <v>0</v>
      </c>
      <c r="G75" s="2316"/>
      <c r="H75" s="2315">
        <f>'5. E1 KUSTANNUKSET '!J105+'5. E1 KUSTANNUKSET '!J80+'5. E1 KUSTANNUKSET '!J82</f>
        <v>0</v>
      </c>
      <c r="I75" s="2316"/>
      <c r="J75" s="2315">
        <f>'5. E1 KUSTANNUKSET '!L105+'5. E1 KUSTANNUKSET '!L80+'5. E1 KUSTANNUKSET '!L82</f>
        <v>0</v>
      </c>
      <c r="K75" s="2316"/>
    </row>
    <row r="76" spans="2:40" x14ac:dyDescent="0.2">
      <c r="B76" s="1577" t="s">
        <v>621</v>
      </c>
      <c r="C76" s="1578">
        <v>0.14000000000000001</v>
      </c>
      <c r="D76" s="2315">
        <f>D75+D75*$C76</f>
        <v>0</v>
      </c>
      <c r="E76" s="2316"/>
      <c r="F76" s="2315">
        <f>F75+F75*$C76</f>
        <v>0</v>
      </c>
      <c r="G76" s="2316"/>
      <c r="H76" s="2315">
        <f>H75+H75*$C76</f>
        <v>0</v>
      </c>
      <c r="I76" s="2316"/>
      <c r="J76" s="2315">
        <f>J75+J75*$C76</f>
        <v>0</v>
      </c>
      <c r="K76" s="2316"/>
    </row>
    <row r="77" spans="2:40" x14ac:dyDescent="0.2">
      <c r="B77" s="1577" t="s">
        <v>615</v>
      </c>
      <c r="C77" s="1578">
        <v>0</v>
      </c>
      <c r="D77" s="2315">
        <f>'5. E1 KUSTANNUKSET '!F106</f>
        <v>0</v>
      </c>
      <c r="E77" s="2316"/>
      <c r="F77" s="2315">
        <f>'5. E1 KUSTANNUKSET '!H106</f>
        <v>0</v>
      </c>
      <c r="G77" s="2316"/>
      <c r="H77" s="2315">
        <f>'5. E1 KUSTANNUKSET '!J106</f>
        <v>0</v>
      </c>
      <c r="I77" s="2316"/>
      <c r="J77" s="2315">
        <f>'5. E1 KUSTANNUKSET '!L106</f>
        <v>0</v>
      </c>
      <c r="K77" s="2316"/>
    </row>
    <row r="78" spans="2:40" x14ac:dyDescent="0.2">
      <c r="B78" s="1577" t="s">
        <v>615</v>
      </c>
      <c r="C78" s="1578">
        <v>0.1</v>
      </c>
      <c r="D78" s="2315">
        <f>D77+D77*$C78</f>
        <v>0</v>
      </c>
      <c r="E78" s="2316"/>
      <c r="F78" s="2315">
        <f>F77+F77*$C78</f>
        <v>0</v>
      </c>
      <c r="G78" s="2316"/>
      <c r="H78" s="2315">
        <f>H77+H77*$C78</f>
        <v>0</v>
      </c>
      <c r="I78" s="2316"/>
      <c r="J78" s="2315">
        <f>J77+J77*$C78</f>
        <v>0</v>
      </c>
      <c r="K78" s="2316"/>
    </row>
    <row r="79" spans="2:40" x14ac:dyDescent="0.2">
      <c r="B79" s="1582" t="s">
        <v>616</v>
      </c>
      <c r="C79" s="1583"/>
      <c r="D79" s="2323">
        <f>D74+D76+D78</f>
        <v>0</v>
      </c>
      <c r="E79" s="2324"/>
      <c r="F79" s="2323">
        <f>F74+F76+F78</f>
        <v>0</v>
      </c>
      <c r="G79" s="2324"/>
      <c r="H79" s="2323">
        <f>H74+H76+H78</f>
        <v>0</v>
      </c>
      <c r="I79" s="2324"/>
      <c r="J79" s="2323">
        <f>J74+J76+J78</f>
        <v>0</v>
      </c>
      <c r="K79" s="2324"/>
    </row>
    <row r="80" spans="2:40" x14ac:dyDescent="0.2">
      <c r="B80" s="1582" t="s">
        <v>619</v>
      </c>
      <c r="C80" s="1583"/>
      <c r="D80" s="2323">
        <f>D73+D75+D77</f>
        <v>0</v>
      </c>
      <c r="E80" s="2324"/>
      <c r="F80" s="2323">
        <f t="shared" ref="F80" si="31">F73+F75+F77</f>
        <v>0</v>
      </c>
      <c r="G80" s="2324"/>
      <c r="H80" s="2323">
        <f t="shared" ref="H80" si="32">H73+H75+H77</f>
        <v>0</v>
      </c>
      <c r="I80" s="2324"/>
      <c r="J80" s="2323">
        <f t="shared" ref="J80" si="33">J73+J75+J77</f>
        <v>0</v>
      </c>
      <c r="K80" s="2324"/>
    </row>
    <row r="81" spans="2:17" x14ac:dyDescent="0.2">
      <c r="B81" s="1584" t="s">
        <v>617</v>
      </c>
      <c r="C81" s="1583"/>
      <c r="D81" s="2319">
        <f>IF(D80=0,0,D82/D80)</f>
        <v>0</v>
      </c>
      <c r="E81" s="2320"/>
      <c r="F81" s="2319">
        <f t="shared" ref="F81" si="34">IF(F80=0,0,F82/F80)</f>
        <v>0</v>
      </c>
      <c r="G81" s="2320"/>
      <c r="H81" s="2319">
        <f t="shared" ref="H81" si="35">IF(H80=0,0,H82/H80)</f>
        <v>0</v>
      </c>
      <c r="I81" s="2320"/>
      <c r="J81" s="2319">
        <f t="shared" ref="J81" si="36">IF(J80=0,0,J82/J80)</f>
        <v>0</v>
      </c>
      <c r="K81" s="2320"/>
    </row>
    <row r="82" spans="2:17" x14ac:dyDescent="0.2">
      <c r="B82" s="1584" t="s">
        <v>618</v>
      </c>
      <c r="C82" s="1583"/>
      <c r="D82" s="2312">
        <f>D74+D76+D78-D73-D75-D77</f>
        <v>0</v>
      </c>
      <c r="E82" s="2313"/>
      <c r="F82" s="2312">
        <f t="shared" ref="F82" si="37">F74+F76+F78-F73-F75-F77</f>
        <v>0</v>
      </c>
      <c r="G82" s="2313"/>
      <c r="H82" s="2312">
        <f t="shared" ref="H82" si="38">H74+H76+H78-H73-H75-H77</f>
        <v>0</v>
      </c>
      <c r="I82" s="2313"/>
      <c r="J82" s="2312">
        <f t="shared" ref="J82" si="39">J74+J76+J78-J73-J75-J77</f>
        <v>0</v>
      </c>
      <c r="K82" s="2313"/>
    </row>
    <row r="83" spans="2:17" x14ac:dyDescent="0.2">
      <c r="B83" s="104"/>
      <c r="C83" s="1"/>
      <c r="D83" s="111"/>
      <c r="E83" s="32"/>
      <c r="F83" s="32"/>
      <c r="G83" s="32"/>
    </row>
    <row r="84" spans="2:17" x14ac:dyDescent="0.2">
      <c r="B84" s="1581" t="s">
        <v>377</v>
      </c>
      <c r="C84" s="112"/>
      <c r="D84" s="2321">
        <f>'5. E1 KUSTANNUKSET '!F48+'5. E1 KUSTANNUKSET '!F49+'5. E1 KUSTANNUKSET '!F51+'5. E1 KUSTANNUKSET '!F61+'5. E1 KUSTANNUKSET '!F62+'5. E1 KUSTANNUKSET '!F67+'5. E1 KUSTANNUKSET '!F81+'5. E1 KUSTANNUKSET '!F83+'5. E1 KUSTANNUKSET '!F86+'5. E1 KUSTANNUKSET '!F96+'5. E1 KUSTANNUKSET '!F103+'5. E1 KUSTANNUKSET '!F107+'5. E1 KUSTANNUKSET '!F111+'5. E1 KUSTANNUKSET '!F112+'5. E1 KUSTANNUKSET '!F113+'5. E1 KUSTANNUKSET '!F119+'5. E1 KUSTANNUKSET '!F124</f>
        <v>0</v>
      </c>
      <c r="E84" s="2322"/>
      <c r="F84" s="2321">
        <f>'5. E1 KUSTANNUKSET '!H48+'5. E1 KUSTANNUKSET '!H49+'5. E1 KUSTANNUKSET '!H51+'5. E1 KUSTANNUKSET '!H61+'5. E1 KUSTANNUKSET '!H62+'5. E1 KUSTANNUKSET '!H67+'5. E1 KUSTANNUKSET '!H81+'5. E1 KUSTANNUKSET '!H83+'5. E1 KUSTANNUKSET '!H86+'5. E1 KUSTANNUKSET '!H96+'5. E1 KUSTANNUKSET '!H103+'5. E1 KUSTANNUKSET '!H107+'5. E1 KUSTANNUKSET '!H111+'5. E1 KUSTANNUKSET '!H112+'5. E1 KUSTANNUKSET '!H113+'5. E1 KUSTANNUKSET '!H119+'5. E1 KUSTANNUKSET '!H124</f>
        <v>0</v>
      </c>
      <c r="G84" s="2322"/>
      <c r="H84" s="2321">
        <f>'5. E1 KUSTANNUKSET '!J48+'5. E1 KUSTANNUKSET '!J49+'5. E1 KUSTANNUKSET '!J51+'5. E1 KUSTANNUKSET '!J61+'5. E1 KUSTANNUKSET '!J62+'5. E1 KUSTANNUKSET '!J67+'5. E1 KUSTANNUKSET '!J81+'5. E1 KUSTANNUKSET '!J83+'5. E1 KUSTANNUKSET '!J86+'5. E1 KUSTANNUKSET '!J96+'5. E1 KUSTANNUKSET '!J103+'5. E1 KUSTANNUKSET '!J107+'5. E1 KUSTANNUKSET '!J111+'5. E1 KUSTANNUKSET '!J112+'5. E1 KUSTANNUKSET '!J113+'5. E1 KUSTANNUKSET '!J119+'5. E1 KUSTANNUKSET '!J124</f>
        <v>0</v>
      </c>
      <c r="I84" s="2322"/>
      <c r="J84" s="2321">
        <f>'5. E1 KUSTANNUKSET '!L48+'5. E1 KUSTANNUKSET '!L49+'5. E1 KUSTANNUKSET '!L51+'5. E1 KUSTANNUKSET '!L61+'5. E1 KUSTANNUKSET '!L62+'5. E1 KUSTANNUKSET '!L67+'5. E1 KUSTANNUKSET '!L81+'5. E1 KUSTANNUKSET '!L83+'5. E1 KUSTANNUKSET '!L86+'5. E1 KUSTANNUKSET '!L96+'5. E1 KUSTANNUKSET '!L103+'5. E1 KUSTANNUKSET '!L107+'5. E1 KUSTANNUKSET '!L111+'5. E1 KUSTANNUKSET '!L112+'5. E1 KUSTANNUKSET '!L113+'5. E1 KUSTANNUKSET '!L119+'5. E1 KUSTANNUKSET '!L124</f>
        <v>0</v>
      </c>
      <c r="K84" s="2322"/>
    </row>
    <row r="85" spans="2:17" x14ac:dyDescent="0.2">
      <c r="B85" s="104"/>
      <c r="C85" s="112"/>
      <c r="D85" s="113"/>
      <c r="E85" s="113"/>
      <c r="F85" s="113"/>
      <c r="Q85">
        <v>0</v>
      </c>
    </row>
    <row r="86" spans="2:17" s="58" customFormat="1" x14ac:dyDescent="0.2">
      <c r="C86" s="118"/>
      <c r="D86" s="118"/>
      <c r="E86" s="118"/>
      <c r="F86" s="118"/>
    </row>
    <row r="87" spans="2:17" x14ac:dyDescent="0.2">
      <c r="B87" s="103"/>
      <c r="C87" s="109"/>
      <c r="D87" s="109"/>
      <c r="E87" s="109"/>
      <c r="F87" s="109"/>
    </row>
    <row r="88" spans="2:17" x14ac:dyDescent="0.2">
      <c r="B88" s="1"/>
      <c r="C88" s="108"/>
      <c r="D88" s="108"/>
      <c r="E88" s="108"/>
      <c r="F88" s="108"/>
    </row>
    <row r="89" spans="2:17" x14ac:dyDescent="0.2">
      <c r="B89" s="1"/>
      <c r="C89" s="112"/>
      <c r="D89" s="112"/>
      <c r="E89" s="112"/>
      <c r="F89" s="112"/>
    </row>
    <row r="90" spans="2:17" x14ac:dyDescent="0.2">
      <c r="B90" s="1"/>
      <c r="C90" s="112"/>
      <c r="D90" s="112"/>
      <c r="E90" s="112"/>
      <c r="F90" s="112"/>
    </row>
    <row r="91" spans="2:17" x14ac:dyDescent="0.2">
      <c r="B91" s="104"/>
      <c r="D91"/>
    </row>
    <row r="92" spans="2:17" x14ac:dyDescent="0.2">
      <c r="B92" s="104"/>
      <c r="C92" s="113"/>
      <c r="D92" s="113"/>
      <c r="E92" s="113"/>
      <c r="F92" s="113"/>
    </row>
    <row r="93" spans="2:17" x14ac:dyDescent="0.2">
      <c r="B93" s="104"/>
      <c r="C93" s="112"/>
      <c r="D93" s="113"/>
      <c r="E93" s="113"/>
      <c r="F93" s="113"/>
    </row>
    <row r="94" spans="2:17" x14ac:dyDescent="0.2">
      <c r="B94" s="105"/>
      <c r="C94" s="112"/>
      <c r="D94" s="113"/>
      <c r="E94" s="113"/>
      <c r="F94" s="113"/>
    </row>
    <row r="95" spans="2:17" x14ac:dyDescent="0.2">
      <c r="B95" s="104"/>
      <c r="C95" s="112"/>
      <c r="D95" s="113"/>
      <c r="E95" s="113"/>
      <c r="F95" s="113"/>
    </row>
    <row r="96" spans="2:17" x14ac:dyDescent="0.2">
      <c r="B96" s="104"/>
      <c r="C96" s="112"/>
      <c r="D96" s="113"/>
      <c r="E96" s="113"/>
      <c r="F96" s="113"/>
    </row>
    <row r="97" spans="2:6" x14ac:dyDescent="0.2">
      <c r="B97" s="102"/>
      <c r="C97" s="112"/>
      <c r="D97" s="113"/>
      <c r="E97" s="113"/>
      <c r="F97" s="113"/>
    </row>
    <row r="98" spans="2:6" s="2" customFormat="1" x14ac:dyDescent="0.2">
      <c r="C98" s="2311"/>
      <c r="D98" s="2311"/>
      <c r="E98" s="117"/>
      <c r="F98" s="117"/>
    </row>
    <row r="99" spans="2:6" x14ac:dyDescent="0.2">
      <c r="B99" s="103"/>
      <c r="C99" s="109"/>
      <c r="D99" s="109"/>
      <c r="E99" s="109"/>
      <c r="F99" s="109"/>
    </row>
    <row r="100" spans="2:6" x14ac:dyDescent="0.2">
      <c r="B100" s="1"/>
      <c r="C100" s="108"/>
      <c r="D100" s="108"/>
      <c r="E100" s="108"/>
      <c r="F100" s="108"/>
    </row>
    <row r="101" spans="2:6" x14ac:dyDescent="0.2">
      <c r="B101" s="1"/>
      <c r="C101" s="108"/>
      <c r="D101" s="108"/>
      <c r="E101" s="108"/>
      <c r="F101" s="108"/>
    </row>
    <row r="102" spans="2:6" x14ac:dyDescent="0.2">
      <c r="B102" s="1"/>
      <c r="C102" s="114"/>
      <c r="D102" s="114"/>
      <c r="E102" s="114"/>
      <c r="F102" s="114"/>
    </row>
    <row r="103" spans="2:6" x14ac:dyDescent="0.2">
      <c r="B103" s="1"/>
      <c r="C103" s="110"/>
      <c r="D103" s="110"/>
      <c r="E103" s="110"/>
      <c r="F103" s="110"/>
    </row>
    <row r="104" spans="2:6" x14ac:dyDescent="0.2">
      <c r="B104" s="1"/>
      <c r="C104" s="111"/>
      <c r="D104" s="111"/>
      <c r="E104" s="111"/>
      <c r="F104" s="111"/>
    </row>
    <row r="105" spans="2:6" x14ac:dyDescent="0.2">
      <c r="B105" s="1"/>
      <c r="C105" s="111"/>
      <c r="D105" s="111"/>
      <c r="E105" s="111"/>
      <c r="F105" s="111"/>
    </row>
    <row r="106" spans="2:6" x14ac:dyDescent="0.2">
      <c r="B106" s="1"/>
      <c r="C106" s="16"/>
      <c r="D106" s="16"/>
      <c r="E106" s="16"/>
      <c r="F106" s="16"/>
    </row>
    <row r="107" spans="2:6" x14ac:dyDescent="0.2">
      <c r="B107" s="1"/>
      <c r="C107" s="115"/>
      <c r="D107" s="115"/>
      <c r="E107" s="115"/>
      <c r="F107" s="115"/>
    </row>
    <row r="108" spans="2:6" x14ac:dyDescent="0.2">
      <c r="B108" s="2"/>
      <c r="C108" s="116"/>
      <c r="D108" s="116"/>
      <c r="E108" s="116"/>
      <c r="F108" s="116"/>
    </row>
    <row r="109" spans="2:6" x14ac:dyDescent="0.2">
      <c r="B109" s="104"/>
      <c r="D109"/>
    </row>
    <row r="110" spans="2:6" x14ac:dyDescent="0.2">
      <c r="B110" s="104"/>
      <c r="C110" s="112"/>
      <c r="D110" s="112"/>
      <c r="E110" s="112"/>
      <c r="F110" s="112"/>
    </row>
    <row r="111" spans="2:6" x14ac:dyDescent="0.2">
      <c r="B111" s="104"/>
      <c r="C111" s="112"/>
      <c r="D111" s="113"/>
      <c r="E111" s="113"/>
      <c r="F111" s="113"/>
    </row>
    <row r="112" spans="2:6" x14ac:dyDescent="0.2">
      <c r="B112" s="106"/>
      <c r="C112" s="112"/>
      <c r="D112" s="113"/>
      <c r="E112" s="113"/>
      <c r="F112" s="113"/>
    </row>
    <row r="113" spans="2:6" x14ac:dyDescent="0.2">
      <c r="B113" s="107"/>
      <c r="C113" s="116"/>
      <c r="D113" s="116"/>
      <c r="E113" s="116"/>
      <c r="F113" s="116"/>
    </row>
    <row r="114" spans="2:6" x14ac:dyDescent="0.2">
      <c r="B114" s="104"/>
      <c r="C114" s="113"/>
      <c r="D114" s="113"/>
      <c r="E114" s="113"/>
      <c r="F114" s="113"/>
    </row>
    <row r="115" spans="2:6" x14ac:dyDescent="0.2">
      <c r="B115" s="107"/>
      <c r="C115" s="116"/>
      <c r="D115" s="116"/>
      <c r="E115" s="116"/>
      <c r="F115" s="116"/>
    </row>
  </sheetData>
  <sheetProtection algorithmName="SHA-512" hashValue="VKjzF01R/EijcZpbaO6NeYOEFiJwMANyFJGP8Cnat//vibt5EWuNBgMjweJA30J2504xXE84gD5bUfaapRqEyQ==" saltValue="JiP2XRVzKpgeDPDiOdwzpQ==" spinCount="100000" sheet="1" objects="1" scenarios="1" selectLockedCells="1" selectUnlockedCells="1"/>
  <mergeCells count="77">
    <mergeCell ref="D84:E84"/>
    <mergeCell ref="F84:G84"/>
    <mergeCell ref="H84:I84"/>
    <mergeCell ref="J84:K84"/>
    <mergeCell ref="D79:E79"/>
    <mergeCell ref="D80:E80"/>
    <mergeCell ref="F79:G79"/>
    <mergeCell ref="H79:I79"/>
    <mergeCell ref="J79:K79"/>
    <mergeCell ref="F80:G80"/>
    <mergeCell ref="H80:I80"/>
    <mergeCell ref="J80:K80"/>
    <mergeCell ref="H77:I77"/>
    <mergeCell ref="J77:K77"/>
    <mergeCell ref="D78:E78"/>
    <mergeCell ref="F78:G78"/>
    <mergeCell ref="H78:I78"/>
    <mergeCell ref="J78:K78"/>
    <mergeCell ref="K70:L70"/>
    <mergeCell ref="D81:E81"/>
    <mergeCell ref="F81:G81"/>
    <mergeCell ref="H81:I81"/>
    <mergeCell ref="J81:K81"/>
    <mergeCell ref="J74:K74"/>
    <mergeCell ref="D76:E76"/>
    <mergeCell ref="D75:E75"/>
    <mergeCell ref="F76:G76"/>
    <mergeCell ref="H76:I76"/>
    <mergeCell ref="J76:K76"/>
    <mergeCell ref="F75:G75"/>
    <mergeCell ref="H75:I75"/>
    <mergeCell ref="J75:K75"/>
    <mergeCell ref="D77:E77"/>
    <mergeCell ref="F77:G77"/>
    <mergeCell ref="Q4:V4"/>
    <mergeCell ref="W4:AB4"/>
    <mergeCell ref="W57:AB57"/>
    <mergeCell ref="K57:P57"/>
    <mergeCell ref="K38:P38"/>
    <mergeCell ref="Q39:V39"/>
    <mergeCell ref="C98:D98"/>
    <mergeCell ref="F4:J4"/>
    <mergeCell ref="F82:G82"/>
    <mergeCell ref="J82:K82"/>
    <mergeCell ref="F38:J38"/>
    <mergeCell ref="D82:E82"/>
    <mergeCell ref="F57:J57"/>
    <mergeCell ref="H82:I82"/>
    <mergeCell ref="D73:E73"/>
    <mergeCell ref="F73:G73"/>
    <mergeCell ref="H73:I73"/>
    <mergeCell ref="J73:K73"/>
    <mergeCell ref="K68:L68"/>
    <mergeCell ref="D74:E74"/>
    <mergeCell ref="F74:G74"/>
    <mergeCell ref="H74:I74"/>
    <mergeCell ref="K3:P3"/>
    <mergeCell ref="K4:P4"/>
    <mergeCell ref="F39:J39"/>
    <mergeCell ref="F3:J3"/>
    <mergeCell ref="K39:P39"/>
    <mergeCell ref="AI3:AN3"/>
    <mergeCell ref="AI4:AN4"/>
    <mergeCell ref="Q3:V3"/>
    <mergeCell ref="W3:AB3"/>
    <mergeCell ref="Q57:V57"/>
    <mergeCell ref="AC57:AH57"/>
    <mergeCell ref="AI57:AN57"/>
    <mergeCell ref="AC39:AH39"/>
    <mergeCell ref="AI39:AN39"/>
    <mergeCell ref="Q38:V38"/>
    <mergeCell ref="W38:AB38"/>
    <mergeCell ref="AC38:AH38"/>
    <mergeCell ref="AI38:AN38"/>
    <mergeCell ref="AC3:AH3"/>
    <mergeCell ref="AC4:AH4"/>
    <mergeCell ref="W39:AB39"/>
  </mergeCells>
  <pageMargins left="0.7" right="0.7" top="0.75" bottom="0.75" header="0.3" footer="0.3"/>
  <pageSetup paperSize="9" orientation="portrait" verticalDpi="4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ul1">
    <tabColor rgb="FF0152A1"/>
  </sheetPr>
  <dimension ref="A1:T80"/>
  <sheetViews>
    <sheetView showGridLines="0" showZeros="0" zoomScale="110" zoomScaleNormal="110" workbookViewId="0">
      <selection activeCell="B7" sqref="B7:C7"/>
    </sheetView>
  </sheetViews>
  <sheetFormatPr defaultRowHeight="12.75" x14ac:dyDescent="0.2"/>
  <cols>
    <col min="1" max="1" width="8.7109375" customWidth="1"/>
    <col min="2" max="2" width="3.7109375" style="33" customWidth="1"/>
    <col min="3" max="3" width="45.28515625" customWidth="1"/>
    <col min="4" max="8" width="11" customWidth="1"/>
    <col min="9" max="9" width="5.140625" customWidth="1"/>
    <col min="10" max="10" width="10.7109375" style="33" customWidth="1"/>
    <col min="11" max="11" width="10.7109375" customWidth="1"/>
    <col min="20" max="20" width="7.7109375" customWidth="1"/>
  </cols>
  <sheetData>
    <row r="1" spans="1:20" ht="15" x14ac:dyDescent="0.25">
      <c r="B1" s="74" t="s">
        <v>0</v>
      </c>
      <c r="I1" s="53"/>
    </row>
    <row r="2" spans="1:20" ht="4.5" customHeight="1" x14ac:dyDescent="0.2">
      <c r="E2" s="54" t="s">
        <v>0</v>
      </c>
    </row>
    <row r="3" spans="1:20" ht="14.25" customHeight="1" x14ac:dyDescent="0.25">
      <c r="A3" s="1365" t="s">
        <v>535</v>
      </c>
      <c r="C3" s="19" t="s">
        <v>60</v>
      </c>
      <c r="E3" s="1597" t="s">
        <v>51</v>
      </c>
      <c r="J3" s="1809"/>
      <c r="K3" s="1809"/>
      <c r="N3" s="19" t="s">
        <v>60</v>
      </c>
    </row>
    <row r="4" spans="1:20" ht="14.25" customHeight="1" x14ac:dyDescent="0.2">
      <c r="C4" s="174" t="s">
        <v>0</v>
      </c>
      <c r="E4" s="1598">
        <v>0</v>
      </c>
      <c r="F4" s="1595"/>
      <c r="G4" s="72"/>
    </row>
    <row r="5" spans="1:20" ht="7.5" customHeight="1" x14ac:dyDescent="0.25">
      <c r="E5" s="1811"/>
      <c r="F5" s="1812"/>
      <c r="G5" s="33"/>
      <c r="H5" s="19"/>
    </row>
    <row r="6" spans="1:20" x14ac:dyDescent="0.2">
      <c r="B6" s="41" t="s">
        <v>537</v>
      </c>
      <c r="C6" s="57"/>
      <c r="D6" s="57"/>
      <c r="E6" s="1599" t="s">
        <v>739</v>
      </c>
      <c r="F6" s="452"/>
      <c r="G6" s="452"/>
      <c r="H6" s="46"/>
      <c r="I6" s="57"/>
      <c r="J6" s="1500" t="s">
        <v>522</v>
      </c>
      <c r="K6" s="1193"/>
      <c r="L6" s="1193"/>
      <c r="M6" s="1193"/>
      <c r="N6" s="1193"/>
      <c r="O6" s="1193"/>
      <c r="P6" s="1193"/>
      <c r="Q6" s="1193"/>
      <c r="R6" s="1193"/>
      <c r="S6" s="1193"/>
      <c r="T6" s="1194"/>
    </row>
    <row r="7" spans="1:20" s="46" customFormat="1" ht="14.25" customHeight="1" x14ac:dyDescent="0.2">
      <c r="B7" s="1802">
        <v>0</v>
      </c>
      <c r="C7" s="1802"/>
      <c r="D7" s="506"/>
      <c r="E7" s="1817"/>
      <c r="F7" s="1818"/>
      <c r="G7" s="1818"/>
      <c r="H7" s="1818"/>
      <c r="J7" s="341"/>
      <c r="K7" s="286"/>
      <c r="L7" s="286"/>
      <c r="M7" s="286"/>
      <c r="N7" s="286"/>
      <c r="O7" s="286"/>
      <c r="P7" s="286"/>
      <c r="Q7" s="286"/>
      <c r="R7" s="286"/>
      <c r="S7" s="286"/>
      <c r="T7" s="422"/>
    </row>
    <row r="8" spans="1:20" x14ac:dyDescent="0.2">
      <c r="B8" s="1249" t="s">
        <v>538</v>
      </c>
      <c r="C8" s="56"/>
      <c r="D8" s="57"/>
      <c r="E8" s="1600" t="s">
        <v>740</v>
      </c>
      <c r="F8" s="230"/>
      <c r="G8" s="230"/>
      <c r="H8" s="1248"/>
      <c r="I8" s="58"/>
      <c r="J8" s="341"/>
      <c r="K8" s="286"/>
      <c r="L8" s="286"/>
      <c r="M8" s="286"/>
      <c r="N8" s="286"/>
      <c r="O8" s="286"/>
      <c r="P8" s="286"/>
      <c r="Q8" s="286"/>
      <c r="R8" s="286"/>
      <c r="S8" s="286"/>
      <c r="T8" s="422"/>
    </row>
    <row r="9" spans="1:20" s="46" customFormat="1" ht="14.25" customHeight="1" x14ac:dyDescent="0.2">
      <c r="B9" s="1802">
        <v>0</v>
      </c>
      <c r="C9" s="1802"/>
      <c r="D9" s="1803"/>
      <c r="E9" s="1601"/>
      <c r="F9" s="1602"/>
      <c r="G9" s="1602"/>
      <c r="H9" s="1596"/>
      <c r="I9" s="65"/>
      <c r="J9" s="341"/>
      <c r="K9" s="286"/>
      <c r="L9" s="286"/>
      <c r="M9" s="286"/>
      <c r="N9" s="286"/>
      <c r="O9" s="286"/>
      <c r="P9" s="286"/>
      <c r="Q9" s="286"/>
      <c r="R9" s="286"/>
      <c r="S9" s="286"/>
      <c r="T9" s="422"/>
    </row>
    <row r="10" spans="1:20" s="2" customFormat="1" x14ac:dyDescent="0.2">
      <c r="A10"/>
      <c r="B10" s="1249" t="s">
        <v>539</v>
      </c>
      <c r="C10" s="56"/>
      <c r="D10" s="57"/>
      <c r="E10" s="1823" t="s">
        <v>540</v>
      </c>
      <c r="F10" s="1824"/>
      <c r="G10" s="1824"/>
      <c r="H10" s="1824"/>
      <c r="J10" s="341"/>
      <c r="K10" s="286"/>
      <c r="L10" s="286"/>
      <c r="M10" s="286"/>
      <c r="N10" s="286"/>
      <c r="O10" s="286"/>
      <c r="P10" s="286"/>
      <c r="Q10" s="286"/>
      <c r="R10" s="286"/>
      <c r="S10" s="286"/>
      <c r="T10" s="422"/>
    </row>
    <row r="11" spans="1:20" s="46" customFormat="1" ht="14.25" customHeight="1" x14ac:dyDescent="0.2">
      <c r="B11" s="1804"/>
      <c r="C11" s="1805"/>
      <c r="D11" s="1806"/>
      <c r="E11" s="1821"/>
      <c r="F11" s="1822"/>
      <c r="G11" s="1822"/>
      <c r="H11" s="1822"/>
      <c r="I11" s="66"/>
      <c r="J11" s="341"/>
      <c r="K11" s="286"/>
      <c r="L11" s="286"/>
      <c r="M11" s="286"/>
      <c r="N11" s="286"/>
      <c r="O11" s="286"/>
      <c r="P11" s="286"/>
      <c r="Q11" s="286"/>
      <c r="R11" s="286"/>
      <c r="S11" s="286"/>
      <c r="T11" s="422"/>
    </row>
    <row r="12" spans="1:20" ht="14.25" customHeight="1" x14ac:dyDescent="0.2">
      <c r="B12" s="1805"/>
      <c r="C12" s="1805"/>
      <c r="D12" s="1806"/>
      <c r="E12" s="1825" t="s">
        <v>541</v>
      </c>
      <c r="F12" s="1826"/>
      <c r="G12" s="1826"/>
      <c r="H12" s="1826"/>
      <c r="J12" s="341"/>
      <c r="K12" s="286"/>
      <c r="L12" s="286"/>
      <c r="M12" s="286"/>
      <c r="N12" s="286"/>
      <c r="O12" s="286"/>
      <c r="P12" s="286"/>
      <c r="Q12" s="286"/>
      <c r="R12" s="286"/>
      <c r="S12" s="286"/>
      <c r="T12" s="422"/>
    </row>
    <row r="13" spans="1:20" ht="14.25" customHeight="1" x14ac:dyDescent="0.25">
      <c r="A13" s="46"/>
      <c r="B13" s="1807"/>
      <c r="C13" s="1807"/>
      <c r="D13" s="1808"/>
      <c r="E13" s="1827"/>
      <c r="F13" s="1828"/>
      <c r="G13" s="1828"/>
      <c r="H13" s="1828"/>
      <c r="I13" s="59"/>
      <c r="J13" s="341"/>
      <c r="K13" s="286"/>
      <c r="L13" s="286"/>
      <c r="M13" s="286"/>
      <c r="N13" s="286"/>
      <c r="O13" s="286"/>
      <c r="P13" s="286"/>
      <c r="Q13" s="286"/>
      <c r="R13" s="286"/>
      <c r="S13" s="286"/>
      <c r="T13" s="422"/>
    </row>
    <row r="14" spans="1:20" ht="13.9" customHeight="1" x14ac:dyDescent="0.2">
      <c r="A14" s="2"/>
      <c r="C14" s="229"/>
      <c r="J14" s="341"/>
      <c r="K14" s="286"/>
      <c r="L14" s="286"/>
      <c r="M14" s="286"/>
      <c r="N14" s="286"/>
      <c r="O14" s="286"/>
      <c r="P14" s="286"/>
      <c r="Q14" s="286"/>
      <c r="R14" s="286"/>
      <c r="S14" s="286"/>
      <c r="T14" s="422"/>
    </row>
    <row r="15" spans="1:20" ht="13.15" customHeight="1" x14ac:dyDescent="0.2">
      <c r="B15" s="1813" t="s">
        <v>140</v>
      </c>
      <c r="C15" s="1814"/>
      <c r="D15" s="1250" t="s">
        <v>67</v>
      </c>
      <c r="E15" s="1251" t="s">
        <v>55</v>
      </c>
      <c r="F15" s="1251" t="s">
        <v>57</v>
      </c>
      <c r="G15" s="1251" t="s">
        <v>195</v>
      </c>
      <c r="H15" s="1819" t="s">
        <v>132</v>
      </c>
      <c r="I15" s="55"/>
      <c r="J15" s="1195"/>
      <c r="K15" s="1550"/>
      <c r="L15" s="1550"/>
      <c r="M15" s="1550"/>
      <c r="N15" s="1550"/>
      <c r="O15" s="1550"/>
      <c r="P15" s="1550"/>
      <c r="Q15" s="1550"/>
      <c r="R15" s="1550"/>
      <c r="S15" s="1550"/>
      <c r="T15" s="1196"/>
    </row>
    <row r="16" spans="1:20" ht="13.5" customHeight="1" x14ac:dyDescent="0.2">
      <c r="B16" s="1815"/>
      <c r="C16" s="1816"/>
      <c r="D16" s="1256">
        <v>2027</v>
      </c>
      <c r="E16" s="1257">
        <f>D16+1</f>
        <v>2028</v>
      </c>
      <c r="F16" s="1257">
        <f>E16+1</f>
        <v>2029</v>
      </c>
      <c r="G16" s="1257">
        <f>F16+1</f>
        <v>2030</v>
      </c>
      <c r="H16" s="1820"/>
      <c r="I16" s="55"/>
      <c r="J16" s="1195"/>
      <c r="K16" s="1550"/>
      <c r="L16" s="1550"/>
      <c r="M16" s="1550"/>
      <c r="N16" s="1550"/>
      <c r="O16" s="1550"/>
      <c r="P16" s="1550"/>
      <c r="Q16" s="1550"/>
      <c r="R16" s="1550"/>
      <c r="S16" s="1550"/>
      <c r="T16" s="1196"/>
    </row>
    <row r="17" spans="1:20" ht="13.5" customHeight="1" x14ac:dyDescent="0.2">
      <c r="B17" s="1253" t="s">
        <v>2</v>
      </c>
      <c r="C17" s="171" t="s">
        <v>531</v>
      </c>
      <c r="D17" s="641">
        <v>0</v>
      </c>
      <c r="E17" s="641"/>
      <c r="F17" s="641"/>
      <c r="G17" s="641"/>
      <c r="H17" s="667">
        <f>SUM(D17:G17)</f>
        <v>0</v>
      </c>
      <c r="I17" s="60"/>
      <c r="J17" s="1195"/>
      <c r="K17" s="1550"/>
      <c r="L17" s="1550"/>
      <c r="M17" s="1550"/>
      <c r="N17" s="1550"/>
      <c r="O17" s="1550"/>
      <c r="P17" s="1550"/>
      <c r="Q17" s="1550"/>
      <c r="R17" s="1550"/>
      <c r="S17" s="1550"/>
      <c r="T17" s="1196"/>
    </row>
    <row r="18" spans="1:20" s="4" customFormat="1" ht="13.5" customHeight="1" x14ac:dyDescent="0.2">
      <c r="A18"/>
      <c r="B18" s="1253"/>
      <c r="C18" s="1618" t="s">
        <v>633</v>
      </c>
      <c r="D18" s="609"/>
      <c r="E18" s="609" t="s">
        <v>0</v>
      </c>
      <c r="F18" s="609"/>
      <c r="G18" s="609"/>
      <c r="H18" s="1254"/>
      <c r="I18" s="172"/>
      <c r="J18" s="1195"/>
      <c r="K18" s="1550"/>
      <c r="L18" s="1550"/>
      <c r="M18" s="1550"/>
      <c r="N18" s="1550"/>
      <c r="O18" s="1550"/>
      <c r="P18" s="1550"/>
      <c r="Q18" s="1550"/>
      <c r="R18" s="1550"/>
      <c r="S18" s="1550"/>
      <c r="T18" s="1196"/>
    </row>
    <row r="19" spans="1:20" s="4" customFormat="1" ht="13.5" customHeight="1" x14ac:dyDescent="0.2">
      <c r="A19"/>
      <c r="B19" s="1414"/>
      <c r="C19" s="1619" t="s">
        <v>634</v>
      </c>
      <c r="D19" s="1422">
        <v>0</v>
      </c>
      <c r="E19" s="1422">
        <v>0</v>
      </c>
      <c r="F19" s="1422">
        <v>0</v>
      </c>
      <c r="G19" s="1422">
        <v>0</v>
      </c>
      <c r="H19" s="1254"/>
      <c r="I19" s="172"/>
      <c r="J19" s="1195"/>
      <c r="K19" s="1550"/>
      <c r="L19" s="1550"/>
      <c r="M19" s="1550"/>
      <c r="N19" s="1550"/>
      <c r="O19" s="1550"/>
      <c r="P19" s="1550"/>
      <c r="Q19" s="1550"/>
      <c r="R19" s="1550"/>
      <c r="S19" s="1550"/>
      <c r="T19" s="1196"/>
    </row>
    <row r="20" spans="1:20" ht="13.5" customHeight="1" x14ac:dyDescent="0.2">
      <c r="B20" s="1494" t="s">
        <v>3</v>
      </c>
      <c r="C20" s="1495" t="s">
        <v>528</v>
      </c>
      <c r="D20" s="1496"/>
      <c r="E20" s="1496"/>
      <c r="F20" s="1496">
        <v>0</v>
      </c>
      <c r="G20" s="1496"/>
      <c r="H20" s="596">
        <f>SUM(D20:G20)</f>
        <v>0</v>
      </c>
      <c r="I20" s="61"/>
      <c r="J20" s="1195"/>
      <c r="K20" s="1197"/>
      <c r="L20" s="1550"/>
      <c r="M20" s="1550"/>
      <c r="N20" s="1550"/>
      <c r="O20" s="1550"/>
      <c r="P20" s="1550"/>
      <c r="Q20" s="1550"/>
      <c r="R20" s="1550"/>
      <c r="S20" s="1550"/>
      <c r="T20" s="1196"/>
    </row>
    <row r="21" spans="1:20" s="4" customFormat="1" ht="13.5" customHeight="1" x14ac:dyDescent="0.2">
      <c r="A21"/>
      <c r="B21" s="1253"/>
      <c r="C21" s="1618" t="s">
        <v>635</v>
      </c>
      <c r="D21" s="498">
        <v>0</v>
      </c>
      <c r="E21" s="498">
        <v>0</v>
      </c>
      <c r="F21" s="498"/>
      <c r="G21" s="498"/>
      <c r="H21" s="1254"/>
      <c r="I21" s="173"/>
      <c r="J21" s="1195"/>
      <c r="K21" s="1197"/>
      <c r="L21" s="1550"/>
      <c r="M21" s="1550"/>
      <c r="N21" s="1550"/>
      <c r="O21" s="1550"/>
      <c r="P21" s="1550"/>
      <c r="Q21" s="1550"/>
      <c r="R21" s="1550"/>
      <c r="S21" s="1550"/>
      <c r="T21" s="1196"/>
    </row>
    <row r="22" spans="1:20" s="4" customFormat="1" ht="13.5" customHeight="1" x14ac:dyDescent="0.2">
      <c r="A22"/>
      <c r="B22" s="1253"/>
      <c r="C22" s="1618" t="s">
        <v>636</v>
      </c>
      <c r="D22" s="344">
        <v>0.255</v>
      </c>
      <c r="E22" s="344">
        <v>0.255</v>
      </c>
      <c r="F22" s="344">
        <v>0.255</v>
      </c>
      <c r="G22" s="344">
        <v>0.255</v>
      </c>
      <c r="H22" s="1254"/>
      <c r="I22" s="173"/>
      <c r="J22" s="1195"/>
      <c r="K22" s="1197"/>
      <c r="L22" s="1550"/>
      <c r="M22" s="1550"/>
      <c r="N22" s="1550"/>
      <c r="O22" s="1550"/>
      <c r="P22" s="1550"/>
      <c r="Q22" s="1550"/>
      <c r="R22" s="1550"/>
      <c r="S22" s="1550"/>
      <c r="T22" s="1196"/>
    </row>
    <row r="23" spans="1:20" s="4" customFormat="1" ht="13.5" customHeight="1" x14ac:dyDescent="0.2">
      <c r="A23"/>
      <c r="B23" s="1414"/>
      <c r="C23" s="1619" t="s">
        <v>634</v>
      </c>
      <c r="D23" s="1422">
        <v>0</v>
      </c>
      <c r="E23" s="1422">
        <v>0</v>
      </c>
      <c r="F23" s="1422">
        <v>0</v>
      </c>
      <c r="G23" s="1422">
        <v>0</v>
      </c>
      <c r="H23" s="1254"/>
      <c r="I23" s="173"/>
      <c r="J23" s="1195"/>
      <c r="K23" s="1197"/>
      <c r="L23" s="1550"/>
      <c r="M23" s="1550"/>
      <c r="N23" s="1550"/>
      <c r="O23" s="1550"/>
      <c r="P23" s="1550"/>
      <c r="Q23" s="1550"/>
      <c r="R23" s="1550"/>
      <c r="S23" s="1550"/>
      <c r="T23" s="1196"/>
    </row>
    <row r="24" spans="1:20" ht="13.5" customHeight="1" x14ac:dyDescent="0.2">
      <c r="B24" s="1494" t="s">
        <v>4</v>
      </c>
      <c r="C24" s="1497" t="s">
        <v>530</v>
      </c>
      <c r="D24" s="1496">
        <v>0</v>
      </c>
      <c r="E24" s="1496"/>
      <c r="F24" s="1496"/>
      <c r="G24" s="1496"/>
      <c r="H24" s="596">
        <f>SUM(D24:G24)</f>
        <v>0</v>
      </c>
      <c r="I24" s="61"/>
      <c r="J24" s="1195"/>
      <c r="K24" s="1197"/>
      <c r="L24" s="1550"/>
      <c r="M24" s="1550"/>
      <c r="N24" s="1550"/>
      <c r="O24" s="1550"/>
      <c r="P24" s="1550"/>
      <c r="Q24" s="1550"/>
      <c r="R24" s="1550"/>
      <c r="S24" s="1550"/>
      <c r="T24" s="1196"/>
    </row>
    <row r="25" spans="1:20" s="4" customFormat="1" ht="13.5" customHeight="1" x14ac:dyDescent="0.2">
      <c r="A25" s="46"/>
      <c r="B25" s="1253"/>
      <c r="C25" s="1618" t="s">
        <v>635</v>
      </c>
      <c r="D25" s="498"/>
      <c r="E25" s="498">
        <v>0</v>
      </c>
      <c r="F25" s="498"/>
      <c r="G25" s="498"/>
      <c r="H25" s="1254"/>
      <c r="I25" s="173"/>
      <c r="J25" s="1195"/>
      <c r="K25" s="1197"/>
      <c r="L25" s="1550"/>
      <c r="M25" s="1550"/>
      <c r="N25" s="1550"/>
      <c r="O25" s="1550"/>
      <c r="P25" s="1550"/>
      <c r="Q25" s="1550"/>
      <c r="R25" s="1550"/>
      <c r="S25" s="1550"/>
      <c r="T25" s="1196"/>
    </row>
    <row r="26" spans="1:20" s="4" customFormat="1" ht="13.5" customHeight="1" x14ac:dyDescent="0.2">
      <c r="A26" s="2"/>
      <c r="B26" s="1414"/>
      <c r="C26" s="1619" t="s">
        <v>634</v>
      </c>
      <c r="D26" s="1422"/>
      <c r="E26" s="1422"/>
      <c r="F26" s="1422"/>
      <c r="G26" s="1422">
        <v>0</v>
      </c>
      <c r="H26" s="1254"/>
      <c r="I26" s="173"/>
      <c r="J26" s="1195"/>
      <c r="K26" s="1197"/>
      <c r="L26" s="1550"/>
      <c r="M26" s="1550"/>
      <c r="N26" s="1550"/>
      <c r="O26" s="1550"/>
      <c r="P26" s="1550"/>
      <c r="Q26" s="1550"/>
      <c r="R26" s="1550"/>
      <c r="S26" s="1550"/>
      <c r="T26" s="1198"/>
    </row>
    <row r="27" spans="1:20" ht="13.15" customHeight="1" x14ac:dyDescent="0.2">
      <c r="B27" s="1494" t="s">
        <v>5</v>
      </c>
      <c r="C27" s="1495" t="s">
        <v>415</v>
      </c>
      <c r="D27" s="609">
        <v>0</v>
      </c>
      <c r="E27" s="1496"/>
      <c r="F27" s="1496"/>
      <c r="G27" s="1496"/>
      <c r="H27" s="596">
        <f>SUM(D27:G27)</f>
        <v>0</v>
      </c>
      <c r="I27" s="61"/>
      <c r="J27" s="1195"/>
      <c r="K27" s="1197"/>
      <c r="L27" s="1585"/>
      <c r="M27" s="1550"/>
      <c r="N27" s="1550"/>
      <c r="O27" s="1550"/>
      <c r="P27" s="1550"/>
      <c r="Q27" s="1550"/>
      <c r="R27" s="1550"/>
      <c r="S27" s="1550"/>
      <c r="T27" s="1196"/>
    </row>
    <row r="28" spans="1:20" s="4" customFormat="1" ht="13.5" customHeight="1" x14ac:dyDescent="0.2">
      <c r="A28"/>
      <c r="B28" s="1253"/>
      <c r="C28" s="1618" t="s">
        <v>636</v>
      </c>
      <c r="D28" s="344">
        <v>0.255</v>
      </c>
      <c r="E28" s="344">
        <v>0.255</v>
      </c>
      <c r="F28" s="344">
        <v>0.255</v>
      </c>
      <c r="G28" s="344">
        <v>0.255</v>
      </c>
      <c r="H28" s="1254"/>
      <c r="I28" s="173"/>
      <c r="J28" s="1195"/>
      <c r="K28" s="1197"/>
      <c r="L28" s="1585"/>
      <c r="M28" s="1550"/>
      <c r="N28" s="1550"/>
      <c r="O28" s="1550"/>
      <c r="P28" s="1550"/>
      <c r="Q28" s="1550"/>
      <c r="R28" s="1550"/>
      <c r="S28" s="1550"/>
      <c r="T28" s="1196"/>
    </row>
    <row r="29" spans="1:20" s="4" customFormat="1" ht="13.5" customHeight="1" x14ac:dyDescent="0.2">
      <c r="A29"/>
      <c r="B29" s="1414"/>
      <c r="C29" s="1619" t="s">
        <v>634</v>
      </c>
      <c r="D29" s="344">
        <v>0</v>
      </c>
      <c r="E29" s="1422">
        <v>0</v>
      </c>
      <c r="F29" s="1422">
        <v>0</v>
      </c>
      <c r="G29" s="1422">
        <v>0</v>
      </c>
      <c r="H29" s="1254"/>
      <c r="I29" s="173"/>
      <c r="J29" s="1195"/>
      <c r="K29" s="1197"/>
      <c r="L29" s="1585"/>
      <c r="M29" s="1550"/>
      <c r="N29" s="1550"/>
      <c r="O29" s="1550"/>
      <c r="P29" s="1550"/>
      <c r="Q29" s="1550"/>
      <c r="R29" s="1550"/>
      <c r="S29" s="1550"/>
      <c r="T29" s="1196"/>
    </row>
    <row r="30" spans="1:20" ht="13.5" customHeight="1" x14ac:dyDescent="0.2">
      <c r="B30" s="1494" t="s">
        <v>6</v>
      </c>
      <c r="C30" s="1495" t="s">
        <v>395</v>
      </c>
      <c r="D30" s="1496">
        <v>0</v>
      </c>
      <c r="E30" s="1496"/>
      <c r="F30" s="1496"/>
      <c r="G30" s="1496"/>
      <c r="H30" s="596">
        <f>SUM(D30:G30)</f>
        <v>0</v>
      </c>
      <c r="I30" s="61"/>
      <c r="J30" s="1195"/>
      <c r="K30" s="1197"/>
      <c r="L30" s="1585"/>
      <c r="M30" s="1550"/>
      <c r="N30" s="1550"/>
      <c r="O30" s="1550"/>
      <c r="P30" s="1550"/>
      <c r="Q30" s="1550"/>
      <c r="R30" s="1550"/>
      <c r="S30" s="1550"/>
      <c r="T30" s="1196"/>
    </row>
    <row r="31" spans="1:20" s="4" customFormat="1" ht="13.5" customHeight="1" x14ac:dyDescent="0.2">
      <c r="A31"/>
      <c r="B31" s="1414"/>
      <c r="C31" s="1619" t="s">
        <v>634</v>
      </c>
      <c r="D31" s="1422">
        <v>0</v>
      </c>
      <c r="E31" s="1422">
        <v>0</v>
      </c>
      <c r="F31" s="1422">
        <v>0</v>
      </c>
      <c r="G31" s="1422">
        <v>0</v>
      </c>
      <c r="H31" s="1254"/>
      <c r="I31" s="173"/>
      <c r="J31" s="1195"/>
      <c r="K31" s="1197"/>
      <c r="L31" s="1585"/>
      <c r="M31" s="1550"/>
      <c r="N31" s="1550"/>
      <c r="O31" s="1550"/>
      <c r="P31" s="1550"/>
      <c r="Q31" s="1550"/>
      <c r="R31" s="1550"/>
      <c r="S31" s="1550"/>
      <c r="T31" s="1198"/>
    </row>
    <row r="32" spans="1:20" ht="13.5" customHeight="1" x14ac:dyDescent="0.2">
      <c r="B32" s="1494" t="s">
        <v>7</v>
      </c>
      <c r="C32" s="1495" t="s">
        <v>745</v>
      </c>
      <c r="D32" s="1496">
        <v>0</v>
      </c>
      <c r="E32" s="1496">
        <v>0</v>
      </c>
      <c r="F32" s="1496"/>
      <c r="G32" s="1496"/>
      <c r="H32" s="596">
        <f>SUM(D32:G32)</f>
        <v>0</v>
      </c>
      <c r="I32" s="61"/>
      <c r="J32" s="1759"/>
      <c r="K32" s="1197"/>
      <c r="L32" s="1585"/>
      <c r="M32" s="1550"/>
      <c r="N32" s="1550"/>
      <c r="O32" s="1550"/>
      <c r="P32" s="1550"/>
      <c r="Q32" s="1550"/>
      <c r="R32" s="1550"/>
      <c r="S32" s="1550"/>
      <c r="T32" s="1196"/>
    </row>
    <row r="33" spans="1:20" s="4" customFormat="1" ht="13.5" customHeight="1" x14ac:dyDescent="0.2">
      <c r="A33"/>
      <c r="B33" s="1253"/>
      <c r="C33" s="1618" t="s">
        <v>636</v>
      </c>
      <c r="D33" s="344">
        <v>0.255</v>
      </c>
      <c r="E33" s="344">
        <f>D33</f>
        <v>0.255</v>
      </c>
      <c r="F33" s="344">
        <f>E33</f>
        <v>0.255</v>
      </c>
      <c r="G33" s="344">
        <f>F33</f>
        <v>0.255</v>
      </c>
      <c r="H33" s="1254"/>
      <c r="I33" s="173"/>
      <c r="J33" s="1195"/>
      <c r="K33" s="1197"/>
      <c r="L33" s="1585"/>
      <c r="M33" s="1550"/>
      <c r="N33" s="1550"/>
      <c r="O33" s="1550"/>
      <c r="P33" s="1550"/>
      <c r="Q33" s="1550"/>
      <c r="R33" s="1550"/>
      <c r="S33" s="1550"/>
      <c r="T33" s="1196"/>
    </row>
    <row r="34" spans="1:20" s="4" customFormat="1" ht="13.5" customHeight="1" x14ac:dyDescent="0.2">
      <c r="A34"/>
      <c r="B34" s="1414"/>
      <c r="C34" s="1619" t="s">
        <v>634</v>
      </c>
      <c r="D34" s="1422">
        <v>0</v>
      </c>
      <c r="E34" s="1422">
        <v>0</v>
      </c>
      <c r="F34" s="1422">
        <v>0</v>
      </c>
      <c r="G34" s="1422">
        <v>0</v>
      </c>
      <c r="H34" s="1254"/>
      <c r="I34" s="173"/>
      <c r="J34" s="1195"/>
      <c r="K34" s="1197"/>
      <c r="L34" s="1550"/>
      <c r="M34" s="1550"/>
      <c r="N34" s="1550"/>
      <c r="O34" s="1550"/>
      <c r="P34" s="1550"/>
      <c r="Q34" s="1550"/>
      <c r="R34" s="1550"/>
      <c r="S34" s="1550"/>
      <c r="T34" s="1196"/>
    </row>
    <row r="35" spans="1:20" ht="13.5" customHeight="1" x14ac:dyDescent="0.2">
      <c r="B35" s="1494" t="s">
        <v>8</v>
      </c>
      <c r="C35" s="1495" t="s">
        <v>189</v>
      </c>
      <c r="D35" s="1496">
        <v>0</v>
      </c>
      <c r="E35" s="1496">
        <v>0</v>
      </c>
      <c r="F35" s="1496"/>
      <c r="G35" s="1496"/>
      <c r="H35" s="596">
        <f>SUM(D35:G35)</f>
        <v>0</v>
      </c>
      <c r="I35" s="61"/>
      <c r="J35" s="1195"/>
      <c r="K35" s="1197"/>
      <c r="L35" s="1550"/>
      <c r="M35" s="1550"/>
      <c r="N35" s="1550"/>
      <c r="O35" s="1550"/>
      <c r="P35" s="1550"/>
      <c r="Q35" s="1550"/>
      <c r="R35" s="1550"/>
      <c r="S35" s="1550"/>
      <c r="T35" s="1196"/>
    </row>
    <row r="36" spans="1:20" s="4" customFormat="1" ht="13.5" customHeight="1" x14ac:dyDescent="0.2">
      <c r="A36"/>
      <c r="B36" s="1253"/>
      <c r="C36" s="1618" t="s">
        <v>636</v>
      </c>
      <c r="D36" s="344">
        <v>0</v>
      </c>
      <c r="E36" s="344">
        <f>D36</f>
        <v>0</v>
      </c>
      <c r="F36" s="344">
        <f>E36</f>
        <v>0</v>
      </c>
      <c r="G36" s="344">
        <f>F36</f>
        <v>0</v>
      </c>
      <c r="H36" s="1254"/>
      <c r="I36" s="173"/>
      <c r="J36" s="1195"/>
      <c r="K36" s="1197"/>
      <c r="L36" s="1550"/>
      <c r="M36" s="1550"/>
      <c r="N36" s="1550"/>
      <c r="O36" s="1550"/>
      <c r="P36" s="1550"/>
      <c r="Q36" s="1550"/>
      <c r="R36" s="1550"/>
      <c r="S36" s="1550"/>
      <c r="T36" s="1196"/>
    </row>
    <row r="37" spans="1:20" s="4" customFormat="1" ht="13.5" customHeight="1" x14ac:dyDescent="0.2">
      <c r="A37"/>
      <c r="B37" s="1414"/>
      <c r="C37" s="1619" t="s">
        <v>634</v>
      </c>
      <c r="D37" s="1422"/>
      <c r="E37" s="1422">
        <v>0</v>
      </c>
      <c r="F37" s="1422">
        <v>0</v>
      </c>
      <c r="G37" s="1422">
        <v>0</v>
      </c>
      <c r="H37" s="1254"/>
      <c r="I37" s="173"/>
      <c r="J37" s="1195"/>
      <c r="K37" s="1197"/>
      <c r="L37" s="1550"/>
      <c r="M37" s="1550"/>
      <c r="N37" s="1550"/>
      <c r="O37" s="1550"/>
      <c r="P37" s="1550"/>
      <c r="Q37" s="1550"/>
      <c r="R37" s="1550"/>
      <c r="S37" s="1550"/>
      <c r="T37" s="1196"/>
    </row>
    <row r="38" spans="1:20" s="4" customFormat="1" ht="13.5" customHeight="1" x14ac:dyDescent="0.2">
      <c r="A38"/>
      <c r="B38" s="1494" t="s">
        <v>9</v>
      </c>
      <c r="C38" s="1497" t="s">
        <v>749</v>
      </c>
      <c r="D38" s="1496">
        <v>0</v>
      </c>
      <c r="E38" s="1496"/>
      <c r="F38" s="1496"/>
      <c r="G38" s="1496"/>
      <c r="H38" s="596">
        <f>SUM(D38:G38)</f>
        <v>0</v>
      </c>
      <c r="I38" s="173"/>
      <c r="J38" s="1195"/>
      <c r="K38" s="1197"/>
      <c r="L38" s="1550"/>
      <c r="M38" s="1550"/>
      <c r="N38" s="1550"/>
      <c r="O38" s="1550"/>
      <c r="P38" s="1550"/>
      <c r="Q38" s="1550"/>
      <c r="R38" s="1550"/>
      <c r="S38" s="1550"/>
      <c r="T38" s="1196"/>
    </row>
    <row r="39" spans="1:20" ht="13.5" customHeight="1" x14ac:dyDescent="0.2">
      <c r="B39" s="1253" t="s">
        <v>10</v>
      </c>
      <c r="C39" s="327" t="s">
        <v>393</v>
      </c>
      <c r="D39" s="1496">
        <v>0</v>
      </c>
      <c r="E39" s="1496"/>
      <c r="F39" s="1496"/>
      <c r="G39" s="1496"/>
      <c r="H39" s="596">
        <f>SUM(D39:G39)</f>
        <v>0</v>
      </c>
      <c r="I39" s="61"/>
      <c r="J39" s="1195"/>
      <c r="K39" s="1197"/>
      <c r="L39" s="1550"/>
      <c r="M39" s="1550"/>
      <c r="N39" s="1550"/>
      <c r="O39" s="1550"/>
      <c r="P39" s="1550"/>
      <c r="Q39" s="1550"/>
      <c r="R39" s="1550"/>
      <c r="S39" s="1550"/>
      <c r="T39" s="1196"/>
    </row>
    <row r="40" spans="1:20" ht="13.5" hidden="1" customHeight="1" x14ac:dyDescent="0.2">
      <c r="B40" s="1253" t="s">
        <v>11</v>
      </c>
      <c r="C40" s="327" t="s">
        <v>545</v>
      </c>
      <c r="D40" s="609">
        <v>0</v>
      </c>
      <c r="E40" s="913">
        <v>0</v>
      </c>
      <c r="F40" s="913">
        <v>0</v>
      </c>
      <c r="G40" s="913">
        <v>0</v>
      </c>
      <c r="H40" s="596">
        <f>SUM(D40:G40)</f>
        <v>0</v>
      </c>
      <c r="I40" s="61"/>
      <c r="J40" s="1195"/>
      <c r="K40" s="1197"/>
      <c r="L40" s="1550"/>
      <c r="M40" s="1550"/>
      <c r="N40" s="1550"/>
      <c r="O40" s="1550"/>
      <c r="P40" s="1550"/>
      <c r="Q40" s="1550"/>
      <c r="R40" s="1550"/>
      <c r="S40" s="1550"/>
      <c r="T40" s="1196"/>
    </row>
    <row r="41" spans="1:20" s="4" customFormat="1" ht="13.5" hidden="1" customHeight="1" x14ac:dyDescent="0.2">
      <c r="A41"/>
      <c r="B41" s="1253"/>
      <c r="C41" s="171" t="s">
        <v>141</v>
      </c>
      <c r="D41" s="344">
        <v>0</v>
      </c>
      <c r="E41" s="913">
        <v>0</v>
      </c>
      <c r="F41" s="913">
        <v>0</v>
      </c>
      <c r="G41" s="913">
        <v>0</v>
      </c>
      <c r="H41" s="1254"/>
      <c r="I41" s="173"/>
      <c r="J41" s="1195"/>
      <c r="K41" s="1197"/>
      <c r="L41" s="1550"/>
      <c r="M41" s="1550"/>
      <c r="N41" s="1550"/>
      <c r="O41" s="1550"/>
      <c r="P41" s="1550"/>
      <c r="Q41" s="1550"/>
      <c r="R41" s="1550"/>
      <c r="S41" s="1550"/>
      <c r="T41" s="1196"/>
    </row>
    <row r="42" spans="1:20" ht="20.100000000000001" customHeight="1" x14ac:dyDescent="0.2">
      <c r="B42" s="1592" t="s">
        <v>11</v>
      </c>
      <c r="C42" s="1255" t="s">
        <v>392</v>
      </c>
      <c r="D42" s="493">
        <f>D17+D20+D24+D27+D30+D32+D39+D35+D38+D40</f>
        <v>0</v>
      </c>
      <c r="E42" s="493">
        <f>E17+E20+E24+E27+E30+E32+E39+E35+E38+E40</f>
        <v>0</v>
      </c>
      <c r="F42" s="493">
        <f>F17+F20+F24+F27+F30+F32+F39+F35+F38+F40</f>
        <v>0</v>
      </c>
      <c r="G42" s="493">
        <f>G17+G20+G24+G27+G30+G32+G39+G35+G38+G40</f>
        <v>0</v>
      </c>
      <c r="H42" s="493">
        <f>SUM(D42:G42)</f>
        <v>0</v>
      </c>
      <c r="I42" s="61"/>
      <c r="J42" s="1195"/>
      <c r="K42" s="1550"/>
      <c r="L42" s="1550"/>
      <c r="M42" s="1550"/>
      <c r="N42" s="1550"/>
      <c r="O42" s="1550">
        <v>0</v>
      </c>
      <c r="P42" s="1550"/>
      <c r="Q42" s="1550"/>
      <c r="R42" s="1550"/>
      <c r="S42" s="1550"/>
      <c r="T42" s="1196"/>
    </row>
    <row r="43" spans="1:20" ht="13.9" customHeight="1" x14ac:dyDescent="0.2">
      <c r="H43" s="1258"/>
      <c r="J43" s="341"/>
      <c r="K43" s="286"/>
      <c r="L43" s="286"/>
      <c r="M43" s="286"/>
      <c r="N43" s="286"/>
      <c r="O43" s="286">
        <v>0</v>
      </c>
      <c r="P43" s="286"/>
      <c r="Q43" s="286"/>
      <c r="R43" s="286"/>
      <c r="S43" s="286"/>
      <c r="T43" s="422"/>
    </row>
    <row r="44" spans="1:20" ht="13.5" customHeight="1" x14ac:dyDescent="0.2">
      <c r="B44" s="1813" t="s">
        <v>198</v>
      </c>
      <c r="C44" s="1814"/>
      <c r="D44" s="1251" t="str">
        <f>D15</f>
        <v>Ennuste 1</v>
      </c>
      <c r="E44" s="1251" t="s">
        <v>55</v>
      </c>
      <c r="F44" s="1251" t="s">
        <v>57</v>
      </c>
      <c r="G44" s="1259" t="s">
        <v>195</v>
      </c>
      <c r="H44" s="1819" t="s">
        <v>132</v>
      </c>
      <c r="J44" s="341"/>
      <c r="K44" s="286"/>
      <c r="L44" s="286"/>
      <c r="M44" s="286"/>
      <c r="N44" s="286"/>
      <c r="O44" s="286"/>
      <c r="P44" s="286"/>
      <c r="Q44" s="286"/>
      <c r="R44" s="286"/>
      <c r="S44" s="286"/>
      <c r="T44" s="422"/>
    </row>
    <row r="45" spans="1:20" ht="13.5" customHeight="1" x14ac:dyDescent="0.2">
      <c r="B45" s="1815"/>
      <c r="C45" s="1816"/>
      <c r="D45" s="1264">
        <f>D16</f>
        <v>2027</v>
      </c>
      <c r="E45" s="1264">
        <f>E16</f>
        <v>2028</v>
      </c>
      <c r="F45" s="1264">
        <f>F16</f>
        <v>2029</v>
      </c>
      <c r="G45" s="1265">
        <f>G16</f>
        <v>2030</v>
      </c>
      <c r="H45" s="1820"/>
      <c r="J45" s="341"/>
      <c r="K45" s="286"/>
      <c r="L45" s="286"/>
      <c r="M45" s="286"/>
      <c r="N45" s="286"/>
      <c r="O45" s="286"/>
      <c r="P45" s="286"/>
      <c r="Q45" s="286"/>
      <c r="R45" s="286"/>
      <c r="S45" s="286"/>
      <c r="T45" s="422"/>
    </row>
    <row r="46" spans="1:20" ht="13.5" customHeight="1" x14ac:dyDescent="0.2">
      <c r="B46" s="1832" t="s">
        <v>404</v>
      </c>
      <c r="C46" s="1833"/>
      <c r="D46" s="1262"/>
      <c r="E46" s="1262"/>
      <c r="F46" s="1262"/>
      <c r="G46" s="1205"/>
      <c r="H46" s="1263" t="s">
        <v>0</v>
      </c>
      <c r="I46" s="46"/>
      <c r="J46" s="341"/>
      <c r="K46" s="286"/>
      <c r="L46" s="286"/>
      <c r="M46" s="286"/>
      <c r="N46" s="286"/>
      <c r="O46" s="286"/>
      <c r="P46" s="286"/>
      <c r="Q46" s="286"/>
      <c r="R46" s="286"/>
      <c r="S46" s="286"/>
      <c r="T46" s="422"/>
    </row>
    <row r="47" spans="1:20" ht="13.5" customHeight="1" x14ac:dyDescent="0.2">
      <c r="B47" s="643" t="s">
        <v>115</v>
      </c>
      <c r="C47" s="4" t="s">
        <v>391</v>
      </c>
      <c r="D47" s="329"/>
      <c r="E47" s="329"/>
      <c r="F47" s="329"/>
      <c r="G47" s="330"/>
      <c r="H47" s="1260"/>
      <c r="I47" s="46"/>
      <c r="J47" s="341"/>
      <c r="K47" s="286"/>
      <c r="L47" s="286"/>
      <c r="M47" s="286"/>
      <c r="N47" s="286"/>
      <c r="O47" s="286"/>
      <c r="P47" s="286"/>
      <c r="Q47" s="286"/>
      <c r="R47" s="286"/>
      <c r="S47" s="286"/>
      <c r="T47" s="422"/>
    </row>
    <row r="48" spans="1:20" ht="13.5" customHeight="1" x14ac:dyDescent="0.2">
      <c r="B48" s="1261"/>
      <c r="C48" s="401" t="s">
        <v>626</v>
      </c>
      <c r="D48" s="641">
        <v>0</v>
      </c>
      <c r="E48" s="641">
        <v>0</v>
      </c>
      <c r="F48" s="641">
        <v>0</v>
      </c>
      <c r="G48" s="642">
        <v>0</v>
      </c>
      <c r="H48" s="667">
        <f>SUM(D48:G48)</f>
        <v>0</v>
      </c>
      <c r="I48" s="62"/>
      <c r="J48" s="341"/>
      <c r="K48" s="286"/>
      <c r="L48" s="286"/>
      <c r="M48" s="286"/>
      <c r="N48" s="286"/>
      <c r="O48" s="286"/>
      <c r="P48" s="286"/>
      <c r="Q48" s="286"/>
      <c r="R48" s="286"/>
      <c r="S48" s="286"/>
      <c r="T48" s="422"/>
    </row>
    <row r="49" spans="2:20" ht="13.5" customHeight="1" x14ac:dyDescent="0.2">
      <c r="B49" s="1253"/>
      <c r="C49" s="401" t="s">
        <v>390</v>
      </c>
      <c r="D49" s="641">
        <v>0</v>
      </c>
      <c r="E49" s="641">
        <v>0</v>
      </c>
      <c r="F49" s="641">
        <v>0</v>
      </c>
      <c r="G49" s="641">
        <v>0</v>
      </c>
      <c r="H49" s="596">
        <f>SUM(D49:G49)</f>
        <v>0</v>
      </c>
      <c r="I49" s="62"/>
      <c r="J49" s="341"/>
      <c r="K49" s="286"/>
      <c r="L49" s="286"/>
      <c r="M49" s="286"/>
      <c r="N49" s="286"/>
      <c r="O49" s="286"/>
      <c r="P49" s="286"/>
      <c r="Q49" s="286"/>
      <c r="R49" s="286"/>
      <c r="S49" s="286"/>
      <c r="T49" s="422"/>
    </row>
    <row r="50" spans="2:20" ht="13.5" customHeight="1" x14ac:dyDescent="0.2">
      <c r="B50" s="1266" t="s">
        <v>116</v>
      </c>
      <c r="C50" s="327" t="s">
        <v>389</v>
      </c>
      <c r="D50" s="667">
        <f>D62-D61-D60-D57-D56-D55-D52-D51-D48-D49-D58-D59</f>
        <v>0</v>
      </c>
      <c r="E50" s="667">
        <f>E62-E61-E60-E57-E56-E55-E52-E51-E48-E49-E58-E59</f>
        <v>0</v>
      </c>
      <c r="F50" s="667">
        <f>F62-F61-F60-F57-F56-F55-F52-F51-F48-F49-F58-F59</f>
        <v>0</v>
      </c>
      <c r="G50" s="667">
        <f>G62-G61-G60-G57-G56-G55-G52-G51-G48-G49-G58-G59</f>
        <v>0</v>
      </c>
      <c r="H50" s="667">
        <f>SUM(D50:G50)</f>
        <v>0</v>
      </c>
      <c r="I50" s="61"/>
      <c r="J50" s="1199" t="str">
        <f>IF(D50&lt;0,"LISÄÄ LUKU RIVILLE 9. Käyttöpääoman lisäys!",IF(E50&lt;0,"LISÄÄ LUKU RIVILLE 9. Käyttöpääoman lisäys!",IF(F50&lt;0,"LISÄÄ LUKU RIVILLE 9. Käyttöpääoman lisäys!",IF(G50&lt;0,"LISÄÄ LUKU RIVILLE 9. Käyttöpääoman lisäys!",""))))</f>
        <v/>
      </c>
      <c r="K50" s="964"/>
      <c r="L50" s="964"/>
      <c r="M50" s="964"/>
      <c r="N50" s="964"/>
      <c r="O50" s="964"/>
      <c r="P50" s="964"/>
      <c r="Q50" s="964"/>
      <c r="R50" s="964"/>
      <c r="S50" s="964"/>
      <c r="T50" s="1200"/>
    </row>
    <row r="51" spans="2:20" ht="13.5" customHeight="1" x14ac:dyDescent="0.2">
      <c r="B51" s="1266" t="s">
        <v>275</v>
      </c>
      <c r="C51" s="327" t="s">
        <v>388</v>
      </c>
      <c r="D51" s="641">
        <v>0</v>
      </c>
      <c r="E51" s="641">
        <v>0</v>
      </c>
      <c r="F51" s="641">
        <v>0</v>
      </c>
      <c r="G51" s="641">
        <v>0</v>
      </c>
      <c r="H51" s="667">
        <f>SUM(D51:G51)</f>
        <v>0</v>
      </c>
      <c r="I51" s="63"/>
      <c r="J51" s="341"/>
      <c r="K51" s="286"/>
      <c r="L51" s="286"/>
      <c r="M51" s="286"/>
      <c r="N51" s="286"/>
      <c r="O51" s="286"/>
      <c r="P51" s="286"/>
      <c r="Q51" s="286"/>
      <c r="R51" s="286"/>
      <c r="S51" s="286"/>
      <c r="T51" s="422"/>
    </row>
    <row r="52" spans="2:20" ht="13.5" customHeight="1" x14ac:dyDescent="0.2">
      <c r="B52" s="1266" t="s">
        <v>117</v>
      </c>
      <c r="C52" s="1191" t="s">
        <v>747</v>
      </c>
      <c r="D52" s="641">
        <v>0</v>
      </c>
      <c r="E52" s="641">
        <v>0</v>
      </c>
      <c r="F52" s="641">
        <v>0</v>
      </c>
      <c r="G52" s="642">
        <v>0</v>
      </c>
      <c r="H52" s="667">
        <f>SUM(D52:G52)</f>
        <v>0</v>
      </c>
      <c r="I52" s="61"/>
      <c r="J52" s="1199" t="str">
        <f>(IF(E52&gt;0,"JOS MYYDÄÄN ESIM. KONE, LISÄÄ LUKU 3. T3 TASEEN KOHTAAN H26 VÄHENNYS TILIKAUDELLA!",IF(F52&gt;0,"JOS MYYDÄÄN ESIM. KONE, LISÄÄ LUKU 3. T3 TASEEN KOHTAAN I26 VÄHENNYS TILIKAUDELLA!",IF(G52&gt;0,"JOS MYYDÄÄN ESIM. KONE, LISÄÄ LUKU 3. T3 TASEEN KOHTAAN J26 VÄHENNYS TILIKAUDELLA!",IF(D52&gt;0,"JOS MYYDÄÄN ESIM. KONE, LISÄÄ LUKU 3. TASEEN KOHTAAN G26 VÄHENNYS TILIKAUDELLA!","")))))</f>
        <v/>
      </c>
      <c r="K52" s="286"/>
      <c r="L52" s="1554"/>
      <c r="M52" s="286"/>
      <c r="N52" s="286"/>
      <c r="O52" s="286"/>
      <c r="P52" s="286"/>
      <c r="Q52" s="286"/>
      <c r="R52" s="286"/>
      <c r="S52" s="286"/>
      <c r="T52" s="422"/>
    </row>
    <row r="53" spans="2:20" ht="13.5" customHeight="1" x14ac:dyDescent="0.2">
      <c r="B53" s="1830" t="s">
        <v>52</v>
      </c>
      <c r="C53" s="1831"/>
      <c r="D53" s="1762"/>
      <c r="E53" s="1762"/>
      <c r="F53" s="1762"/>
      <c r="G53" s="1763"/>
      <c r="H53" s="1764"/>
      <c r="J53" s="1555"/>
      <c r="K53" s="1551"/>
      <c r="L53" s="1552"/>
      <c r="M53" s="1551"/>
      <c r="N53" s="1551"/>
      <c r="O53" s="286"/>
      <c r="P53" s="286"/>
      <c r="Q53" s="286"/>
      <c r="R53" s="286"/>
      <c r="S53" s="286"/>
      <c r="T53" s="422"/>
    </row>
    <row r="54" spans="2:20" ht="13.5" customHeight="1" x14ac:dyDescent="0.2">
      <c r="B54" s="1414" t="s">
        <v>0</v>
      </c>
      <c r="C54" s="156" t="s">
        <v>81</v>
      </c>
      <c r="D54" s="1765"/>
      <c r="E54" s="1765"/>
      <c r="F54" s="1765"/>
      <c r="G54" s="1414"/>
      <c r="H54" s="1766"/>
      <c r="J54" s="341"/>
      <c r="K54" s="286"/>
      <c r="L54" s="1547">
        <v>0</v>
      </c>
      <c r="M54" s="1548">
        <v>0</v>
      </c>
      <c r="N54" s="1549">
        <v>0</v>
      </c>
      <c r="O54" s="1549"/>
      <c r="P54" s="1549"/>
      <c r="Q54" s="1549"/>
      <c r="R54" s="1549"/>
      <c r="S54" s="1549"/>
      <c r="T54" s="1553"/>
    </row>
    <row r="55" spans="2:20" ht="13.5" customHeight="1" x14ac:dyDescent="0.2">
      <c r="B55" s="1253" t="s">
        <v>118</v>
      </c>
      <c r="C55" s="1415" t="s">
        <v>759</v>
      </c>
      <c r="D55" s="641">
        <v>0</v>
      </c>
      <c r="E55" s="641">
        <v>0</v>
      </c>
      <c r="F55" s="641">
        <v>0</v>
      </c>
      <c r="G55" s="642">
        <v>0</v>
      </c>
      <c r="H55" s="667">
        <f t="shared" ref="H55:H62" si="0">SUM(D55:G55)</f>
        <v>0</v>
      </c>
      <c r="I55" s="61"/>
      <c r="J55" s="341"/>
      <c r="K55" s="286"/>
      <c r="L55" s="1547"/>
      <c r="M55" s="1548"/>
      <c r="N55" s="1549"/>
      <c r="O55" s="1549"/>
      <c r="P55" s="1549"/>
      <c r="Q55" s="1549"/>
      <c r="R55" s="1549"/>
      <c r="S55" s="1549"/>
      <c r="T55" s="1553"/>
    </row>
    <row r="56" spans="2:20" ht="13.5" customHeight="1" x14ac:dyDescent="0.2">
      <c r="B56" s="1253" t="s">
        <v>119</v>
      </c>
      <c r="C56" s="1413"/>
      <c r="D56" s="641">
        <v>0</v>
      </c>
      <c r="E56" s="641">
        <v>0</v>
      </c>
      <c r="F56" s="641">
        <v>0</v>
      </c>
      <c r="G56" s="642">
        <v>0</v>
      </c>
      <c r="H56" s="667">
        <f t="shared" si="0"/>
        <v>0</v>
      </c>
      <c r="I56" s="61"/>
      <c r="J56" s="341"/>
      <c r="K56" s="286"/>
      <c r="L56" s="1547">
        <v>0</v>
      </c>
      <c r="M56" s="1548">
        <v>0</v>
      </c>
      <c r="N56" s="1549">
        <v>0</v>
      </c>
      <c r="O56" s="1549"/>
      <c r="P56" s="1549"/>
      <c r="Q56" s="1549"/>
      <c r="R56" s="1549"/>
      <c r="S56" s="1549"/>
      <c r="T56" s="1553"/>
    </row>
    <row r="57" spans="2:20" ht="13.5" customHeight="1" x14ac:dyDescent="0.2">
      <c r="B57" s="1266" t="s">
        <v>120</v>
      </c>
      <c r="C57" s="1413"/>
      <c r="D57" s="641">
        <v>0</v>
      </c>
      <c r="E57" s="641">
        <v>0</v>
      </c>
      <c r="F57" s="641">
        <v>0</v>
      </c>
      <c r="G57" s="642">
        <v>0</v>
      </c>
      <c r="H57" s="667">
        <f t="shared" si="0"/>
        <v>0</v>
      </c>
      <c r="I57" s="64"/>
      <c r="J57" s="341"/>
      <c r="K57" s="286"/>
      <c r="L57" s="1547"/>
      <c r="M57" s="1548"/>
      <c r="N57" s="1549"/>
      <c r="O57" s="1549"/>
      <c r="P57" s="1549"/>
      <c r="Q57" s="1549"/>
      <c r="R57" s="1549"/>
      <c r="S57" s="1549"/>
      <c r="T57" s="1553"/>
    </row>
    <row r="58" spans="2:20" ht="13.5" hidden="1" customHeight="1" x14ac:dyDescent="0.2">
      <c r="B58" s="1266" t="s">
        <v>121</v>
      </c>
      <c r="C58" s="1191" t="s">
        <v>366</v>
      </c>
      <c r="D58" s="665">
        <v>0</v>
      </c>
      <c r="E58" s="665">
        <v>0</v>
      </c>
      <c r="F58" s="665">
        <v>0</v>
      </c>
      <c r="G58" s="1767">
        <v>0</v>
      </c>
      <c r="H58" s="667">
        <f t="shared" si="0"/>
        <v>0</v>
      </c>
      <c r="I58" s="64"/>
      <c r="J58" s="341"/>
      <c r="K58" s="286"/>
      <c r="L58" s="1547">
        <v>0</v>
      </c>
      <c r="M58" s="1548">
        <v>0</v>
      </c>
      <c r="N58" s="1549">
        <v>0</v>
      </c>
      <c r="O58" s="1549"/>
      <c r="P58" s="1549"/>
      <c r="Q58" s="1549"/>
      <c r="R58" s="1549"/>
      <c r="S58" s="1549"/>
      <c r="T58" s="1553"/>
    </row>
    <row r="59" spans="2:20" ht="13.5" hidden="1" customHeight="1" x14ac:dyDescent="0.2">
      <c r="B59" s="1266" t="s">
        <v>122</v>
      </c>
      <c r="C59" s="1191" t="s">
        <v>367</v>
      </c>
      <c r="D59" s="665">
        <v>0</v>
      </c>
      <c r="E59" s="665"/>
      <c r="F59" s="665"/>
      <c r="G59" s="1767"/>
      <c r="H59" s="667">
        <f t="shared" si="0"/>
        <v>0</v>
      </c>
      <c r="I59" s="64"/>
      <c r="J59" s="341"/>
      <c r="K59" s="286"/>
      <c r="L59" s="1547"/>
      <c r="M59" s="1548"/>
      <c r="N59" s="1549"/>
      <c r="O59" s="1549"/>
      <c r="P59" s="1549"/>
      <c r="Q59" s="1549"/>
      <c r="R59" s="1549"/>
      <c r="S59" s="1549"/>
      <c r="T59" s="1553"/>
    </row>
    <row r="60" spans="2:20" ht="13.5" customHeight="1" x14ac:dyDescent="0.2">
      <c r="B60" s="1266" t="s">
        <v>121</v>
      </c>
      <c r="C60" s="327" t="s">
        <v>241</v>
      </c>
      <c r="D60" s="596">
        <f>'AT1 Avustus, alv-laskenta '!C48</f>
        <v>0</v>
      </c>
      <c r="E60" s="596">
        <f>'AT1 Avustus, alv-laskenta '!D48</f>
        <v>0</v>
      </c>
      <c r="F60" s="596">
        <f>'AT1 Avustus, alv-laskenta '!E48</f>
        <v>0</v>
      </c>
      <c r="G60" s="596">
        <f>'AT1 Avustus, alv-laskenta '!F48</f>
        <v>0</v>
      </c>
      <c r="H60" s="667">
        <f t="shared" si="0"/>
        <v>0</v>
      </c>
      <c r="I60" s="61"/>
      <c r="J60" s="341"/>
      <c r="K60" s="286"/>
      <c r="L60" s="1547">
        <v>0</v>
      </c>
      <c r="M60" s="1548">
        <v>0</v>
      </c>
      <c r="N60" s="1549">
        <v>0</v>
      </c>
      <c r="O60" s="1549"/>
      <c r="P60" s="1549"/>
      <c r="Q60" s="1549"/>
      <c r="R60" s="1549"/>
      <c r="S60" s="1549"/>
      <c r="T60" s="1553"/>
    </row>
    <row r="61" spans="2:20" ht="13.5" customHeight="1" x14ac:dyDescent="0.2">
      <c r="B61" s="1266" t="s">
        <v>122</v>
      </c>
      <c r="C61" s="327" t="s">
        <v>736</v>
      </c>
      <c r="D61" s="596">
        <f>'AT1 Avustus, alv-laskenta '!C49</f>
        <v>0</v>
      </c>
      <c r="E61" s="596">
        <f>'AT1 Avustus, alv-laskenta '!D49</f>
        <v>0</v>
      </c>
      <c r="F61" s="596">
        <f>'AT1 Avustus, alv-laskenta '!E49</f>
        <v>0</v>
      </c>
      <c r="G61" s="596">
        <f>'AT1 Avustus, alv-laskenta '!F49</f>
        <v>0</v>
      </c>
      <c r="H61" s="667">
        <f t="shared" si="0"/>
        <v>0</v>
      </c>
      <c r="I61" s="61"/>
      <c r="J61" s="341"/>
      <c r="K61" s="286"/>
      <c r="L61" s="1547"/>
      <c r="M61" s="1548"/>
      <c r="N61" s="1549"/>
      <c r="O61" s="1549"/>
      <c r="P61" s="1549"/>
      <c r="Q61" s="1549"/>
      <c r="R61" s="1549"/>
      <c r="S61" s="1549"/>
      <c r="T61" s="1553"/>
    </row>
    <row r="62" spans="2:20" ht="20.100000000000001" customHeight="1" x14ac:dyDescent="0.2">
      <c r="B62" s="1630" t="s">
        <v>338</v>
      </c>
      <c r="C62" s="1255" t="s">
        <v>242</v>
      </c>
      <c r="D62" s="493">
        <f>D42</f>
        <v>0</v>
      </c>
      <c r="E62" s="493">
        <f>E42</f>
        <v>0</v>
      </c>
      <c r="F62" s="493">
        <f>F42</f>
        <v>0</v>
      </c>
      <c r="G62" s="493">
        <f>G42</f>
        <v>0</v>
      </c>
      <c r="H62" s="493">
        <f t="shared" si="0"/>
        <v>0</v>
      </c>
      <c r="I62" s="61"/>
      <c r="J62" s="341"/>
      <c r="K62" s="286"/>
      <c r="L62" s="286"/>
      <c r="M62" s="286"/>
      <c r="N62" s="286"/>
      <c r="O62" s="286"/>
      <c r="P62" s="286"/>
      <c r="Q62" s="286"/>
      <c r="R62" s="286"/>
      <c r="S62" s="286"/>
      <c r="T62" s="422"/>
    </row>
    <row r="63" spans="2:20" ht="3" customHeight="1" x14ac:dyDescent="0.2">
      <c r="B63" s="73"/>
      <c r="C63" s="68"/>
      <c r="D63" s="73"/>
      <c r="E63" s="73"/>
      <c r="F63" s="73"/>
      <c r="G63" s="73"/>
      <c r="H63" s="644"/>
      <c r="I63" s="61"/>
      <c r="J63" s="341"/>
      <c r="K63" s="286"/>
      <c r="L63" s="286"/>
      <c r="M63" s="286"/>
      <c r="N63" s="286"/>
      <c r="O63" s="286"/>
      <c r="P63" s="286"/>
      <c r="Q63" s="286"/>
      <c r="R63" s="286"/>
      <c r="S63" s="286"/>
      <c r="T63" s="422"/>
    </row>
    <row r="64" spans="2:20" ht="15" hidden="1" customHeight="1" x14ac:dyDescent="0.2">
      <c r="B64" s="494" t="s">
        <v>358</v>
      </c>
      <c r="C64" s="67" t="s">
        <v>66</v>
      </c>
      <c r="D64" s="645"/>
      <c r="E64" s="645"/>
      <c r="F64" s="645"/>
      <c r="G64" s="645"/>
      <c r="H64" s="646">
        <v>0</v>
      </c>
      <c r="I64" s="61"/>
      <c r="J64" s="1556"/>
      <c r="K64" s="423"/>
      <c r="L64" s="423"/>
      <c r="M64" s="423"/>
      <c r="N64" s="423"/>
      <c r="O64" s="423"/>
      <c r="P64" s="423"/>
      <c r="Q64" s="423"/>
      <c r="R64" s="423"/>
      <c r="S64" s="423"/>
      <c r="T64" s="425"/>
    </row>
    <row r="65" spans="2:12" ht="10.15" customHeight="1" x14ac:dyDescent="0.2"/>
    <row r="66" spans="2:12" x14ac:dyDescent="0.2">
      <c r="B66" s="69">
        <f>OHJE!D26</f>
        <v>0</v>
      </c>
      <c r="C66" s="409" t="str">
        <f>IF(D50&lt;0,"12. TULORAHOITUS OLTAVA VÄHINTÄÄN 0!",IF(E50&lt;0,"12. TULORAHOITUS OLTAVA VÄHINTÄÄN 0!",IF(F50&lt;0,"12. TULORAHOITUS OLTAVA VÄHINTÄÄN 0!",IF(G50&lt;0,"12. TULORAHOITUS OLTAVA VÄHINTÄÄN 0!",""))))</f>
        <v/>
      </c>
      <c r="D66" s="45"/>
      <c r="E66" s="1794">
        <f>OHJE!I5</f>
        <v>0</v>
      </c>
      <c r="F66" s="1794"/>
      <c r="G66" s="1794"/>
      <c r="H66" s="1794"/>
      <c r="J66"/>
    </row>
    <row r="67" spans="2:12" x14ac:dyDescent="0.2">
      <c r="B67" s="1829" t="str">
        <f>OHJE!G24</f>
        <v>YT22 Toimivan yrityksen tulossuunnitelma</v>
      </c>
      <c r="C67" s="1829"/>
      <c r="D67" s="1801" t="str">
        <f>OHJE!I21</f>
        <v>Kehittämisyhtiö Witas Oy</v>
      </c>
      <c r="E67" s="1801"/>
      <c r="F67" s="1801"/>
      <c r="G67" s="1801"/>
      <c r="H67" s="1801"/>
      <c r="J67"/>
      <c r="L67" s="1810">
        <v>0</v>
      </c>
    </row>
    <row r="68" spans="2:12" x14ac:dyDescent="0.2">
      <c r="B68" s="1829"/>
      <c r="C68" s="1829"/>
      <c r="D68" s="917"/>
      <c r="E68" s="917"/>
      <c r="F68" s="917"/>
      <c r="G68" s="917"/>
      <c r="H68" s="917"/>
      <c r="L68" s="1810"/>
    </row>
    <row r="69" spans="2:12" ht="14.25" x14ac:dyDescent="0.2">
      <c r="B69" s="70"/>
      <c r="C69" s="71"/>
    </row>
    <row r="70" spans="2:12" x14ac:dyDescent="0.2">
      <c r="B70" s="357" t="s">
        <v>248</v>
      </c>
    </row>
    <row r="71" spans="2:12" x14ac:dyDescent="0.2">
      <c r="B71" s="45" t="s">
        <v>249</v>
      </c>
    </row>
    <row r="72" spans="2:12" x14ac:dyDescent="0.2">
      <c r="B72" s="45" t="s">
        <v>250</v>
      </c>
    </row>
    <row r="73" spans="2:12" ht="14.25" x14ac:dyDescent="0.2">
      <c r="B73" s="70"/>
      <c r="C73" s="71"/>
    </row>
    <row r="74" spans="2:12" ht="14.25" x14ac:dyDescent="0.2">
      <c r="B74" s="70"/>
      <c r="C74" s="71"/>
    </row>
    <row r="75" spans="2:12" ht="14.25" x14ac:dyDescent="0.2">
      <c r="B75" s="70"/>
      <c r="C75" s="71"/>
    </row>
    <row r="76" spans="2:12" ht="14.25" x14ac:dyDescent="0.2">
      <c r="B76" s="70"/>
      <c r="C76" s="71"/>
    </row>
    <row r="77" spans="2:12" ht="14.25" x14ac:dyDescent="0.2">
      <c r="B77" s="70"/>
      <c r="C77" s="71"/>
    </row>
    <row r="78" spans="2:12" x14ac:dyDescent="0.2">
      <c r="B78" s="357"/>
    </row>
    <row r="79" spans="2:12" x14ac:dyDescent="0.2">
      <c r="B79" s="45"/>
    </row>
    <row r="80" spans="2:12" x14ac:dyDescent="0.2">
      <c r="B80" s="45"/>
    </row>
  </sheetData>
  <sheetProtection algorithmName="SHA-512" hashValue="renYMKoPUxSyXX0n9tvRGQL6iMTvH5RzPllFpf6HL2ohAhUOzpS6B0sp1uVjpSS6OwQlqMVSI1vdKJbVE0VxFQ==" saltValue="qwKcBTzUtjFddz4djqukBA==" spinCount="100000" sheet="1"/>
  <mergeCells count="21">
    <mergeCell ref="J3:K3"/>
    <mergeCell ref="L67:L68"/>
    <mergeCell ref="E5:F5"/>
    <mergeCell ref="B15:C16"/>
    <mergeCell ref="B44:C45"/>
    <mergeCell ref="E7:H7"/>
    <mergeCell ref="H44:H45"/>
    <mergeCell ref="E11:H11"/>
    <mergeCell ref="E10:H10"/>
    <mergeCell ref="E12:H12"/>
    <mergeCell ref="E13:H13"/>
    <mergeCell ref="B67:C67"/>
    <mergeCell ref="B68:C68"/>
    <mergeCell ref="H15:H16"/>
    <mergeCell ref="B53:C53"/>
    <mergeCell ref="B46:C46"/>
    <mergeCell ref="D67:H67"/>
    <mergeCell ref="E66:H66"/>
    <mergeCell ref="B7:C7"/>
    <mergeCell ref="B9:D9"/>
    <mergeCell ref="B11:D1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colBreaks count="1" manualBreakCount="1">
    <brk id="8" min="2" max="63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3">
    <tabColor rgb="FF0152A1"/>
  </sheetPr>
  <dimension ref="A1:AF129"/>
  <sheetViews>
    <sheetView showGridLines="0" showZeros="0" zoomScale="110" zoomScaleNormal="110" workbookViewId="0"/>
  </sheetViews>
  <sheetFormatPr defaultRowHeight="12.75" x14ac:dyDescent="0.2"/>
  <cols>
    <col min="2" max="2" width="3.42578125" style="33" customWidth="1"/>
    <col min="3" max="3" width="34.28515625" customWidth="1"/>
    <col min="4" max="4" width="5.28515625" customWidth="1"/>
    <col min="5" max="5" width="12.28515625" customWidth="1"/>
    <col min="6" max="6" width="5.28515625" customWidth="1"/>
    <col min="7" max="7" width="12.28515625" customWidth="1"/>
    <col min="8" max="8" width="5.7109375" style="33" customWidth="1"/>
    <col min="9" max="9" width="12.28515625" style="4" customWidth="1"/>
    <col min="10" max="10" width="5.7109375" style="33" customWidth="1"/>
    <col min="11" max="11" width="12.28515625" customWidth="1"/>
    <col min="12" max="12" width="5.7109375" style="33" customWidth="1"/>
    <col min="13" max="13" width="12.28515625" customWidth="1"/>
    <col min="14" max="14" width="5.7109375" style="33" customWidth="1"/>
    <col min="15" max="15" width="12.28515625" customWidth="1"/>
    <col min="16" max="16" width="5.7109375" style="33" customWidth="1"/>
    <col min="17" max="17" width="3.28515625" customWidth="1"/>
  </cols>
  <sheetData>
    <row r="1" spans="1:32" ht="30.4" customHeight="1" x14ac:dyDescent="0.2"/>
    <row r="2" spans="1:32" ht="15.75" x14ac:dyDescent="0.25">
      <c r="A2" s="1365" t="s">
        <v>535</v>
      </c>
      <c r="C2" s="19" t="s">
        <v>61</v>
      </c>
      <c r="G2" s="41"/>
      <c r="R2" s="19" t="s">
        <v>61</v>
      </c>
    </row>
    <row r="3" spans="1:32" ht="15.75" x14ac:dyDescent="0.2">
      <c r="G3" s="504"/>
      <c r="I3" s="375"/>
      <c r="K3" s="374"/>
    </row>
    <row r="4" spans="1:32" ht="20.25" customHeight="1" x14ac:dyDescent="0.2">
      <c r="B4" s="41" t="s">
        <v>537</v>
      </c>
      <c r="C4" s="38"/>
      <c r="D4" s="38"/>
      <c r="E4" s="38"/>
      <c r="F4" s="38"/>
      <c r="G4" s="38" t="s">
        <v>538</v>
      </c>
      <c r="H4" s="51"/>
      <c r="I4" s="303"/>
      <c r="K4" s="41"/>
      <c r="M4" s="38"/>
      <c r="N4" s="38"/>
      <c r="O4" s="38" t="s">
        <v>51</v>
      </c>
      <c r="P4" s="51"/>
    </row>
    <row r="5" spans="1:32" ht="15" customHeight="1" x14ac:dyDescent="0.2">
      <c r="B5" s="1802">
        <f>'1. T1 INVESTOINTISUUN.'!B7</f>
        <v>0</v>
      </c>
      <c r="C5" s="1802"/>
      <c r="D5" s="1802"/>
      <c r="E5" s="1802"/>
      <c r="F5" s="506"/>
      <c r="G5" s="1802">
        <f>'1. T1 INVESTOINTISUUN.'!B9</f>
        <v>0</v>
      </c>
      <c r="H5" s="1802"/>
      <c r="I5" s="1802"/>
      <c r="J5" s="1802"/>
      <c r="K5" s="1802"/>
      <c r="L5" s="1802"/>
      <c r="M5" s="453"/>
      <c r="N5" s="505"/>
      <c r="O5" s="1520">
        <f>'1. T1 INVESTOINTISUUN.'!E4</f>
        <v>0</v>
      </c>
      <c r="P5" s="1521"/>
      <c r="R5" s="1500" t="s">
        <v>592</v>
      </c>
      <c r="S5" s="1201"/>
      <c r="T5" s="1202"/>
      <c r="U5" s="1201"/>
      <c r="V5" s="1201"/>
      <c r="W5" s="1201"/>
      <c r="X5" s="1201"/>
      <c r="Y5" s="1201"/>
      <c r="Z5" s="1203"/>
      <c r="AA5" s="1203"/>
      <c r="AB5" s="1203"/>
      <c r="AC5" s="1203"/>
      <c r="AD5" s="1203"/>
      <c r="AE5" s="1203"/>
      <c r="AF5" s="1204"/>
    </row>
    <row r="6" spans="1:32" ht="12.75" customHeight="1" x14ac:dyDescent="0.2">
      <c r="R6" s="1872"/>
      <c r="S6" s="1873"/>
      <c r="T6" s="286"/>
      <c r="U6" s="286"/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422"/>
    </row>
    <row r="7" spans="1:32" x14ac:dyDescent="0.2">
      <c r="A7" s="46"/>
      <c r="B7" s="1875" t="s">
        <v>0</v>
      </c>
      <c r="C7" s="1876"/>
      <c r="D7" s="1877"/>
      <c r="E7" s="1840" t="s">
        <v>58</v>
      </c>
      <c r="F7" s="1841"/>
      <c r="G7" s="1840" t="s">
        <v>58</v>
      </c>
      <c r="H7" s="1841"/>
      <c r="I7" s="1840" t="str">
        <f>'1. T1 INVESTOINTISUUN.'!D15</f>
        <v>Ennuste 1</v>
      </c>
      <c r="J7" s="1841"/>
      <c r="K7" s="1840" t="s">
        <v>55</v>
      </c>
      <c r="L7" s="1841"/>
      <c r="M7" s="1840" t="s">
        <v>57</v>
      </c>
      <c r="N7" s="1841"/>
      <c r="O7" s="1840" t="s">
        <v>195</v>
      </c>
      <c r="P7" s="1844"/>
      <c r="Q7" s="4"/>
      <c r="R7" s="341"/>
      <c r="S7" s="286"/>
      <c r="T7" s="286"/>
      <c r="U7" s="286"/>
      <c r="V7" s="286"/>
      <c r="W7" s="286"/>
      <c r="X7" s="286"/>
      <c r="Y7" s="286"/>
      <c r="Z7" s="286"/>
      <c r="AA7" s="286"/>
      <c r="AB7" s="286"/>
      <c r="AC7" s="286"/>
      <c r="AD7" s="286"/>
      <c r="AE7" s="286"/>
      <c r="AF7" s="422"/>
    </row>
    <row r="8" spans="1:32" x14ac:dyDescent="0.2">
      <c r="B8" s="1878"/>
      <c r="C8" s="1879"/>
      <c r="D8" s="1880"/>
      <c r="E8" s="1847">
        <v>2024</v>
      </c>
      <c r="F8" s="1848"/>
      <c r="G8" s="1847">
        <v>2025</v>
      </c>
      <c r="H8" s="1848"/>
      <c r="I8" s="1847">
        <f>'1. T1 INVESTOINTISUUN.'!D16</f>
        <v>2027</v>
      </c>
      <c r="J8" s="1848"/>
      <c r="K8" s="1845">
        <f>I8+1</f>
        <v>2028</v>
      </c>
      <c r="L8" s="1851"/>
      <c r="M8" s="1845">
        <f>K8+1</f>
        <v>2029</v>
      </c>
      <c r="N8" s="1851"/>
      <c r="O8" s="1845">
        <f>M8+1</f>
        <v>2030</v>
      </c>
      <c r="P8" s="1846"/>
      <c r="Q8" s="4"/>
      <c r="R8" s="341"/>
      <c r="S8" s="286"/>
      <c r="T8" s="286"/>
      <c r="U8" s="286"/>
      <c r="V8" s="286"/>
      <c r="W8" s="286"/>
      <c r="X8" s="286"/>
      <c r="Y8" s="286"/>
      <c r="Z8" s="286"/>
      <c r="AA8" s="286"/>
      <c r="AB8" s="286"/>
      <c r="AC8" s="286"/>
      <c r="AD8" s="286"/>
      <c r="AE8" s="286"/>
      <c r="AF8" s="422"/>
    </row>
    <row r="9" spans="1:32" ht="13.5" thickBot="1" x14ac:dyDescent="0.25">
      <c r="A9" s="46"/>
      <c r="B9" s="1269"/>
      <c r="C9" s="1077"/>
      <c r="D9" s="1078"/>
      <c r="E9" s="1079" t="s">
        <v>16</v>
      </c>
      <c r="F9" s="1080" t="s">
        <v>14</v>
      </c>
      <c r="G9" s="1079" t="s">
        <v>16</v>
      </c>
      <c r="H9" s="1080" t="s">
        <v>14</v>
      </c>
      <c r="I9" s="1079" t="s">
        <v>16</v>
      </c>
      <c r="J9" s="1080" t="s">
        <v>14</v>
      </c>
      <c r="K9" s="1079" t="s">
        <v>16</v>
      </c>
      <c r="L9" s="1080" t="s">
        <v>14</v>
      </c>
      <c r="M9" s="1079" t="s">
        <v>16</v>
      </c>
      <c r="N9" s="1080" t="s">
        <v>14</v>
      </c>
      <c r="O9" s="1079" t="s">
        <v>16</v>
      </c>
      <c r="P9" s="1270" t="s">
        <v>14</v>
      </c>
      <c r="Q9" s="4"/>
      <c r="R9" s="341"/>
      <c r="S9" s="286"/>
      <c r="T9" s="286"/>
      <c r="U9" s="286"/>
      <c r="V9" s="286"/>
      <c r="W9" s="286"/>
      <c r="X9" s="286"/>
      <c r="Y9" s="286"/>
      <c r="Z9" s="286"/>
      <c r="AA9" s="286"/>
      <c r="AB9" s="286"/>
      <c r="AC9" s="286"/>
      <c r="AD9" s="286"/>
      <c r="AE9" s="286"/>
      <c r="AF9" s="422"/>
    </row>
    <row r="10" spans="1:32" x14ac:dyDescent="0.2">
      <c r="A10" s="2"/>
      <c r="B10" s="1252"/>
      <c r="C10" s="313"/>
      <c r="D10" s="965" t="s">
        <v>299</v>
      </c>
      <c r="E10" s="1838">
        <v>12</v>
      </c>
      <c r="F10" s="1849"/>
      <c r="G10" s="1838" t="s">
        <v>300</v>
      </c>
      <c r="H10" s="1849"/>
      <c r="I10" s="1838">
        <v>12</v>
      </c>
      <c r="J10" s="1849"/>
      <c r="K10" s="1838" t="s">
        <v>300</v>
      </c>
      <c r="L10" s="1849"/>
      <c r="M10" s="1838" t="s">
        <v>300</v>
      </c>
      <c r="N10" s="1849"/>
      <c r="O10" s="1838" t="s">
        <v>300</v>
      </c>
      <c r="P10" s="1839"/>
      <c r="Q10" s="4"/>
      <c r="R10" s="1205" t="s">
        <v>382</v>
      </c>
      <c r="S10" s="143"/>
      <c r="T10" s="143"/>
      <c r="U10" s="143"/>
      <c r="V10" s="286"/>
      <c r="W10" s="286"/>
      <c r="X10" s="286"/>
      <c r="Y10" s="286"/>
      <c r="Z10" s="286"/>
      <c r="AA10" s="286"/>
      <c r="AB10" s="286"/>
      <c r="AC10" s="286"/>
      <c r="AD10" s="286"/>
      <c r="AE10" s="286"/>
      <c r="AF10" s="422"/>
    </row>
    <row r="11" spans="1:32" s="46" customFormat="1" ht="13.9" customHeight="1" x14ac:dyDescent="0.2">
      <c r="A11"/>
      <c r="B11" s="1271" t="s">
        <v>2</v>
      </c>
      <c r="C11" s="964" t="s">
        <v>37</v>
      </c>
      <c r="D11" s="301" t="s">
        <v>47</v>
      </c>
      <c r="E11" s="885">
        <v>0</v>
      </c>
      <c r="F11" s="287">
        <v>0</v>
      </c>
      <c r="G11" s="903"/>
      <c r="H11" s="287">
        <v>0</v>
      </c>
      <c r="I11" s="886">
        <f>'6. E2 LIIKEVAIHTO '!F10</f>
        <v>0</v>
      </c>
      <c r="J11" s="287">
        <v>0</v>
      </c>
      <c r="K11" s="886">
        <f>'6. E2 LIIKEVAIHTO '!G10</f>
        <v>0</v>
      </c>
      <c r="L11" s="287">
        <v>0</v>
      </c>
      <c r="M11" s="886">
        <f>'6. E2 LIIKEVAIHTO '!H10</f>
        <v>0</v>
      </c>
      <c r="N11" s="287">
        <v>0</v>
      </c>
      <c r="O11" s="886">
        <f>'6. E2 LIIKEVAIHTO '!I10</f>
        <v>0</v>
      </c>
      <c r="P11" s="1272">
        <v>0</v>
      </c>
      <c r="Q11" s="156"/>
      <c r="R11" s="269">
        <f>I8</f>
        <v>2027</v>
      </c>
      <c r="S11" s="269">
        <f>K8</f>
        <v>2028</v>
      </c>
      <c r="T11" s="269">
        <f>M$8</f>
        <v>2029</v>
      </c>
      <c r="U11" s="269">
        <f>O$8</f>
        <v>2030</v>
      </c>
      <c r="V11" s="345"/>
      <c r="W11" s="286"/>
      <c r="X11" s="286"/>
      <c r="Y11" s="286"/>
      <c r="Z11" s="286"/>
      <c r="AA11" s="286"/>
      <c r="AB11" s="286"/>
      <c r="AC11" s="286"/>
      <c r="AD11" s="286"/>
      <c r="AE11" s="286"/>
      <c r="AF11" s="422"/>
    </row>
    <row r="12" spans="1:32" s="46" customFormat="1" ht="14.1" customHeight="1" x14ac:dyDescent="0.2">
      <c r="A12"/>
      <c r="B12" s="1273" t="s">
        <v>3</v>
      </c>
      <c r="C12" s="288" t="s">
        <v>38</v>
      </c>
      <c r="D12" s="289" t="s">
        <v>47</v>
      </c>
      <c r="E12" s="887">
        <v>0</v>
      </c>
      <c r="F12" s="290">
        <v>0</v>
      </c>
      <c r="G12" s="825">
        <v>0</v>
      </c>
      <c r="H12" s="290">
        <v>0</v>
      </c>
      <c r="I12" s="825">
        <v>0</v>
      </c>
      <c r="J12" s="290"/>
      <c r="K12" s="825">
        <f>I12+I12*S12</f>
        <v>0</v>
      </c>
      <c r="L12" s="290"/>
      <c r="M12" s="825">
        <f>K12+K12*T12</f>
        <v>0</v>
      </c>
      <c r="N12" s="290"/>
      <c r="O12" s="825">
        <f>M12+M12*U12</f>
        <v>0</v>
      </c>
      <c r="P12" s="1274"/>
      <c r="Q12" s="156"/>
      <c r="R12" s="344">
        <v>0</v>
      </c>
      <c r="S12" s="344">
        <f>R12</f>
        <v>0</v>
      </c>
      <c r="T12" s="344">
        <f>S12</f>
        <v>0</v>
      </c>
      <c r="U12" s="344">
        <f>T12</f>
        <v>0</v>
      </c>
      <c r="V12" s="345"/>
      <c r="W12" s="286"/>
      <c r="X12" s="286"/>
      <c r="Y12" s="286"/>
      <c r="Z12" s="286"/>
      <c r="AA12" s="286"/>
      <c r="AB12" s="286"/>
      <c r="AC12" s="286"/>
      <c r="AD12" s="286"/>
      <c r="AE12" s="286"/>
      <c r="AF12" s="422"/>
    </row>
    <row r="13" spans="1:32" s="46" customFormat="1" ht="14.1" customHeight="1" x14ac:dyDescent="0.2">
      <c r="A13"/>
      <c r="B13" s="1273" t="s">
        <v>4</v>
      </c>
      <c r="C13" s="288" t="s">
        <v>320</v>
      </c>
      <c r="D13" s="289" t="s">
        <v>47</v>
      </c>
      <c r="E13" s="887">
        <v>0</v>
      </c>
      <c r="F13" s="290"/>
      <c r="G13" s="825"/>
      <c r="H13" s="290"/>
      <c r="I13" s="825">
        <v>0</v>
      </c>
      <c r="J13" s="290"/>
      <c r="K13" s="825"/>
      <c r="L13" s="290"/>
      <c r="M13" s="825"/>
      <c r="N13" s="290"/>
      <c r="O13" s="825"/>
      <c r="P13" s="1274"/>
      <c r="Q13" s="156"/>
      <c r="R13" s="1206"/>
      <c r="S13" s="454"/>
      <c r="T13" s="454"/>
      <c r="U13" s="454"/>
      <c r="V13" s="286"/>
      <c r="W13" s="286"/>
      <c r="X13" s="286"/>
      <c r="Y13" s="286"/>
      <c r="Z13" s="286"/>
      <c r="AA13" s="286"/>
      <c r="AB13" s="286"/>
      <c r="AC13" s="286"/>
      <c r="AD13" s="286"/>
      <c r="AE13" s="286"/>
      <c r="AF13" s="422"/>
    </row>
    <row r="14" spans="1:32" s="42" customFormat="1" ht="14.1" customHeight="1" x14ac:dyDescent="0.2">
      <c r="A14"/>
      <c r="B14" s="1273" t="s">
        <v>5</v>
      </c>
      <c r="C14" s="291" t="s">
        <v>42</v>
      </c>
      <c r="D14" s="292"/>
      <c r="E14" s="888">
        <f>SUM(E11:E13)</f>
        <v>0</v>
      </c>
      <c r="F14" s="293">
        <v>100</v>
      </c>
      <c r="G14" s="889">
        <f>SUM(G11:G13)</f>
        <v>0</v>
      </c>
      <c r="H14" s="293">
        <v>100</v>
      </c>
      <c r="I14" s="889">
        <f>SUM(I11:I13)</f>
        <v>0</v>
      </c>
      <c r="J14" s="293">
        <v>100</v>
      </c>
      <c r="K14" s="889">
        <f>SUM(K11:K13)</f>
        <v>0</v>
      </c>
      <c r="L14" s="293">
        <v>100</v>
      </c>
      <c r="M14" s="889">
        <f>SUM(M11:M13)</f>
        <v>0</v>
      </c>
      <c r="N14" s="293">
        <v>100</v>
      </c>
      <c r="O14" s="889">
        <f>SUM(O11:O13)</f>
        <v>0</v>
      </c>
      <c r="P14" s="692">
        <v>100</v>
      </c>
      <c r="Q14" s="156"/>
      <c r="R14" s="341"/>
      <c r="S14" s="286"/>
      <c r="T14" s="286"/>
      <c r="U14" s="286"/>
      <c r="V14" s="286"/>
      <c r="W14" s="286"/>
      <c r="X14" s="286"/>
      <c r="Y14" s="286"/>
      <c r="Z14" s="286"/>
      <c r="AA14" s="286"/>
      <c r="AB14" s="286"/>
      <c r="AC14" s="286"/>
      <c r="AD14" s="286"/>
      <c r="AE14" s="286"/>
      <c r="AF14" s="422"/>
    </row>
    <row r="15" spans="1:32" s="46" customFormat="1" ht="14.1" customHeight="1" x14ac:dyDescent="0.2">
      <c r="A15"/>
      <c r="B15" s="1273" t="s">
        <v>6</v>
      </c>
      <c r="C15" s="288" t="s">
        <v>547</v>
      </c>
      <c r="D15" s="289" t="s">
        <v>48</v>
      </c>
      <c r="E15" s="887">
        <v>0</v>
      </c>
      <c r="F15" s="294">
        <f>IF(E$14&gt;0,E15/E$14*100,0)</f>
        <v>0</v>
      </c>
      <c r="G15" s="825"/>
      <c r="H15" s="294">
        <f>-IF(G$14&gt;0,G15/G$14*100,0)</f>
        <v>0</v>
      </c>
      <c r="I15" s="820">
        <f>-'6. E2 LIIKEVAIHTO '!F11</f>
        <v>0</v>
      </c>
      <c r="J15" s="294">
        <f>-IF(I$14&gt;0,I15/I$14*100,0)</f>
        <v>0</v>
      </c>
      <c r="K15" s="820">
        <f>-'6. E2 LIIKEVAIHTO '!G11</f>
        <v>0</v>
      </c>
      <c r="L15" s="294">
        <f>-IF(K$14&gt;0,K15/K$14*100,0)</f>
        <v>0</v>
      </c>
      <c r="M15" s="820">
        <f>-'6. E2 LIIKEVAIHTO '!H11</f>
        <v>0</v>
      </c>
      <c r="N15" s="294">
        <f>-IF(M$14&gt;0,M15/M$14*100,0)</f>
        <v>0</v>
      </c>
      <c r="O15" s="820">
        <f>-'6. E2 LIIKEVAIHTO '!I11</f>
        <v>0</v>
      </c>
      <c r="P15" s="1275">
        <f>-IF(O$14&gt;0,O15/O$14*100,0)</f>
        <v>0</v>
      </c>
      <c r="Q15" s="156"/>
      <c r="R15" s="341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422"/>
    </row>
    <row r="16" spans="1:32" s="46" customFormat="1" ht="14.1" customHeight="1" x14ac:dyDescent="0.2">
      <c r="A16"/>
      <c r="B16" s="1273" t="s">
        <v>7</v>
      </c>
      <c r="C16" s="288" t="s">
        <v>40</v>
      </c>
      <c r="D16" s="289" t="s">
        <v>48</v>
      </c>
      <c r="E16" s="887">
        <v>0</v>
      </c>
      <c r="F16" s="294">
        <v>0</v>
      </c>
      <c r="G16" s="825">
        <v>0</v>
      </c>
      <c r="H16" s="294">
        <f>-IF(G$14&gt;0,G16/G$14*100,0)</f>
        <v>0</v>
      </c>
      <c r="I16" s="820">
        <f>-J16*I14/100</f>
        <v>0</v>
      </c>
      <c r="J16" s="588">
        <f>H16</f>
        <v>0</v>
      </c>
      <c r="K16" s="820">
        <f>-L16*K14/100</f>
        <v>0</v>
      </c>
      <c r="L16" s="588">
        <f>J16</f>
        <v>0</v>
      </c>
      <c r="M16" s="820">
        <f>-N16*M14/100</f>
        <v>0</v>
      </c>
      <c r="N16" s="588">
        <f>L16</f>
        <v>0</v>
      </c>
      <c r="O16" s="820">
        <f>-P16*O14/100</f>
        <v>0</v>
      </c>
      <c r="P16" s="1276">
        <f>N16</f>
        <v>0</v>
      </c>
      <c r="Q16" s="156"/>
      <c r="R16" s="341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422"/>
    </row>
    <row r="17" spans="1:32" s="46" customFormat="1" ht="14.1" customHeight="1" x14ac:dyDescent="0.2">
      <c r="A17"/>
      <c r="B17" s="1273" t="s">
        <v>8</v>
      </c>
      <c r="C17" s="288" t="s">
        <v>13</v>
      </c>
      <c r="D17" s="289" t="s">
        <v>48</v>
      </c>
      <c r="E17" s="887">
        <v>0</v>
      </c>
      <c r="F17" s="294">
        <v>0</v>
      </c>
      <c r="G17" s="825"/>
      <c r="H17" s="294">
        <f>-IF(G$14&gt;0,G17/G$14*100,0)</f>
        <v>0</v>
      </c>
      <c r="I17" s="820">
        <f>-'5. E1 KUSTANNUKSET '!F44-'3. T3 TASE '!H91+'3. T3 TASE '!G91-'3. T3 TASE '!H92+'3. T3 TASE '!G92</f>
        <v>0</v>
      </c>
      <c r="J17" s="294">
        <f>-IF(I$14&gt;0,I17/I$14*100,0)</f>
        <v>0</v>
      </c>
      <c r="K17" s="820">
        <f>-'5. E1 KUSTANNUKSET '!H44-'3. T3 TASE '!I91+'3. T3 TASE '!H91-'3. T3 TASE '!I92+'3. T3 TASE '!H92</f>
        <v>0</v>
      </c>
      <c r="L17" s="294">
        <f>-IF(K$14&gt;0,K17/K$14*100,0)</f>
        <v>0</v>
      </c>
      <c r="M17" s="820">
        <f>-'5. E1 KUSTANNUKSET '!J44-'3. T3 TASE '!J91+'3. T3 TASE '!I91-'3. T3 TASE '!J92+'3. T3 TASE '!I92</f>
        <v>0</v>
      </c>
      <c r="N17" s="294">
        <f>-IF(M$14&gt;0,M17/M$14*100,0)</f>
        <v>0</v>
      </c>
      <c r="O17" s="820">
        <f>-'5. E1 KUSTANNUKSET '!L44-'3. T3 TASE '!K91+'3. T3 TASE '!J91-'3. T3 TASE '!K92+'3. T3 TASE '!J92</f>
        <v>0</v>
      </c>
      <c r="P17" s="1275">
        <f>-IF(O$14&gt;0,O17/O$14*100,0)</f>
        <v>0</v>
      </c>
      <c r="Q17" s="156"/>
      <c r="R17" s="341"/>
      <c r="S17" s="286"/>
      <c r="T17" s="286"/>
      <c r="U17" s="286"/>
      <c r="V17" s="286"/>
      <c r="W17" s="286"/>
      <c r="X17" s="286"/>
      <c r="Y17" s="286"/>
      <c r="Z17" s="286"/>
      <c r="AA17" s="286"/>
      <c r="AB17" s="286"/>
      <c r="AC17" s="286"/>
      <c r="AD17" s="286"/>
      <c r="AE17" s="286"/>
      <c r="AF17" s="422"/>
    </row>
    <row r="18" spans="1:32" s="46" customFormat="1" ht="14.1" customHeight="1" x14ac:dyDescent="0.2">
      <c r="A18"/>
      <c r="B18" s="1273" t="s">
        <v>9</v>
      </c>
      <c r="C18" s="295" t="s">
        <v>41</v>
      </c>
      <c r="D18" s="289" t="s">
        <v>48</v>
      </c>
      <c r="E18" s="887">
        <v>0</v>
      </c>
      <c r="F18" s="294">
        <v>0</v>
      </c>
      <c r="G18" s="825"/>
      <c r="H18" s="294">
        <f>-IF(G$14&gt;0,G18/G$14*100,0)</f>
        <v>0</v>
      </c>
      <c r="I18" s="820">
        <f>-'5. E1 KUSTANNUKSET '!F45</f>
        <v>0</v>
      </c>
      <c r="J18" s="294">
        <f>-IF(I$14&gt;0,I18/I$14*100,0)</f>
        <v>0</v>
      </c>
      <c r="K18" s="820">
        <f>-'5. E1 KUSTANNUKSET '!H45</f>
        <v>0</v>
      </c>
      <c r="L18" s="294">
        <f>-IF(K$14&gt;0,K18/K$14*100,0)</f>
        <v>0</v>
      </c>
      <c r="M18" s="820">
        <f>-'5. E1 KUSTANNUKSET '!J45</f>
        <v>0</v>
      </c>
      <c r="N18" s="294">
        <f>-IF(M$14&gt;0,M18/M$14*100,0)</f>
        <v>0</v>
      </c>
      <c r="O18" s="820">
        <f>-'5. E1 KUSTANNUKSET '!L45</f>
        <v>0</v>
      </c>
      <c r="P18" s="1275">
        <f>-IF(O$14&gt;0,O18/O$14*100,0)</f>
        <v>0</v>
      </c>
      <c r="Q18" s="156"/>
      <c r="R18" s="341"/>
      <c r="S18" s="286"/>
      <c r="T18" s="286"/>
      <c r="U18" s="286"/>
      <c r="V18" s="286"/>
      <c r="W18" s="286"/>
      <c r="X18" s="286"/>
      <c r="Y18" s="286"/>
      <c r="Z18" s="286"/>
      <c r="AA18" s="286"/>
      <c r="AB18" s="286"/>
      <c r="AC18" s="286"/>
      <c r="AD18" s="286"/>
      <c r="AE18" s="286"/>
      <c r="AF18" s="422"/>
    </row>
    <row r="19" spans="1:32" s="46" customFormat="1" ht="14.1" customHeight="1" x14ac:dyDescent="0.2">
      <c r="A19"/>
      <c r="B19" s="1273" t="s">
        <v>10</v>
      </c>
      <c r="C19" s="295" t="s">
        <v>624</v>
      </c>
      <c r="D19" s="296" t="s">
        <v>199</v>
      </c>
      <c r="E19" s="887">
        <v>0</v>
      </c>
      <c r="F19" s="294">
        <f>IF(E$14&gt;0,E19/E$14*100,0)</f>
        <v>0</v>
      </c>
      <c r="G19" s="825"/>
      <c r="H19" s="294">
        <f>IF(G$14&gt;0,G19/G$14*100,0)</f>
        <v>0</v>
      </c>
      <c r="I19" s="820">
        <f>'3. T3 TASE '!H37-'3. T3 TASE '!G37</f>
        <v>0</v>
      </c>
      <c r="J19" s="294">
        <f>IF(I$14&gt;0,I19/I$14*100,0)</f>
        <v>0</v>
      </c>
      <c r="K19" s="820">
        <f>'3. T3 TASE '!I37-'3. T3 TASE '!H37</f>
        <v>0</v>
      </c>
      <c r="L19" s="294">
        <f>IF(K$14&gt;0,K19/K$14*100,0)</f>
        <v>0</v>
      </c>
      <c r="M19" s="820">
        <f>'3. T3 TASE '!J37-'3. T3 TASE '!I37</f>
        <v>0</v>
      </c>
      <c r="N19" s="294">
        <f>IF(M$14&gt;0,M19/M$14*100,0)</f>
        <v>0</v>
      </c>
      <c r="O19" s="820">
        <f>'3. T3 TASE '!K37-'3. T3 TASE '!J37</f>
        <v>0</v>
      </c>
      <c r="P19" s="1275">
        <f>IF(O$14&gt;0,O19/O$14*100,0)</f>
        <v>0</v>
      </c>
      <c r="Q19" s="156"/>
      <c r="R19" s="341"/>
      <c r="S19" s="286"/>
      <c r="T19" s="286"/>
      <c r="U19" s="286"/>
      <c r="V19" s="286"/>
      <c r="W19" s="286"/>
      <c r="X19" s="286"/>
      <c r="Y19" s="286"/>
      <c r="Z19" s="286"/>
      <c r="AA19" s="286"/>
      <c r="AB19" s="286"/>
      <c r="AC19" s="286"/>
      <c r="AD19" s="286"/>
      <c r="AE19" s="286"/>
      <c r="AF19" s="422"/>
    </row>
    <row r="20" spans="1:32" s="46" customFormat="1" ht="14.1" customHeight="1" x14ac:dyDescent="0.2">
      <c r="A20"/>
      <c r="B20" s="1273" t="s">
        <v>11</v>
      </c>
      <c r="C20" s="297" t="s">
        <v>43</v>
      </c>
      <c r="D20" s="298"/>
      <c r="E20" s="888">
        <f>SUM(E14:E19)</f>
        <v>0</v>
      </c>
      <c r="F20" s="294">
        <f>IF(E$14&gt;0,E20/E$14*100,0)</f>
        <v>0</v>
      </c>
      <c r="G20" s="889">
        <f>SUM(G14:G19)</f>
        <v>0</v>
      </c>
      <c r="H20" s="294">
        <f>IF(G$14&gt;0,G20/G$14*100,0)</f>
        <v>0</v>
      </c>
      <c r="I20" s="889">
        <f>SUM(I14:I19)</f>
        <v>0</v>
      </c>
      <c r="J20" s="294">
        <f>IF(I$14&gt;0,I20/I$14*100,0)</f>
        <v>0</v>
      </c>
      <c r="K20" s="889">
        <f>SUM(K14:K19)</f>
        <v>0</v>
      </c>
      <c r="L20" s="294">
        <f>IF(K$14&gt;0,K20/K$14*100,0)</f>
        <v>0</v>
      </c>
      <c r="M20" s="889">
        <f>SUM(M14:M19)</f>
        <v>0</v>
      </c>
      <c r="N20" s="294">
        <f>IF(M$14&gt;0,M20/M$14*100,0)</f>
        <v>0</v>
      </c>
      <c r="O20" s="889">
        <f>SUM(O14:O19)</f>
        <v>0</v>
      </c>
      <c r="P20" s="1275">
        <f>IF(O$14&gt;0,O20/O$14*100,0)</f>
        <v>0</v>
      </c>
      <c r="Q20" s="156"/>
      <c r="R20" s="341"/>
      <c r="S20" s="286"/>
      <c r="T20" s="286"/>
      <c r="U20" s="286"/>
      <c r="V20" s="286"/>
      <c r="W20" s="286"/>
      <c r="X20" s="286"/>
      <c r="Y20" s="286"/>
      <c r="Z20" s="286"/>
      <c r="AA20" s="286"/>
      <c r="AB20" s="286"/>
      <c r="AC20" s="286"/>
      <c r="AD20" s="286"/>
      <c r="AE20" s="286"/>
      <c r="AF20" s="422"/>
    </row>
    <row r="21" spans="1:32" s="46" customFormat="1" ht="14.1" customHeight="1" x14ac:dyDescent="0.2">
      <c r="B21" s="1273" t="s">
        <v>115</v>
      </c>
      <c r="C21" s="295" t="s">
        <v>271</v>
      </c>
      <c r="D21" s="289" t="s">
        <v>48</v>
      </c>
      <c r="E21" s="887">
        <v>0</v>
      </c>
      <c r="F21" s="294">
        <f>-IF(E$14&gt;0,E21/E$14*100,0)</f>
        <v>0</v>
      </c>
      <c r="G21" s="825"/>
      <c r="H21" s="294">
        <f>-IF(G$14&gt;0,G21/G$14*100,0)</f>
        <v>0</v>
      </c>
      <c r="I21" s="820">
        <f>-('3. T3 TASE '!H15+'3. T3 TASE '!H23+'3. T3 TASE '!H27+'3. T3 TASE '!H31)</f>
        <v>0</v>
      </c>
      <c r="J21" s="294">
        <f>-IF(I$11&gt;0,I21/I$14*100,0)</f>
        <v>0</v>
      </c>
      <c r="K21" s="820">
        <f>-('3. T3 TASE '!I15+'3. T3 TASE '!I23+'3. T3 TASE '!I27+'3. T3 TASE '!I31+'3. T3 TASE '!I14+'3. T3 TASE '!I19+'3. T3 TASE '!I22+'3. T3 TASE '!I26+'3. T3 TASE '!I30)</f>
        <v>0</v>
      </c>
      <c r="L21" s="294">
        <f>-IF(K$11&gt;0,K21/K$14*100,0)</f>
        <v>0</v>
      </c>
      <c r="M21" s="820">
        <f>-('3. T3 TASE '!J15+'3. T3 TASE '!J23+'3. T3 TASE '!J27+'3. T3 TASE '!J31+'3. T3 TASE '!J14+'3. T3 TASE '!J19+'3. T3 TASE '!J22+'3. T3 TASE '!J26+'3. T3 TASE '!J30)</f>
        <v>0</v>
      </c>
      <c r="N21" s="294">
        <f>-IF(M$11&gt;0,M21/M$14*100,0)</f>
        <v>0</v>
      </c>
      <c r="O21" s="820">
        <f>-('3. T3 TASE '!K15+'3. T3 TASE '!K23+'3. T3 TASE '!K27+'3. T3 TASE '!K31+'3. T3 TASE '!K14+'3. T3 TASE '!K19+'3. T3 TASE '!K22+'3. T3 TASE '!K26+'3. T3 TASE '!K30)</f>
        <v>0</v>
      </c>
      <c r="P21" s="1275">
        <f>-IF(O$11&gt;0,O21/O$14*100,0)</f>
        <v>0</v>
      </c>
      <c r="Q21" s="156"/>
      <c r="R21" s="341"/>
      <c r="S21" s="286"/>
      <c r="T21" s="286"/>
      <c r="U21" s="286"/>
      <c r="V21" s="286"/>
      <c r="W21" s="286"/>
      <c r="X21" s="286"/>
      <c r="Y21" s="286"/>
      <c r="Z21" s="286"/>
      <c r="AA21" s="286"/>
      <c r="AB21" s="286"/>
      <c r="AC21" s="286"/>
      <c r="AD21" s="286"/>
      <c r="AE21" s="286"/>
      <c r="AF21" s="422"/>
    </row>
    <row r="22" spans="1:32" s="46" customFormat="1" ht="14.1" customHeight="1" x14ac:dyDescent="0.2">
      <c r="A22" s="2"/>
      <c r="B22" s="1273" t="s">
        <v>116</v>
      </c>
      <c r="C22" s="297" t="s">
        <v>272</v>
      </c>
      <c r="D22" s="299"/>
      <c r="E22" s="888">
        <f>SUM(E20:E21)</f>
        <v>0</v>
      </c>
      <c r="F22" s="294">
        <f>IF(E$14&gt;0,E22/E$14*100,0)</f>
        <v>0</v>
      </c>
      <c r="G22" s="889">
        <f>SUM(G20:G21)</f>
        <v>0</v>
      </c>
      <c r="H22" s="294">
        <f>IF(G$14&gt;0,G22/G$14*100,0)</f>
        <v>0</v>
      </c>
      <c r="I22" s="889">
        <f>SUM(I20:I21)</f>
        <v>0</v>
      </c>
      <c r="J22" s="294">
        <f>IF(I$11&gt;0,I22/I$14*100,0)</f>
        <v>0</v>
      </c>
      <c r="K22" s="889">
        <f>SUM(K20:K21)</f>
        <v>0</v>
      </c>
      <c r="L22" s="294">
        <f>IF(K$11&gt;0,K22/K$14*100,0)</f>
        <v>0</v>
      </c>
      <c r="M22" s="889">
        <f>SUM(M20:M21)</f>
        <v>0</v>
      </c>
      <c r="N22" s="294">
        <f>IF(M$11&gt;0,M22/M$14*100,0)</f>
        <v>0</v>
      </c>
      <c r="O22" s="889">
        <f>SUM(O20:O21)</f>
        <v>0</v>
      </c>
      <c r="P22" s="1275">
        <f>IF(O$11&gt;0,O22/O$14*100,0)</f>
        <v>0</v>
      </c>
      <c r="Q22" s="156"/>
      <c r="R22" s="341"/>
      <c r="S22" s="286"/>
      <c r="T22" s="286">
        <v>0</v>
      </c>
      <c r="U22" s="286"/>
      <c r="V22" s="286"/>
      <c r="W22" s="286">
        <v>0</v>
      </c>
      <c r="X22" s="286"/>
      <c r="Y22" s="286"/>
      <c r="Z22" s="286"/>
      <c r="AA22" s="286"/>
      <c r="AB22" s="286"/>
      <c r="AC22" s="286"/>
      <c r="AD22" s="286"/>
      <c r="AE22" s="286"/>
      <c r="AF22" s="422"/>
    </row>
    <row r="23" spans="1:32" s="46" customFormat="1" ht="14.1" customHeight="1" x14ac:dyDescent="0.2">
      <c r="A23"/>
      <c r="B23" s="1273" t="s">
        <v>275</v>
      </c>
      <c r="C23" s="295" t="s">
        <v>54</v>
      </c>
      <c r="D23" s="289" t="s">
        <v>47</v>
      </c>
      <c r="E23" s="887">
        <v>0</v>
      </c>
      <c r="F23" s="294">
        <f>IF(E$14&gt;0,E23/E$14*100,0)</f>
        <v>0</v>
      </c>
      <c r="G23" s="825">
        <v>0</v>
      </c>
      <c r="H23" s="294">
        <f>IF(G$14&gt;0,G23/G$14*100,0)</f>
        <v>0</v>
      </c>
      <c r="I23" s="825">
        <v>0</v>
      </c>
      <c r="J23" s="294">
        <f>IF(I$14&gt;0,I23/I$14*100,0)</f>
        <v>0</v>
      </c>
      <c r="K23" s="825">
        <v>0</v>
      </c>
      <c r="L23" s="294">
        <f>IF(K$14&gt;0,K23/K$14*100,0)</f>
        <v>0</v>
      </c>
      <c r="M23" s="825"/>
      <c r="N23" s="294">
        <f>IF(M$14&gt;0,M23/M$14*100,0)</f>
        <v>0</v>
      </c>
      <c r="O23" s="825"/>
      <c r="P23" s="1275">
        <f>IF(O$14&gt;0,O23/O$14*100,0)</f>
        <v>0</v>
      </c>
      <c r="Q23" s="156"/>
      <c r="R23" s="341"/>
      <c r="S23" s="286"/>
      <c r="T23" s="286"/>
      <c r="U23" s="286"/>
      <c r="V23" s="286"/>
      <c r="W23" s="286"/>
      <c r="X23" s="286"/>
      <c r="Y23" s="286"/>
      <c r="Z23" s="286"/>
      <c r="AA23" s="286"/>
      <c r="AB23" s="286"/>
      <c r="AC23" s="286"/>
      <c r="AD23" s="286"/>
      <c r="AE23" s="286"/>
      <c r="AF23" s="422"/>
    </row>
    <row r="24" spans="1:32" s="46" customFormat="1" ht="14.1" customHeight="1" x14ac:dyDescent="0.2">
      <c r="A24"/>
      <c r="B24" s="1271" t="s">
        <v>117</v>
      </c>
      <c r="C24" s="300" t="s">
        <v>336</v>
      </c>
      <c r="D24" s="301" t="s">
        <v>47</v>
      </c>
      <c r="E24" s="887">
        <v>0</v>
      </c>
      <c r="F24" s="294">
        <f>IF(E$14&gt;0,E24/E$14*100,0)</f>
        <v>0</v>
      </c>
      <c r="G24" s="825"/>
      <c r="H24" s="294">
        <f>IF(G$14&gt;0,G24/G$14*100,0)</f>
        <v>0</v>
      </c>
      <c r="I24" s="825">
        <v>0</v>
      </c>
      <c r="J24" s="294">
        <f>IF(I$14&gt;0,I24/I$14*100,0)</f>
        <v>0</v>
      </c>
      <c r="K24" s="825">
        <v>0</v>
      </c>
      <c r="L24" s="294">
        <f>IF(K$14&gt;0,K24/K$14*100,0)</f>
        <v>0</v>
      </c>
      <c r="M24" s="825">
        <v>0</v>
      </c>
      <c r="N24" s="294">
        <f>IF(M$14&gt;0,M24/M$14*100,0)</f>
        <v>0</v>
      </c>
      <c r="O24" s="825">
        <v>0</v>
      </c>
      <c r="P24" s="1275">
        <f>IF(O$14&gt;0,O24/O$14*100,0)</f>
        <v>0</v>
      </c>
      <c r="Q24" s="156"/>
      <c r="R24" s="341"/>
      <c r="S24" s="286"/>
      <c r="T24" s="286"/>
      <c r="U24" s="286"/>
      <c r="V24" s="286"/>
      <c r="W24" s="286"/>
      <c r="X24" s="286"/>
      <c r="Y24" s="286"/>
      <c r="Z24" s="286"/>
      <c r="AA24" s="286"/>
      <c r="AB24" s="286"/>
      <c r="AC24" s="286"/>
      <c r="AD24" s="286"/>
      <c r="AE24" s="286"/>
      <c r="AF24" s="422"/>
    </row>
    <row r="25" spans="1:32" s="46" customFormat="1" ht="14.1" customHeight="1" x14ac:dyDescent="0.2">
      <c r="A25"/>
      <c r="B25" s="1273" t="s">
        <v>118</v>
      </c>
      <c r="C25" s="288" t="s">
        <v>337</v>
      </c>
      <c r="D25" s="289" t="s">
        <v>48</v>
      </c>
      <c r="E25" s="887">
        <v>0</v>
      </c>
      <c r="F25" s="294">
        <f>-IF(E$14&gt;0,E25/E$14*100,0)</f>
        <v>0</v>
      </c>
      <c r="G25" s="825"/>
      <c r="H25" s="294">
        <f>-IF(G$14&gt;0,G25/G$14*100,0)</f>
        <v>0</v>
      </c>
      <c r="I25" s="820">
        <f>-'4. T7 LAINAT '!H50</f>
        <v>0</v>
      </c>
      <c r="J25" s="294">
        <f>-IF(I$14&gt;0,I25/I$14*100,0)</f>
        <v>0</v>
      </c>
      <c r="K25" s="820">
        <f>-'4. T7 LAINAT '!K50</f>
        <v>0</v>
      </c>
      <c r="L25" s="294">
        <f>-IF(K$14&gt;0,K25/K$14*100,0)</f>
        <v>0</v>
      </c>
      <c r="M25" s="820">
        <f>-'4. T7 LAINAT '!N50</f>
        <v>0</v>
      </c>
      <c r="N25" s="294">
        <f>-IF(M$14&gt;0,M25/M$14*100,0)</f>
        <v>0</v>
      </c>
      <c r="O25" s="820">
        <f>-'4. T7 LAINAT '!Q50</f>
        <v>0</v>
      </c>
      <c r="P25" s="1275">
        <f>-IF(O$14&gt;0,O25/O$14*100,0)</f>
        <v>0</v>
      </c>
      <c r="Q25" s="156"/>
      <c r="R25" s="341"/>
      <c r="S25" s="286"/>
      <c r="T25" s="286"/>
      <c r="U25" s="286"/>
      <c r="V25" s="286"/>
      <c r="W25" s="286"/>
      <c r="X25" s="286"/>
      <c r="Y25" s="286"/>
      <c r="Z25" s="286"/>
      <c r="AA25" s="286"/>
      <c r="AB25" s="286"/>
      <c r="AC25" s="286"/>
      <c r="AD25" s="286"/>
      <c r="AE25" s="286"/>
      <c r="AF25" s="422"/>
    </row>
    <row r="26" spans="1:32" s="46" customFormat="1" ht="27" customHeight="1" x14ac:dyDescent="0.2">
      <c r="A26"/>
      <c r="B26" s="1273" t="s">
        <v>119</v>
      </c>
      <c r="C26" s="1881" t="s">
        <v>632</v>
      </c>
      <c r="D26" s="1882"/>
      <c r="E26" s="890">
        <f>E22+E23+E24+E25</f>
        <v>0</v>
      </c>
      <c r="F26" s="294">
        <f>IF(E$14&gt;0,E26/E$14*100,0)</f>
        <v>0</v>
      </c>
      <c r="G26" s="891">
        <f>G22+G23+G24+G25</f>
        <v>0</v>
      </c>
      <c r="H26" s="294">
        <f>IF(G$14&gt;0,G26/G$14*100,0)</f>
        <v>0</v>
      </c>
      <c r="I26" s="891">
        <f>I22+I23+I24+I25</f>
        <v>0</v>
      </c>
      <c r="J26" s="294">
        <f>IF(I$11&gt;0,I26/I$14*100,0)</f>
        <v>0</v>
      </c>
      <c r="K26" s="891">
        <f>K22+K23+K24+K25</f>
        <v>0</v>
      </c>
      <c r="L26" s="294">
        <f>IF(K$11&gt;0,K26/K$14*100,0)</f>
        <v>0</v>
      </c>
      <c r="M26" s="891">
        <f>M22+M23+M24+M25</f>
        <v>0</v>
      </c>
      <c r="N26" s="294">
        <f>IF(M$11&gt;0,M26/M$14*100,0)</f>
        <v>0</v>
      </c>
      <c r="O26" s="891">
        <f>O22+O23+O24+O25</f>
        <v>0</v>
      </c>
      <c r="P26" s="1275">
        <f>IF(O$11&gt;0,O26/O$14*100,0)</f>
        <v>0</v>
      </c>
      <c r="Q26" s="156"/>
      <c r="R26" s="341"/>
      <c r="S26" s="286"/>
      <c r="T26" s="286"/>
      <c r="U26" s="1425"/>
      <c r="V26" s="1425"/>
      <c r="W26" s="286"/>
      <c r="X26" s="286"/>
      <c r="Y26" s="286"/>
      <c r="Z26" s="286"/>
      <c r="AA26" s="286"/>
      <c r="AB26" s="286"/>
      <c r="AC26" s="286"/>
      <c r="AD26" s="286"/>
      <c r="AE26" s="286"/>
      <c r="AF26" s="422"/>
    </row>
    <row r="27" spans="1:32" s="46" customFormat="1" ht="14.1" customHeight="1" x14ac:dyDescent="0.2">
      <c r="A27"/>
      <c r="B27" s="1273" t="s">
        <v>120</v>
      </c>
      <c r="C27" s="499" t="s">
        <v>45</v>
      </c>
      <c r="D27" s="500" t="s">
        <v>48</v>
      </c>
      <c r="E27" s="892">
        <v>0</v>
      </c>
      <c r="F27" s="294">
        <f>-IF(E$14&gt;0,E27/E$14*100,0)</f>
        <v>0</v>
      </c>
      <c r="G27" s="893">
        <v>0</v>
      </c>
      <c r="H27" s="294">
        <f>-IF(G$14&gt;0,G27/G$14*100,0)</f>
        <v>0</v>
      </c>
      <c r="I27" s="894">
        <f>-IF(I28*(I26+I29+I30+0.5*'5. E1 KUSTANNUKSET '!F86)&lt;0,0,I28*(I26+I29+I30+0.5*'5. E1 KUSTANNUKSET '!F86))</f>
        <v>0</v>
      </c>
      <c r="J27" s="294">
        <f>-IF(I$14&gt;0,I27/I$14*100,0)</f>
        <v>0</v>
      </c>
      <c r="K27" s="894">
        <f>-IF(K28*(K26+K29+K30+0.5*'5. E1 KUSTANNUKSET '!H86)&lt;0,0,K28*(K26+K29+K30+0.5*'5. E1 KUSTANNUKSET '!H86))</f>
        <v>0</v>
      </c>
      <c r="L27" s="294">
        <f>-IF(K$14&gt;0,K27/K$14*100,0)</f>
        <v>0</v>
      </c>
      <c r="M27" s="894">
        <f>-IF(M28*(M26+M29+M30+0.5*'5. E1 KUSTANNUKSET '!J86)&lt;0,0,M28*(M26+M29+M30+0.5*'5. E1 KUSTANNUKSET '!J86))</f>
        <v>0</v>
      </c>
      <c r="N27" s="294">
        <f>-IF(M$14&gt;0,M27/M$14*100,0)</f>
        <v>0</v>
      </c>
      <c r="O27" s="894">
        <f>-IF(O28*(O26+O29+O30+0.5*'5. E1 KUSTANNUKSET '!L86)&lt;0,0,O28*(O26+O29+O30+0.5*'5. E1 KUSTANNUKSET '!L86))</f>
        <v>0</v>
      </c>
      <c r="P27" s="1275">
        <f>-IF(O$14&gt;0,O27/O$14*100,0)</f>
        <v>0</v>
      </c>
      <c r="Q27" s="156"/>
      <c r="R27" s="341">
        <v>0</v>
      </c>
      <c r="S27" s="286"/>
      <c r="T27" s="286"/>
      <c r="U27" s="286"/>
      <c r="V27" s="286"/>
      <c r="W27" s="286"/>
      <c r="X27" s="286"/>
      <c r="Y27" s="286"/>
      <c r="Z27" s="286"/>
      <c r="AA27" s="286"/>
      <c r="AB27" s="286"/>
      <c r="AC27" s="286"/>
      <c r="AD27" s="286"/>
      <c r="AE27" s="286"/>
      <c r="AF27" s="422"/>
    </row>
    <row r="28" spans="1:32" s="46" customFormat="1" ht="14.1" customHeight="1" x14ac:dyDescent="0.2">
      <c r="A28"/>
      <c r="B28" s="1273"/>
      <c r="C28" s="1864" t="s">
        <v>261</v>
      </c>
      <c r="D28" s="1865"/>
      <c r="E28" s="895"/>
      <c r="F28" s="294"/>
      <c r="G28" s="904"/>
      <c r="H28" s="294"/>
      <c r="I28" s="896">
        <v>0.2</v>
      </c>
      <c r="J28" s="702"/>
      <c r="K28" s="896">
        <f>I28</f>
        <v>0.2</v>
      </c>
      <c r="L28" s="940"/>
      <c r="M28" s="896">
        <f>K28</f>
        <v>0.2</v>
      </c>
      <c r="N28" s="702"/>
      <c r="O28" s="896">
        <f>M28</f>
        <v>0.2</v>
      </c>
      <c r="P28" s="1275"/>
      <c r="Q28" s="156"/>
      <c r="R28" s="341"/>
      <c r="S28" s="286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422"/>
    </row>
    <row r="29" spans="1:32" s="46" customFormat="1" ht="14.1" customHeight="1" x14ac:dyDescent="0.2">
      <c r="A29"/>
      <c r="B29" s="1273" t="s">
        <v>121</v>
      </c>
      <c r="C29" s="300" t="s">
        <v>63</v>
      </c>
      <c r="D29" s="501" t="s">
        <v>468</v>
      </c>
      <c r="E29" s="892">
        <v>0</v>
      </c>
      <c r="F29" s="294">
        <f>IF(E$14&gt;0,E29/E$14*100,0)</f>
        <v>0</v>
      </c>
      <c r="G29" s="893">
        <v>0</v>
      </c>
      <c r="H29" s="294">
        <f>IF(G$14&gt;0,G29/G$14*100,0)</f>
        <v>0</v>
      </c>
      <c r="I29" s="893">
        <v>0</v>
      </c>
      <c r="J29" s="294">
        <f>IF(I$14&gt;0,I29/I$14*100,0)</f>
        <v>0</v>
      </c>
      <c r="K29" s="897">
        <v>0</v>
      </c>
      <c r="L29" s="941">
        <f>IF(K$14&gt;0,K29/K$14*100,0)</f>
        <v>0</v>
      </c>
      <c r="M29" s="898">
        <v>0</v>
      </c>
      <c r="N29" s="294">
        <f>IF(M$14&gt;0,M29/M$14*100,0)</f>
        <v>0</v>
      </c>
      <c r="O29" s="893">
        <v>0</v>
      </c>
      <c r="P29" s="1275">
        <f>IF(O$14&gt;0,O29/O$14*100,0)</f>
        <v>0</v>
      </c>
      <c r="Q29" s="156"/>
      <c r="R29" s="341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422"/>
    </row>
    <row r="30" spans="1:32" s="46" customFormat="1" ht="14.1" customHeight="1" x14ac:dyDescent="0.2">
      <c r="A30"/>
      <c r="B30" s="1273" t="s">
        <v>122</v>
      </c>
      <c r="C30" s="288" t="s">
        <v>321</v>
      </c>
      <c r="D30" s="296" t="s">
        <v>206</v>
      </c>
      <c r="E30" s="892">
        <v>0</v>
      </c>
      <c r="F30" s="294">
        <f>-IF(E$14&gt;0,E30/E$14*100,0)</f>
        <v>0</v>
      </c>
      <c r="G30" s="893"/>
      <c r="H30" s="294">
        <f>-IF(G$14&gt;0,G30/G$14*100,0)</f>
        <v>0</v>
      </c>
      <c r="I30" s="891">
        <f>-('3. T3 TASE '!H62-'3. T3 TASE '!G62)</f>
        <v>0</v>
      </c>
      <c r="J30" s="294">
        <f>-IF(I$14&gt;0,I30/I$14*100,0)</f>
        <v>0</v>
      </c>
      <c r="K30" s="891">
        <f>-('3. T3 TASE '!I62-'3. T3 TASE '!H62)</f>
        <v>0</v>
      </c>
      <c r="L30" s="294">
        <f>-IF(K$14&gt;0,K30/K$14*100,0)</f>
        <v>0</v>
      </c>
      <c r="M30" s="891">
        <f>-('3. T3 TASE '!J62-'3. T3 TASE '!I62)</f>
        <v>0</v>
      </c>
      <c r="N30" s="294">
        <f>-IF(M$14&gt;0,M30/M$14*100,0)</f>
        <v>0</v>
      </c>
      <c r="O30" s="891">
        <f>-('3. T3 TASE '!K62-'3. T3 TASE '!J62)</f>
        <v>0</v>
      </c>
      <c r="P30" s="1275">
        <f>-IF(O$14&gt;0,O30/O$14*100,0)</f>
        <v>0</v>
      </c>
      <c r="Q30" s="156"/>
      <c r="R30" s="341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422"/>
    </row>
    <row r="31" spans="1:32" s="46" customFormat="1" ht="27" customHeight="1" x14ac:dyDescent="0.2">
      <c r="A31"/>
      <c r="B31" s="1277" t="s">
        <v>338</v>
      </c>
      <c r="C31" s="1278" t="s">
        <v>49</v>
      </c>
      <c r="D31" s="1279"/>
      <c r="E31" s="888">
        <f>SUM(E26:E30)</f>
        <v>0</v>
      </c>
      <c r="F31" s="294">
        <f>IF(E$14&gt;0,E31/E$14*100,0)</f>
        <v>0</v>
      </c>
      <c r="G31" s="889">
        <f>SUM(G26:G30)</f>
        <v>0</v>
      </c>
      <c r="H31" s="294">
        <f>IF(G$14&gt;0,G31/G$14*100,0)</f>
        <v>0</v>
      </c>
      <c r="I31" s="889">
        <f>I26+I27+I29+I30</f>
        <v>0</v>
      </c>
      <c r="J31" s="294">
        <f>IF(I$11&gt;0,I31/I$14*100,0)</f>
        <v>0</v>
      </c>
      <c r="K31" s="889">
        <f>K26+K27+K29+K30</f>
        <v>0</v>
      </c>
      <c r="L31" s="294">
        <f>IF(K$11&gt;0,K31/K$14*100,0)</f>
        <v>0</v>
      </c>
      <c r="M31" s="889">
        <f>M26+M27+M29+M30</f>
        <v>0</v>
      </c>
      <c r="N31" s="294">
        <f>IF(M$11&gt;0,M31/M$14*100,0)</f>
        <v>0</v>
      </c>
      <c r="O31" s="889">
        <f>O26+O27+O29+O30</f>
        <v>0</v>
      </c>
      <c r="P31" s="1275">
        <f>IF(O$11&gt;0,O31/O$14*100,0)</f>
        <v>0</v>
      </c>
      <c r="Q31" s="156"/>
      <c r="R31" s="497"/>
      <c r="S31" s="423"/>
      <c r="T31" s="423"/>
      <c r="U31" s="423"/>
      <c r="V31" s="423"/>
      <c r="W31" s="423"/>
      <c r="X31" s="423"/>
      <c r="Y31" s="423"/>
      <c r="Z31" s="423"/>
      <c r="AA31" s="423"/>
      <c r="AB31" s="423"/>
      <c r="AC31" s="423"/>
      <c r="AD31" s="423"/>
      <c r="AE31" s="423"/>
      <c r="AF31" s="425"/>
    </row>
    <row r="32" spans="1:32" ht="3.75" customHeight="1" x14ac:dyDescent="0.2">
      <c r="B32" s="52"/>
      <c r="C32" s="156"/>
      <c r="D32" s="156"/>
      <c r="E32" s="156"/>
      <c r="F32" s="156"/>
      <c r="G32" s="156"/>
      <c r="H32" s="157"/>
      <c r="I32" s="156"/>
      <c r="J32" s="157"/>
      <c r="K32" s="156"/>
      <c r="L32" s="157"/>
      <c r="M32" s="156"/>
      <c r="N32" s="157"/>
      <c r="O32" s="156"/>
      <c r="P32" s="157"/>
    </row>
    <row r="33" spans="2:17" ht="15" customHeight="1" x14ac:dyDescent="0.2">
      <c r="B33" s="1266"/>
      <c r="C33" s="1267" t="s">
        <v>59</v>
      </c>
      <c r="D33" s="1268"/>
      <c r="E33" s="1850">
        <v>1</v>
      </c>
      <c r="F33" s="1850"/>
      <c r="G33" s="1852">
        <f>E33</f>
        <v>1</v>
      </c>
      <c r="H33" s="1853"/>
      <c r="I33" s="1852">
        <f>G33</f>
        <v>1</v>
      </c>
      <c r="J33" s="1853"/>
      <c r="K33" s="1852">
        <f>I33</f>
        <v>1</v>
      </c>
      <c r="L33" s="1853"/>
      <c r="M33" s="1852">
        <f>K33</f>
        <v>1</v>
      </c>
      <c r="N33" s="1853"/>
      <c r="O33" s="1852">
        <f>M33</f>
        <v>1</v>
      </c>
      <c r="P33" s="1854"/>
    </row>
    <row r="34" spans="2:17" ht="12.75" customHeight="1" x14ac:dyDescent="0.2">
      <c r="B34" s="52"/>
      <c r="C34" s="1"/>
      <c r="D34" s="4"/>
      <c r="E34" s="4"/>
      <c r="F34" s="4"/>
      <c r="G34" s="76"/>
      <c r="H34" s="76"/>
      <c r="I34" s="304"/>
      <c r="J34" s="76"/>
      <c r="K34" s="76"/>
      <c r="L34" s="76"/>
      <c r="M34" s="76"/>
      <c r="N34" s="76"/>
      <c r="O34" s="76"/>
      <c r="P34" s="76"/>
    </row>
    <row r="35" spans="2:17" ht="12.75" customHeight="1" x14ac:dyDescent="0.25">
      <c r="B35" s="69">
        <f>'1. T1 INVESTOINTISUUN.'!B66</f>
        <v>0</v>
      </c>
      <c r="C35" s="1"/>
      <c r="D35" s="4"/>
      <c r="E35" s="4"/>
      <c r="F35" s="4"/>
      <c r="G35" s="76"/>
      <c r="H35" s="992" t="str">
        <f>IF(I18&gt;0,"MUUTA E1 KUSTANNUKSET -TAULUKON LUVUT +MERKKISIKSI!","")</f>
        <v/>
      </c>
      <c r="I35" s="304"/>
      <c r="J35" s="76"/>
      <c r="K35" s="76"/>
      <c r="L35" s="76"/>
      <c r="M35" s="1794">
        <f>OHJE!I5</f>
        <v>0</v>
      </c>
      <c r="N35" s="1794"/>
      <c r="O35" s="1794"/>
      <c r="P35" s="1794"/>
    </row>
    <row r="36" spans="2:17" ht="14.25" customHeight="1" x14ac:dyDescent="0.2">
      <c r="B36" s="69" t="str">
        <f>'1. T1 INVESTOINTISUUN.'!B67</f>
        <v>YT22 Toimivan yrityksen tulossuunnitelma</v>
      </c>
      <c r="C36" s="4"/>
      <c r="D36" s="4"/>
      <c r="E36" s="4"/>
      <c r="F36" s="4"/>
      <c r="G36" s="4"/>
      <c r="H36" s="52"/>
      <c r="I36" s="122"/>
      <c r="J36" s="52"/>
      <c r="K36" s="1801" t="str">
        <f>OHJE!I21</f>
        <v>Kehittämisyhtiö Witas Oy</v>
      </c>
      <c r="L36" s="1801"/>
      <c r="M36" s="1801"/>
      <c r="N36" s="1801"/>
      <c r="O36" s="1801"/>
      <c r="P36" s="1801"/>
    </row>
    <row r="37" spans="2:17" x14ac:dyDescent="0.2">
      <c r="B37" s="1869"/>
      <c r="C37" s="1869"/>
      <c r="D37" s="1869"/>
      <c r="E37" s="455"/>
      <c r="F37" s="455"/>
      <c r="G37" s="1842"/>
      <c r="H37" s="1842"/>
      <c r="I37" s="1842"/>
      <c r="J37" s="1842"/>
      <c r="K37" s="489"/>
      <c r="L37" s="489"/>
      <c r="M37" s="489"/>
      <c r="N37" s="489"/>
      <c r="O37" s="489"/>
      <c r="P37" s="489"/>
      <c r="Q37" s="120"/>
    </row>
    <row r="38" spans="2:17" x14ac:dyDescent="0.2">
      <c r="B38" s="121"/>
      <c r="C38" s="122"/>
      <c r="D38" s="122"/>
      <c r="E38" s="122"/>
      <c r="F38" s="122"/>
      <c r="G38" s="1835"/>
      <c r="H38" s="1835"/>
      <c r="I38" s="1835"/>
      <c r="J38" s="1835"/>
      <c r="K38" s="1835"/>
      <c r="L38" s="1835"/>
      <c r="M38" s="1835"/>
      <c r="N38" s="1835"/>
      <c r="O38" s="1835"/>
      <c r="P38" s="1835"/>
      <c r="Q38" s="120"/>
    </row>
    <row r="39" spans="2:17" x14ac:dyDescent="0.2">
      <c r="B39" s="121"/>
      <c r="C39" s="357" t="s">
        <v>248</v>
      </c>
      <c r="D39" s="122"/>
      <c r="E39" s="122"/>
      <c r="F39" s="122"/>
      <c r="G39" s="362"/>
      <c r="H39" s="362"/>
      <c r="I39" s="362"/>
      <c r="J39" s="362"/>
      <c r="K39" s="1835"/>
      <c r="L39" s="1835"/>
      <c r="M39" s="1835"/>
      <c r="N39" s="1835"/>
      <c r="O39" s="1835"/>
      <c r="P39" s="1835"/>
      <c r="Q39" s="120"/>
    </row>
    <row r="40" spans="2:17" x14ac:dyDescent="0.2">
      <c r="B40" s="121"/>
      <c r="C40" s="45" t="s">
        <v>249</v>
      </c>
      <c r="D40" s="122"/>
      <c r="E40" s="122"/>
      <c r="F40" s="122"/>
      <c r="G40" s="120"/>
      <c r="H40" s="120"/>
      <c r="I40" s="362"/>
      <c r="J40" s="362"/>
      <c r="K40" s="1835"/>
      <c r="L40" s="1835"/>
      <c r="M40" s="1835"/>
      <c r="N40" s="1835"/>
      <c r="O40" s="1835"/>
      <c r="P40" s="1835"/>
      <c r="Q40" s="120"/>
    </row>
    <row r="41" spans="2:17" x14ac:dyDescent="0.2">
      <c r="B41" s="121"/>
      <c r="C41" s="45" t="s">
        <v>250</v>
      </c>
      <c r="D41" s="122"/>
      <c r="E41" s="122"/>
      <c r="F41" s="122"/>
      <c r="G41" s="362"/>
      <c r="H41" s="362"/>
      <c r="I41" s="362"/>
      <c r="J41" s="362"/>
      <c r="K41" s="1835"/>
      <c r="L41" s="1835"/>
      <c r="M41" s="1835"/>
      <c r="N41" s="1835"/>
      <c r="O41" s="1835"/>
      <c r="P41" s="1835"/>
      <c r="Q41" s="120"/>
    </row>
    <row r="42" spans="2:17" x14ac:dyDescent="0.2">
      <c r="B42" s="121"/>
      <c r="C42" s="122"/>
      <c r="D42" s="122"/>
      <c r="E42" s="122"/>
      <c r="F42" s="122"/>
      <c r="G42" s="1835"/>
      <c r="H42" s="1835"/>
      <c r="I42" s="1835"/>
      <c r="J42" s="1835"/>
      <c r="K42" s="1835"/>
      <c r="L42" s="1835"/>
      <c r="M42" s="1835"/>
      <c r="N42" s="1835"/>
      <c r="O42" s="1835"/>
      <c r="P42" s="1835"/>
      <c r="Q42" s="120"/>
    </row>
    <row r="43" spans="2:17" x14ac:dyDescent="0.2">
      <c r="B43" s="121"/>
      <c r="C43" s="122"/>
      <c r="D43" s="122"/>
      <c r="E43" s="122"/>
      <c r="F43" s="122"/>
      <c r="G43" s="1835"/>
      <c r="H43" s="1835"/>
      <c r="I43" s="1835"/>
      <c r="J43" s="1835"/>
      <c r="K43" s="1835"/>
      <c r="L43" s="1835"/>
      <c r="M43" s="1835"/>
      <c r="N43" s="1835"/>
      <c r="O43" s="1835"/>
      <c r="P43" s="1835"/>
      <c r="Q43" s="120"/>
    </row>
    <row r="44" spans="2:17" x14ac:dyDescent="0.2">
      <c r="B44" s="121"/>
      <c r="C44" s="122"/>
      <c r="D44" s="122"/>
      <c r="E44" s="122"/>
      <c r="F44" s="122"/>
      <c r="G44" s="1835"/>
      <c r="H44" s="1835"/>
      <c r="I44" s="1835"/>
      <c r="J44" s="1835"/>
      <c r="K44" s="1835"/>
      <c r="L44" s="1835"/>
      <c r="M44" s="1835"/>
      <c r="N44" s="1835"/>
      <c r="O44" s="1835"/>
      <c r="P44" s="1835"/>
      <c r="Q44" s="120"/>
    </row>
    <row r="45" spans="2:17" x14ac:dyDescent="0.2">
      <c r="B45" s="121"/>
      <c r="C45" s="122"/>
      <c r="D45" s="122"/>
      <c r="E45" s="122"/>
      <c r="F45" s="122"/>
      <c r="G45" s="1835"/>
      <c r="H45" s="1835"/>
      <c r="I45" s="1835"/>
      <c r="J45" s="1835"/>
      <c r="K45" s="1835"/>
      <c r="L45" s="1835"/>
      <c r="M45" s="1835"/>
      <c r="N45" s="1835"/>
      <c r="O45" s="1835"/>
      <c r="P45" s="1835"/>
      <c r="Q45" s="120"/>
    </row>
    <row r="46" spans="2:17" x14ac:dyDescent="0.2">
      <c r="B46" s="121"/>
      <c r="C46" s="122"/>
      <c r="D46" s="122"/>
      <c r="E46" s="122"/>
      <c r="F46" s="122"/>
      <c r="G46" s="1843"/>
      <c r="H46" s="1843"/>
      <c r="I46" s="1843"/>
      <c r="J46" s="1843"/>
      <c r="K46" s="1843"/>
      <c r="L46" s="1843"/>
      <c r="M46" s="1843"/>
      <c r="N46" s="1843"/>
      <c r="O46" s="1843"/>
      <c r="P46" s="1843"/>
      <c r="Q46" s="120"/>
    </row>
    <row r="47" spans="2:17" x14ac:dyDescent="0.2">
      <c r="B47" s="1860"/>
      <c r="C47" s="1860"/>
      <c r="D47" s="1860"/>
      <c r="E47" s="124"/>
      <c r="F47" s="124"/>
      <c r="G47" s="1835"/>
      <c r="H47" s="1835"/>
      <c r="I47" s="1835"/>
      <c r="J47" s="1835"/>
      <c r="K47" s="1835"/>
      <c r="L47" s="1835"/>
      <c r="M47" s="1835"/>
      <c r="N47" s="1835"/>
      <c r="O47" s="1835"/>
      <c r="P47" s="1835"/>
      <c r="Q47" s="120"/>
    </row>
    <row r="48" spans="2:17" x14ac:dyDescent="0.2">
      <c r="B48" s="121"/>
      <c r="C48" s="122"/>
      <c r="D48" s="122"/>
      <c r="E48" s="122"/>
      <c r="F48" s="122"/>
      <c r="G48" s="1835"/>
      <c r="H48" s="1835"/>
      <c r="I48" s="1835"/>
      <c r="J48" s="1835"/>
      <c r="K48" s="1835"/>
      <c r="L48" s="1835"/>
      <c r="M48" s="1835"/>
      <c r="N48" s="1835"/>
      <c r="O48" s="1835"/>
      <c r="P48" s="1835"/>
      <c r="Q48" s="120"/>
    </row>
    <row r="49" spans="2:21" x14ac:dyDescent="0.2">
      <c r="B49" s="121"/>
      <c r="C49" s="122"/>
      <c r="D49" s="122"/>
      <c r="E49" s="122"/>
      <c r="F49" s="122"/>
      <c r="G49" s="1835"/>
      <c r="H49" s="1835"/>
      <c r="I49" s="1835"/>
      <c r="J49" s="1835"/>
      <c r="K49" s="1835"/>
      <c r="L49" s="1835"/>
      <c r="M49" s="1835"/>
      <c r="N49" s="1835"/>
      <c r="O49" s="1835"/>
      <c r="P49" s="1835"/>
      <c r="Q49" s="120"/>
    </row>
    <row r="50" spans="2:21" x14ac:dyDescent="0.2">
      <c r="B50" s="121"/>
      <c r="C50" s="1856"/>
      <c r="D50" s="1856"/>
      <c r="E50" s="125"/>
      <c r="F50" s="125"/>
      <c r="G50" s="1835"/>
      <c r="H50" s="1835"/>
      <c r="I50" s="1835"/>
      <c r="J50" s="1835"/>
      <c r="K50" s="1835"/>
      <c r="L50" s="1835"/>
      <c r="M50" s="1835"/>
      <c r="N50" s="1835"/>
      <c r="O50" s="1835"/>
      <c r="P50" s="1835"/>
      <c r="Q50" s="120"/>
      <c r="R50" s="1" t="s">
        <v>0</v>
      </c>
    </row>
    <row r="51" spans="2:21" x14ac:dyDescent="0.2">
      <c r="B51" s="121"/>
      <c r="C51" s="122"/>
      <c r="D51" s="122"/>
      <c r="E51" s="122"/>
      <c r="F51" s="122"/>
      <c r="G51" s="1835"/>
      <c r="H51" s="1835"/>
      <c r="I51" s="1835"/>
      <c r="J51" s="1835"/>
      <c r="K51" s="1835"/>
      <c r="L51" s="1835"/>
      <c r="M51" s="1835"/>
      <c r="N51" s="1835"/>
      <c r="O51" s="1835"/>
      <c r="P51" s="1835"/>
      <c r="Q51" s="120"/>
      <c r="R51" s="1" t="s">
        <v>0</v>
      </c>
    </row>
    <row r="52" spans="2:21" x14ac:dyDescent="0.2">
      <c r="B52" s="121"/>
      <c r="C52" s="122"/>
      <c r="D52" s="122"/>
      <c r="E52" s="122"/>
      <c r="F52" s="122"/>
      <c r="G52" s="1835"/>
      <c r="H52" s="1835"/>
      <c r="I52" s="1835"/>
      <c r="J52" s="1835"/>
      <c r="K52" s="1835"/>
      <c r="L52" s="1835"/>
      <c r="M52" s="1835"/>
      <c r="N52" s="1835"/>
      <c r="O52" s="1835"/>
      <c r="P52" s="1835"/>
      <c r="Q52" s="120"/>
    </row>
    <row r="53" spans="2:21" x14ac:dyDescent="0.2">
      <c r="B53" s="1870"/>
      <c r="C53" s="1870"/>
      <c r="D53" s="1870"/>
      <c r="E53" s="455"/>
      <c r="F53" s="455"/>
      <c r="G53" s="1835"/>
      <c r="H53" s="1835"/>
      <c r="I53" s="1835"/>
      <c r="J53" s="1835"/>
      <c r="K53" s="1835"/>
      <c r="L53" s="1835"/>
      <c r="M53" s="1835"/>
      <c r="N53" s="1835"/>
      <c r="O53" s="1835"/>
      <c r="P53" s="1835"/>
      <c r="Q53" s="120"/>
    </row>
    <row r="54" spans="2:21" x14ac:dyDescent="0.2">
      <c r="B54" s="126"/>
      <c r="C54" s="120"/>
      <c r="D54" s="120"/>
      <c r="E54" s="120"/>
      <c r="F54" s="120"/>
      <c r="G54" s="120"/>
      <c r="H54" s="126"/>
      <c r="I54" s="122"/>
      <c r="J54" s="126"/>
      <c r="K54" s="120"/>
      <c r="L54" s="126"/>
      <c r="M54" s="120"/>
      <c r="N54" s="126"/>
      <c r="O54" s="120"/>
      <c r="P54" s="126"/>
      <c r="Q54" s="120"/>
    </row>
    <row r="55" spans="2:21" x14ac:dyDescent="0.2">
      <c r="B55" s="1871"/>
      <c r="C55" s="1871"/>
      <c r="D55" s="1871"/>
      <c r="E55" s="456"/>
      <c r="F55" s="456"/>
      <c r="G55" s="1836"/>
      <c r="H55" s="1837"/>
      <c r="I55" s="1836"/>
      <c r="J55" s="1837"/>
      <c r="K55" s="1836"/>
      <c r="L55" s="1837"/>
      <c r="M55" s="1836"/>
      <c r="N55" s="1837"/>
      <c r="O55" s="1836"/>
      <c r="P55" s="1837"/>
      <c r="Q55" s="120"/>
    </row>
    <row r="56" spans="2:21" x14ac:dyDescent="0.2">
      <c r="B56" s="1866"/>
      <c r="C56" s="1866"/>
      <c r="D56" s="1866"/>
      <c r="E56" s="103"/>
      <c r="F56" s="103"/>
      <c r="G56" s="1835"/>
      <c r="H56" s="1835"/>
      <c r="I56" s="1835"/>
      <c r="J56" s="1835"/>
      <c r="K56" s="1835"/>
      <c r="L56" s="1835"/>
      <c r="M56" s="1835"/>
      <c r="N56" s="1835"/>
      <c r="O56" s="1835"/>
      <c r="P56" s="1835"/>
      <c r="Q56" s="120"/>
    </row>
    <row r="57" spans="2:21" x14ac:dyDescent="0.2">
      <c r="B57" s="1866"/>
      <c r="C57" s="1866"/>
      <c r="D57" s="1866"/>
      <c r="E57" s="103"/>
      <c r="F57" s="103"/>
      <c r="G57" s="1835"/>
      <c r="H57" s="1835"/>
      <c r="I57" s="1835"/>
      <c r="J57" s="1835"/>
      <c r="K57" s="1835"/>
      <c r="L57" s="1835"/>
      <c r="M57" s="1835"/>
      <c r="N57" s="1835"/>
      <c r="O57" s="1835"/>
      <c r="P57" s="1835"/>
      <c r="Q57" s="120"/>
    </row>
    <row r="58" spans="2:21" x14ac:dyDescent="0.2">
      <c r="B58" s="1866"/>
      <c r="C58" s="1866"/>
      <c r="D58" s="1866"/>
      <c r="E58" s="103"/>
      <c r="F58" s="103"/>
      <c r="G58" s="1835"/>
      <c r="H58" s="1835"/>
      <c r="I58" s="1835"/>
      <c r="J58" s="1835"/>
      <c r="K58" s="1835"/>
      <c r="L58" s="1835"/>
      <c r="M58" s="1835"/>
      <c r="N58" s="1835"/>
      <c r="O58" s="1835"/>
      <c r="P58" s="1835"/>
      <c r="Q58" s="120"/>
    </row>
    <row r="59" spans="2:21" x14ac:dyDescent="0.2">
      <c r="B59" s="1866"/>
      <c r="C59" s="1866"/>
      <c r="D59" s="1866"/>
      <c r="E59" s="103"/>
      <c r="F59" s="103"/>
      <c r="G59" s="1835"/>
      <c r="H59" s="1835"/>
      <c r="I59" s="1835"/>
      <c r="J59" s="1835"/>
      <c r="K59" s="1835"/>
      <c r="L59" s="1835"/>
      <c r="M59" s="1835"/>
      <c r="N59" s="1835"/>
      <c r="O59" s="1835"/>
      <c r="P59" s="1835"/>
      <c r="Q59" s="120"/>
    </row>
    <row r="60" spans="2:21" x14ac:dyDescent="0.2">
      <c r="B60" s="103"/>
      <c r="C60" s="103"/>
      <c r="D60" s="103"/>
      <c r="E60" s="103"/>
      <c r="F60" s="103"/>
      <c r="G60" s="1835"/>
      <c r="H60" s="1835"/>
      <c r="I60" s="142"/>
      <c r="J60" s="123"/>
      <c r="K60" s="123"/>
      <c r="L60" s="123"/>
      <c r="M60" s="123"/>
      <c r="N60" s="123"/>
      <c r="O60" s="123"/>
      <c r="P60" s="123"/>
      <c r="Q60" s="120"/>
    </row>
    <row r="61" spans="2:21" x14ac:dyDescent="0.2">
      <c r="B61" s="1866"/>
      <c r="C61" s="1866"/>
      <c r="D61" s="1866"/>
      <c r="E61" s="103"/>
      <c r="F61" s="103"/>
      <c r="G61" s="1835"/>
      <c r="H61" s="1835"/>
      <c r="I61" s="1835"/>
      <c r="J61" s="1835"/>
      <c r="K61" s="1835"/>
      <c r="L61" s="1835"/>
      <c r="M61" s="1835"/>
      <c r="N61" s="1835"/>
      <c r="O61" s="1835"/>
      <c r="P61" s="1835"/>
      <c r="Q61" s="120"/>
      <c r="U61" s="1" t="s">
        <v>50</v>
      </c>
    </row>
    <row r="62" spans="2:21" x14ac:dyDescent="0.2">
      <c r="B62" s="1866"/>
      <c r="C62" s="1866"/>
      <c r="D62" s="1866"/>
      <c r="E62" s="103"/>
      <c r="F62" s="103"/>
      <c r="G62" s="1835"/>
      <c r="H62" s="1835"/>
      <c r="I62" s="1835"/>
      <c r="J62" s="1835"/>
      <c r="K62" s="1835"/>
      <c r="L62" s="1835"/>
      <c r="M62" s="1835"/>
      <c r="N62" s="1835"/>
      <c r="O62" s="1835"/>
      <c r="P62" s="1835"/>
      <c r="Q62" s="120"/>
    </row>
    <row r="63" spans="2:21" x14ac:dyDescent="0.2">
      <c r="B63" s="1866"/>
      <c r="C63" s="1866"/>
      <c r="D63" s="1866"/>
      <c r="E63" s="103"/>
      <c r="F63" s="103"/>
      <c r="G63" s="1834"/>
      <c r="H63" s="1834"/>
      <c r="I63" s="1834"/>
      <c r="J63" s="1834"/>
      <c r="K63" s="1834"/>
      <c r="L63" s="1834"/>
      <c r="M63" s="1834"/>
      <c r="N63" s="1834"/>
      <c r="O63" s="1834"/>
      <c r="P63" s="1834"/>
      <c r="Q63" s="120"/>
    </row>
    <row r="64" spans="2:21" x14ac:dyDescent="0.2">
      <c r="B64" s="103"/>
      <c r="C64" s="103"/>
      <c r="D64" s="103"/>
      <c r="E64" s="103"/>
      <c r="F64" s="103"/>
      <c r="G64" s="128"/>
      <c r="H64" s="128"/>
      <c r="I64" s="305"/>
      <c r="J64" s="128"/>
      <c r="K64" s="128"/>
      <c r="L64" s="128"/>
      <c r="M64" s="128"/>
      <c r="N64" s="128"/>
      <c r="O64" s="128"/>
      <c r="P64" s="128"/>
      <c r="Q64" s="120"/>
    </row>
    <row r="65" spans="2:17" x14ac:dyDescent="0.2">
      <c r="B65" s="103"/>
      <c r="C65" s="103"/>
      <c r="D65" s="103"/>
      <c r="E65" s="103"/>
      <c r="F65" s="103"/>
      <c r="G65" s="128"/>
      <c r="H65" s="128"/>
      <c r="I65" s="305"/>
      <c r="J65" s="128"/>
      <c r="K65" s="128"/>
      <c r="L65" s="128"/>
      <c r="M65" s="128"/>
      <c r="N65" s="128"/>
      <c r="O65" s="128"/>
      <c r="P65" s="128"/>
      <c r="Q65" s="120"/>
    </row>
    <row r="66" spans="2:17" x14ac:dyDescent="0.2">
      <c r="B66" s="103"/>
      <c r="C66" s="103"/>
      <c r="D66" s="103"/>
      <c r="E66" s="103"/>
      <c r="F66" s="103"/>
      <c r="G66" s="128"/>
      <c r="H66" s="128"/>
      <c r="I66" s="305"/>
      <c r="J66" s="128"/>
      <c r="K66" s="128"/>
      <c r="L66" s="128"/>
      <c r="M66" s="128"/>
      <c r="N66" s="128"/>
      <c r="O66" s="128"/>
      <c r="P66" s="128"/>
      <c r="Q66" s="120"/>
    </row>
    <row r="67" spans="2:17" x14ac:dyDescent="0.2">
      <c r="B67" s="103"/>
      <c r="C67" s="103"/>
      <c r="D67" s="103"/>
      <c r="E67" s="103"/>
      <c r="F67" s="103"/>
      <c r="G67" s="128"/>
      <c r="H67" s="128"/>
      <c r="I67" s="305"/>
      <c r="J67" s="128"/>
      <c r="K67" s="128"/>
      <c r="L67" s="128"/>
      <c r="M67" s="128"/>
      <c r="N67" s="128"/>
      <c r="O67" s="128"/>
      <c r="P67" s="128"/>
      <c r="Q67" s="120"/>
    </row>
    <row r="68" spans="2:17" x14ac:dyDescent="0.2">
      <c r="B68" s="103"/>
      <c r="C68" s="103"/>
      <c r="D68" s="103"/>
      <c r="E68" s="103"/>
      <c r="F68" s="103"/>
      <c r="G68" s="128"/>
      <c r="H68" s="128"/>
      <c r="I68" s="305"/>
      <c r="J68" s="128"/>
      <c r="K68" s="128"/>
      <c r="L68" s="128"/>
      <c r="M68" s="128"/>
      <c r="N68" s="128"/>
      <c r="O68" s="128"/>
      <c r="P68" s="128"/>
      <c r="Q68" s="120"/>
    </row>
    <row r="69" spans="2:17" x14ac:dyDescent="0.2">
      <c r="B69" s="103"/>
      <c r="C69" s="103"/>
      <c r="D69" s="103"/>
      <c r="E69" s="103"/>
      <c r="F69" s="103"/>
      <c r="G69" s="128"/>
      <c r="H69" s="128"/>
      <c r="I69" s="305"/>
      <c r="J69" s="128"/>
      <c r="K69" s="128"/>
      <c r="L69" s="128"/>
      <c r="M69" s="128"/>
      <c r="N69" s="128"/>
      <c r="O69" s="128"/>
      <c r="P69" s="128"/>
      <c r="Q69" s="120"/>
    </row>
    <row r="70" spans="2:17" x14ac:dyDescent="0.2">
      <c r="B70" s="103"/>
      <c r="C70" s="103"/>
      <c r="D70" s="103"/>
      <c r="E70" s="103"/>
      <c r="F70" s="103"/>
      <c r="G70" s="128"/>
      <c r="H70" s="128"/>
      <c r="I70" s="305"/>
      <c r="J70" s="128"/>
      <c r="K70" s="128"/>
      <c r="L70" s="128"/>
      <c r="M70" s="128"/>
      <c r="N70" s="128"/>
      <c r="O70" s="128"/>
      <c r="P70" s="128"/>
      <c r="Q70" s="120"/>
    </row>
    <row r="71" spans="2:17" x14ac:dyDescent="0.2">
      <c r="B71" s="103"/>
      <c r="C71" s="103"/>
      <c r="D71" s="103"/>
      <c r="E71" s="103"/>
      <c r="F71" s="103"/>
      <c r="G71" s="128"/>
      <c r="H71" s="128"/>
      <c r="I71" s="305"/>
      <c r="J71" s="128"/>
      <c r="K71" s="128"/>
      <c r="L71" s="128"/>
      <c r="M71" s="128"/>
      <c r="N71" s="128"/>
      <c r="O71" s="128"/>
      <c r="P71" s="128"/>
      <c r="Q71" s="120"/>
    </row>
    <row r="72" spans="2:17" x14ac:dyDescent="0.2">
      <c r="B72" s="103"/>
      <c r="C72" s="103"/>
      <c r="D72" s="103"/>
      <c r="E72" s="103"/>
      <c r="F72" s="103"/>
      <c r="G72" s="128"/>
      <c r="H72" s="128"/>
      <c r="I72" s="305"/>
      <c r="J72" s="128"/>
      <c r="K72" s="128"/>
      <c r="L72" s="128"/>
      <c r="M72" s="128"/>
      <c r="N72" s="128"/>
      <c r="O72" s="128"/>
      <c r="P72" s="128"/>
      <c r="Q72" s="120"/>
    </row>
    <row r="73" spans="2:17" x14ac:dyDescent="0.2">
      <c r="B73" s="103"/>
      <c r="C73" s="103"/>
      <c r="D73" s="103"/>
      <c r="E73" s="103"/>
      <c r="F73" s="103"/>
      <c r="G73" s="128"/>
      <c r="H73" s="128"/>
      <c r="I73" s="305"/>
      <c r="J73" s="128"/>
      <c r="K73" s="128"/>
      <c r="L73" s="128"/>
      <c r="M73" s="128"/>
      <c r="N73" s="128"/>
      <c r="O73" s="128"/>
      <c r="P73" s="128"/>
      <c r="Q73" s="120"/>
    </row>
    <row r="74" spans="2:17" x14ac:dyDescent="0.2">
      <c r="B74" s="103"/>
      <c r="C74" s="103"/>
      <c r="D74" s="103"/>
      <c r="E74" s="103"/>
      <c r="F74" s="103"/>
      <c r="G74" s="128"/>
      <c r="H74" s="128"/>
      <c r="I74" s="305"/>
      <c r="J74" s="128"/>
      <c r="K74" s="128"/>
      <c r="L74" s="128"/>
      <c r="M74" s="128"/>
      <c r="N74" s="128"/>
      <c r="O74" s="128"/>
      <c r="P74" s="128"/>
      <c r="Q74" s="120"/>
    </row>
    <row r="75" spans="2:17" x14ac:dyDescent="0.2">
      <c r="B75" s="103"/>
      <c r="C75" s="103"/>
      <c r="D75" s="103"/>
      <c r="E75" s="103"/>
      <c r="F75" s="103"/>
      <c r="G75" s="128"/>
      <c r="H75" s="128"/>
      <c r="I75" s="305"/>
      <c r="J75" s="128"/>
      <c r="K75" s="128"/>
      <c r="L75" s="128"/>
      <c r="M75" s="128"/>
      <c r="N75" s="128"/>
      <c r="O75" s="128"/>
      <c r="P75" s="128"/>
      <c r="Q75" s="120"/>
    </row>
    <row r="76" spans="2:17" x14ac:dyDescent="0.2">
      <c r="B76" s="126"/>
      <c r="C76" s="129"/>
      <c r="D76" s="120"/>
      <c r="E76" s="120"/>
      <c r="F76" s="120"/>
      <c r="G76" s="127"/>
      <c r="H76" s="130"/>
      <c r="I76" s="122"/>
      <c r="J76" s="130"/>
      <c r="K76" s="127"/>
      <c r="L76" s="130"/>
      <c r="M76" s="127"/>
      <c r="N76" s="130"/>
      <c r="O76" s="127"/>
      <c r="P76" s="130"/>
      <c r="Q76" s="120"/>
    </row>
    <row r="77" spans="2:17" x14ac:dyDescent="0.2">
      <c r="B77" s="126"/>
      <c r="C77" s="129"/>
      <c r="D77" s="120"/>
      <c r="E77" s="120"/>
      <c r="F77" s="120"/>
      <c r="G77" s="120"/>
      <c r="H77" s="126"/>
      <c r="I77" s="122"/>
      <c r="J77" s="126"/>
      <c r="K77" s="120"/>
      <c r="L77" s="126"/>
      <c r="M77" s="120"/>
      <c r="N77" s="126"/>
      <c r="O77" s="120"/>
      <c r="P77" s="126"/>
      <c r="Q77" s="120"/>
    </row>
    <row r="78" spans="2:17" x14ac:dyDescent="0.2">
      <c r="B78" s="126"/>
      <c r="C78" s="129"/>
      <c r="D78" s="120"/>
      <c r="E78" s="120"/>
      <c r="F78" s="120"/>
      <c r="G78" s="120"/>
      <c r="H78" s="126"/>
      <c r="I78" s="122"/>
      <c r="J78" s="126"/>
      <c r="K78" s="120"/>
      <c r="L78" s="126"/>
      <c r="M78" s="120"/>
      <c r="N78" s="126"/>
      <c r="O78" s="120"/>
      <c r="P78" s="126"/>
      <c r="Q78" s="120"/>
    </row>
    <row r="79" spans="2:17" x14ac:dyDescent="0.2">
      <c r="B79" s="131"/>
      <c r="C79" s="129"/>
      <c r="D79" s="129"/>
      <c r="E79" s="129"/>
      <c r="F79" s="129"/>
      <c r="G79" s="129"/>
      <c r="H79" s="131"/>
      <c r="I79" s="306"/>
      <c r="J79" s="131"/>
      <c r="K79" s="129"/>
      <c r="L79" s="131"/>
      <c r="M79" s="129"/>
      <c r="N79" s="131"/>
      <c r="O79" s="129"/>
      <c r="P79" s="131"/>
      <c r="Q79" s="120"/>
    </row>
    <row r="80" spans="2:17" x14ac:dyDescent="0.2">
      <c r="B80" s="1866"/>
      <c r="C80" s="1866"/>
      <c r="D80" s="1866"/>
      <c r="E80" s="103"/>
      <c r="F80" s="103"/>
      <c r="G80" s="1867"/>
      <c r="H80" s="1867"/>
      <c r="I80" s="1867"/>
      <c r="J80" s="1867"/>
      <c r="K80" s="1867"/>
      <c r="L80" s="1868"/>
      <c r="M80" s="1837"/>
      <c r="N80" s="1837"/>
      <c r="O80" s="126"/>
      <c r="P80" s="126"/>
      <c r="Q80" s="120"/>
    </row>
    <row r="81" spans="2:17" x14ac:dyDescent="0.2">
      <c r="B81" s="130"/>
      <c r="C81" s="103"/>
      <c r="D81" s="103"/>
      <c r="E81" s="103"/>
      <c r="F81" s="103"/>
      <c r="G81" s="132"/>
      <c r="H81" s="134"/>
      <c r="I81" s="281"/>
      <c r="J81" s="134"/>
      <c r="K81" s="132"/>
      <c r="L81" s="133"/>
      <c r="M81" s="126"/>
      <c r="N81" s="126"/>
      <c r="O81" s="126"/>
      <c r="P81" s="126"/>
      <c r="Q81" s="120"/>
    </row>
    <row r="82" spans="2:17" x14ac:dyDescent="0.2">
      <c r="B82" s="130"/>
      <c r="C82" s="103"/>
      <c r="D82" s="103"/>
      <c r="E82" s="103"/>
      <c r="F82" s="103"/>
      <c r="G82" s="132"/>
      <c r="H82" s="134"/>
      <c r="I82" s="281"/>
      <c r="J82" s="134"/>
      <c r="K82" s="132"/>
      <c r="L82" s="133"/>
      <c r="M82" s="126"/>
      <c r="N82" s="126"/>
      <c r="O82" s="126"/>
      <c r="P82" s="126"/>
      <c r="Q82" s="120"/>
    </row>
    <row r="83" spans="2:17" x14ac:dyDescent="0.2">
      <c r="B83" s="130"/>
      <c r="C83" s="103"/>
      <c r="D83" s="103"/>
      <c r="E83" s="103"/>
      <c r="F83" s="103"/>
      <c r="G83" s="132"/>
      <c r="H83" s="134"/>
      <c r="I83" s="281"/>
      <c r="J83" s="134"/>
      <c r="K83" s="132"/>
      <c r="L83" s="133"/>
      <c r="M83" s="126"/>
      <c r="N83" s="126"/>
      <c r="O83" s="126"/>
      <c r="P83" s="126"/>
      <c r="Q83" s="120"/>
    </row>
    <row r="84" spans="2:17" ht="18" x14ac:dyDescent="0.2">
      <c r="B84" s="130"/>
      <c r="C84" s="103"/>
      <c r="D84" s="135"/>
      <c r="E84" s="135"/>
      <c r="F84" s="135"/>
      <c r="G84" s="120"/>
      <c r="H84" s="134"/>
      <c r="I84" s="281"/>
      <c r="J84" s="134"/>
      <c r="K84" s="132"/>
      <c r="L84" s="133"/>
      <c r="M84" s="126"/>
      <c r="N84" s="126"/>
      <c r="O84" s="126"/>
      <c r="P84" s="126"/>
      <c r="Q84" s="120"/>
    </row>
    <row r="85" spans="2:17" ht="18" x14ac:dyDescent="0.2">
      <c r="B85" s="130"/>
      <c r="C85" s="103"/>
      <c r="D85" s="135"/>
      <c r="E85" s="135"/>
      <c r="F85" s="135"/>
      <c r="G85" s="120"/>
      <c r="H85" s="134"/>
      <c r="I85" s="281"/>
      <c r="J85" s="134"/>
      <c r="K85" s="132"/>
      <c r="L85" s="133"/>
      <c r="M85" s="126"/>
      <c r="N85" s="126"/>
      <c r="O85" s="126"/>
      <c r="P85" s="126"/>
      <c r="Q85" s="120"/>
    </row>
    <row r="86" spans="2:17" x14ac:dyDescent="0.2">
      <c r="B86" s="126"/>
      <c r="C86" s="120"/>
      <c r="D86" s="120"/>
      <c r="E86" s="120"/>
      <c r="F86" s="120"/>
      <c r="G86" s="120"/>
      <c r="H86" s="126"/>
      <c r="I86" s="122"/>
      <c r="J86" s="126"/>
      <c r="K86" s="120"/>
      <c r="L86" s="126"/>
      <c r="M86" s="120"/>
      <c r="N86" s="126"/>
      <c r="O86" s="120"/>
      <c r="P86" s="126"/>
      <c r="Q86" s="120"/>
    </row>
    <row r="87" spans="2:17" x14ac:dyDescent="0.2">
      <c r="B87" s="126"/>
      <c r="C87" s="120"/>
      <c r="D87" s="120"/>
      <c r="E87" s="120"/>
      <c r="F87" s="120"/>
      <c r="G87" s="120"/>
      <c r="H87" s="126"/>
      <c r="I87" s="122"/>
      <c r="J87" s="126"/>
      <c r="K87" s="120"/>
      <c r="L87" s="126"/>
      <c r="M87" s="120"/>
      <c r="N87" s="126"/>
      <c r="O87" s="120"/>
      <c r="P87" s="126"/>
      <c r="Q87" s="120"/>
    </row>
    <row r="88" spans="2:17" x14ac:dyDescent="0.2">
      <c r="B88" s="126"/>
      <c r="C88" s="120"/>
      <c r="D88" s="120"/>
      <c r="E88" s="120"/>
      <c r="F88" s="120"/>
      <c r="G88" s="120"/>
      <c r="H88" s="126"/>
      <c r="I88" s="122"/>
      <c r="J88" s="126"/>
      <c r="K88" s="120"/>
      <c r="L88" s="126"/>
      <c r="M88" s="120"/>
      <c r="N88" s="126"/>
      <c r="O88" s="120"/>
      <c r="P88" s="126"/>
      <c r="Q88" s="120"/>
    </row>
    <row r="89" spans="2:17" x14ac:dyDescent="0.2">
      <c r="B89" s="126"/>
      <c r="C89" s="120"/>
      <c r="D89" s="120"/>
      <c r="E89" s="120"/>
      <c r="F89" s="120"/>
      <c r="G89" s="120"/>
      <c r="H89" s="126"/>
      <c r="I89" s="122"/>
      <c r="J89" s="126"/>
      <c r="K89" s="120"/>
      <c r="L89" s="126"/>
      <c r="M89" s="120"/>
      <c r="N89" s="126"/>
      <c r="O89" s="120"/>
      <c r="P89" s="126"/>
      <c r="Q89" s="120"/>
    </row>
    <row r="90" spans="2:17" x14ac:dyDescent="0.2">
      <c r="B90" s="126"/>
      <c r="C90" s="120"/>
      <c r="D90" s="120"/>
      <c r="E90" s="120"/>
      <c r="F90" s="120"/>
      <c r="G90" s="120"/>
      <c r="H90" s="126"/>
      <c r="I90" s="122"/>
      <c r="J90" s="126"/>
      <c r="K90" s="120"/>
      <c r="L90" s="126"/>
      <c r="M90" s="120"/>
      <c r="N90" s="126"/>
      <c r="O90" s="120"/>
      <c r="P90" s="126"/>
      <c r="Q90" s="120"/>
    </row>
    <row r="91" spans="2:17" x14ac:dyDescent="0.2">
      <c r="B91" s="126"/>
      <c r="C91" s="120"/>
      <c r="D91" s="120"/>
      <c r="E91" s="120"/>
      <c r="F91" s="120"/>
      <c r="G91" s="120"/>
      <c r="H91" s="126"/>
      <c r="I91" s="122"/>
      <c r="J91" s="126"/>
      <c r="K91" s="120"/>
      <c r="L91" s="126"/>
      <c r="M91" s="120"/>
      <c r="N91" s="126"/>
      <c r="O91" s="120"/>
      <c r="P91" s="126"/>
      <c r="Q91" s="120"/>
    </row>
    <row r="92" spans="2:17" x14ac:dyDescent="0.2">
      <c r="B92" s="126"/>
      <c r="C92" s="120"/>
      <c r="D92" s="120"/>
      <c r="E92" s="120"/>
      <c r="F92" s="120"/>
      <c r="G92" s="120"/>
      <c r="H92" s="126"/>
      <c r="I92" s="122"/>
      <c r="J92" s="126"/>
      <c r="K92" s="120"/>
      <c r="L92" s="126"/>
      <c r="M92" s="120"/>
      <c r="N92" s="126"/>
      <c r="O92" s="120"/>
      <c r="P92" s="126"/>
      <c r="Q92" s="120"/>
    </row>
    <row r="93" spans="2:17" x14ac:dyDescent="0.2">
      <c r="B93" s="126"/>
      <c r="C93" s="120"/>
      <c r="D93" s="120"/>
      <c r="E93" s="120"/>
      <c r="F93" s="120"/>
      <c r="G93" s="120"/>
      <c r="H93" s="126"/>
      <c r="I93" s="122"/>
      <c r="J93" s="126"/>
      <c r="K93" s="120"/>
      <c r="L93" s="126"/>
      <c r="M93" s="120"/>
      <c r="N93" s="126"/>
      <c r="O93" s="120"/>
      <c r="P93" s="126"/>
      <c r="Q93" s="120"/>
    </row>
    <row r="94" spans="2:17" x14ac:dyDescent="0.2">
      <c r="B94" s="126"/>
      <c r="C94" s="120"/>
      <c r="D94" s="120"/>
      <c r="E94" s="120"/>
      <c r="F94" s="120"/>
      <c r="G94" s="120"/>
      <c r="H94" s="126"/>
      <c r="I94" s="122"/>
      <c r="J94" s="126"/>
      <c r="K94" s="120"/>
      <c r="L94" s="126"/>
      <c r="M94" s="120"/>
      <c r="N94" s="126"/>
      <c r="O94" s="120"/>
      <c r="P94" s="126"/>
      <c r="Q94" s="120"/>
    </row>
    <row r="95" spans="2:17" x14ac:dyDescent="0.2">
      <c r="B95" s="126"/>
      <c r="C95" s="120"/>
      <c r="D95" s="120"/>
      <c r="E95" s="120"/>
      <c r="F95" s="120"/>
      <c r="G95" s="120"/>
      <c r="H95" s="126"/>
      <c r="I95" s="122"/>
      <c r="J95" s="126"/>
      <c r="K95" s="120"/>
      <c r="L95" s="126"/>
      <c r="M95" s="120"/>
      <c r="N95" s="126"/>
      <c r="O95" s="120"/>
      <c r="P95" s="126"/>
      <c r="Q95" s="120"/>
    </row>
    <row r="96" spans="2:17" x14ac:dyDescent="0.2">
      <c r="B96" s="126"/>
      <c r="C96" s="120"/>
      <c r="D96" s="120"/>
      <c r="E96" s="120"/>
      <c r="F96" s="120"/>
      <c r="G96" s="120"/>
      <c r="H96" s="126"/>
      <c r="I96" s="122"/>
      <c r="J96" s="126"/>
      <c r="K96" s="120"/>
      <c r="L96" s="126"/>
      <c r="M96" s="120"/>
      <c r="N96" s="126"/>
      <c r="O96" s="120"/>
      <c r="P96" s="126"/>
      <c r="Q96" s="120"/>
    </row>
    <row r="97" spans="2:17" x14ac:dyDescent="0.2">
      <c r="B97" s="126"/>
      <c r="C97" s="120"/>
      <c r="D97" s="120"/>
      <c r="E97" s="120"/>
      <c r="F97" s="120"/>
      <c r="G97" s="120"/>
      <c r="H97" s="126"/>
      <c r="I97" s="122"/>
      <c r="J97" s="126"/>
      <c r="K97" s="120"/>
      <c r="L97" s="126"/>
      <c r="M97" s="120"/>
      <c r="N97" s="126"/>
      <c r="O97" s="120"/>
      <c r="P97" s="126"/>
      <c r="Q97" s="120"/>
    </row>
    <row r="98" spans="2:17" x14ac:dyDescent="0.2">
      <c r="B98" s="126"/>
      <c r="C98" s="120"/>
      <c r="D98" s="120"/>
      <c r="E98" s="120"/>
      <c r="F98" s="120"/>
      <c r="G98" s="120"/>
      <c r="H98" s="126"/>
      <c r="I98" s="122"/>
      <c r="J98" s="126"/>
      <c r="K98" s="120"/>
      <c r="L98" s="126"/>
      <c r="M98" s="120"/>
      <c r="N98" s="126"/>
      <c r="O98" s="120"/>
      <c r="P98" s="126"/>
      <c r="Q98" s="120"/>
    </row>
    <row r="99" spans="2:17" x14ac:dyDescent="0.2">
      <c r="B99" s="126"/>
      <c r="C99" s="120"/>
      <c r="D99" s="120"/>
      <c r="E99" s="120"/>
      <c r="F99" s="120"/>
      <c r="G99" s="120"/>
      <c r="H99" s="126"/>
      <c r="I99" s="122"/>
      <c r="J99" s="126"/>
      <c r="K99" s="120"/>
      <c r="L99" s="126"/>
      <c r="M99" s="120"/>
      <c r="N99" s="126"/>
      <c r="O99" s="120"/>
      <c r="P99" s="126"/>
      <c r="Q99" s="120"/>
    </row>
    <row r="100" spans="2:17" x14ac:dyDescent="0.2">
      <c r="B100" s="126"/>
      <c r="C100" s="120"/>
      <c r="D100" s="120"/>
      <c r="E100" s="120"/>
      <c r="F100" s="120"/>
      <c r="G100" s="120"/>
      <c r="H100" s="126"/>
      <c r="I100" s="122"/>
      <c r="J100" s="126"/>
      <c r="K100" s="120"/>
      <c r="L100" s="126"/>
      <c r="M100" s="120"/>
      <c r="N100" s="126"/>
      <c r="O100" s="120"/>
      <c r="P100" s="126"/>
      <c r="Q100" s="120"/>
    </row>
    <row r="101" spans="2:17" x14ac:dyDescent="0.2">
      <c r="B101" s="126"/>
      <c r="C101" s="120"/>
      <c r="D101" s="120"/>
      <c r="E101" s="120"/>
      <c r="F101" s="120"/>
      <c r="G101" s="120"/>
      <c r="H101" s="126"/>
      <c r="I101" s="122"/>
      <c r="J101" s="126"/>
      <c r="K101" s="120"/>
      <c r="L101" s="126"/>
      <c r="M101" s="120"/>
      <c r="N101" s="126"/>
      <c r="O101" s="120"/>
      <c r="P101" s="126"/>
      <c r="Q101" s="120"/>
    </row>
    <row r="102" spans="2:17" x14ac:dyDescent="0.2">
      <c r="B102" s="126"/>
      <c r="C102" s="120"/>
      <c r="D102" s="120"/>
      <c r="E102" s="120"/>
      <c r="F102" s="120"/>
      <c r="G102" s="120"/>
      <c r="H102" s="126"/>
      <c r="I102" s="122"/>
      <c r="J102" s="126"/>
      <c r="K102" s="120"/>
      <c r="L102" s="126"/>
      <c r="M102" s="120"/>
      <c r="N102" s="126"/>
      <c r="O102" s="120"/>
      <c r="P102" s="126"/>
      <c r="Q102" s="120"/>
    </row>
    <row r="103" spans="2:17" x14ac:dyDescent="0.2">
      <c r="B103" s="126"/>
      <c r="C103" s="120"/>
      <c r="D103" s="120"/>
      <c r="E103" s="120"/>
      <c r="F103" s="120"/>
      <c r="G103" s="120"/>
      <c r="H103" s="126"/>
      <c r="I103" s="122"/>
      <c r="J103" s="126"/>
      <c r="K103" s="120"/>
      <c r="L103" s="126"/>
      <c r="M103" s="120"/>
      <c r="N103" s="126"/>
      <c r="O103" s="120"/>
      <c r="P103" s="126"/>
      <c r="Q103" s="120"/>
    </row>
    <row r="104" spans="2:17" x14ac:dyDescent="0.2">
      <c r="B104" s="126"/>
      <c r="C104" s="120"/>
      <c r="D104" s="120"/>
      <c r="E104" s="120"/>
      <c r="F104" s="120"/>
      <c r="G104" s="120"/>
      <c r="H104" s="126"/>
      <c r="I104" s="122"/>
      <c r="J104" s="126"/>
      <c r="K104" s="120"/>
      <c r="L104" s="126"/>
      <c r="M104" s="120"/>
      <c r="N104" s="126"/>
      <c r="O104" s="120"/>
      <c r="P104" s="126"/>
      <c r="Q104" s="120"/>
    </row>
    <row r="105" spans="2:17" x14ac:dyDescent="0.2">
      <c r="B105" s="126"/>
      <c r="C105" s="120"/>
      <c r="D105" s="120"/>
      <c r="E105" s="120"/>
      <c r="F105" s="120"/>
      <c r="G105" s="120"/>
      <c r="H105" s="126"/>
      <c r="I105" s="122"/>
      <c r="J105" s="126"/>
      <c r="K105" s="120"/>
      <c r="L105" s="126"/>
      <c r="M105" s="120"/>
      <c r="N105" s="126"/>
      <c r="O105" s="120"/>
      <c r="P105" s="126"/>
      <c r="Q105" s="120"/>
    </row>
    <row r="106" spans="2:17" x14ac:dyDescent="0.2">
      <c r="B106" s="126"/>
      <c r="C106" s="120"/>
      <c r="D106" s="120"/>
      <c r="E106" s="120"/>
      <c r="F106" s="120"/>
      <c r="G106" s="120"/>
      <c r="H106" s="126"/>
      <c r="I106" s="122"/>
      <c r="J106" s="126"/>
      <c r="K106" s="120"/>
      <c r="L106" s="126"/>
      <c r="M106" s="120"/>
      <c r="N106" s="126"/>
      <c r="O106" s="120"/>
      <c r="P106" s="126"/>
      <c r="Q106" s="120"/>
    </row>
    <row r="107" spans="2:17" x14ac:dyDescent="0.2">
      <c r="B107" s="126"/>
      <c r="C107" s="120"/>
      <c r="D107" s="120"/>
      <c r="E107" s="120"/>
      <c r="F107" s="120"/>
      <c r="G107" s="120"/>
      <c r="H107" s="126"/>
      <c r="I107" s="122"/>
      <c r="J107" s="126"/>
      <c r="K107" s="120"/>
      <c r="L107" s="126"/>
      <c r="M107" s="120"/>
      <c r="N107" s="126"/>
      <c r="O107" s="120"/>
      <c r="P107" s="126"/>
      <c r="Q107" s="120"/>
    </row>
    <row r="108" spans="2:17" x14ac:dyDescent="0.2">
      <c r="B108" s="126"/>
      <c r="C108" s="120"/>
      <c r="D108" s="120"/>
      <c r="E108" s="120"/>
      <c r="F108" s="120"/>
      <c r="G108" s="120"/>
      <c r="H108" s="126"/>
      <c r="I108" s="122"/>
      <c r="J108" s="126"/>
      <c r="K108" s="120"/>
      <c r="L108" s="126"/>
      <c r="M108" s="120"/>
      <c r="N108" s="126"/>
      <c r="O108" s="120"/>
      <c r="P108" s="126"/>
      <c r="Q108" s="120"/>
    </row>
    <row r="109" spans="2:17" x14ac:dyDescent="0.2">
      <c r="B109" s="126"/>
      <c r="C109" s="120"/>
      <c r="D109" s="120"/>
      <c r="E109" s="120"/>
      <c r="F109" s="120"/>
      <c r="G109" s="120"/>
      <c r="H109" s="126"/>
      <c r="I109" s="122"/>
      <c r="J109" s="126"/>
      <c r="K109" s="120"/>
      <c r="L109" s="126"/>
      <c r="M109" s="120"/>
      <c r="N109" s="126"/>
      <c r="O109" s="120"/>
      <c r="P109" s="126"/>
      <c r="Q109" s="120"/>
    </row>
    <row r="110" spans="2:17" x14ac:dyDescent="0.2">
      <c r="B110" s="126"/>
      <c r="C110" s="120"/>
      <c r="D110" s="120"/>
      <c r="E110" s="120"/>
      <c r="F110" s="120"/>
      <c r="G110" s="120"/>
      <c r="H110" s="126"/>
      <c r="I110" s="122"/>
      <c r="J110" s="126"/>
      <c r="K110" s="120"/>
      <c r="L110" s="126"/>
      <c r="M110" s="120"/>
      <c r="N110" s="126"/>
      <c r="O110" s="120"/>
      <c r="P110" s="126"/>
      <c r="Q110" s="120"/>
    </row>
    <row r="111" spans="2:17" x14ac:dyDescent="0.2">
      <c r="B111" s="126"/>
      <c r="C111" s="120"/>
      <c r="D111" s="120"/>
      <c r="E111" s="120"/>
      <c r="F111" s="120"/>
      <c r="G111" s="120"/>
      <c r="H111" s="126"/>
      <c r="I111" s="122"/>
      <c r="J111" s="126"/>
      <c r="K111" s="120"/>
      <c r="L111" s="126"/>
      <c r="M111" s="120"/>
      <c r="N111" s="126"/>
      <c r="O111" s="120"/>
      <c r="P111" s="126"/>
      <c r="Q111" s="120"/>
    </row>
    <row r="112" spans="2:17" x14ac:dyDescent="0.2">
      <c r="B112" s="126"/>
      <c r="C112" s="120"/>
      <c r="D112" s="120"/>
      <c r="E112" s="120"/>
      <c r="F112" s="120"/>
      <c r="G112" s="120"/>
      <c r="H112" s="126"/>
      <c r="I112" s="122"/>
      <c r="J112" s="126"/>
      <c r="K112" s="120"/>
      <c r="L112" s="126"/>
      <c r="M112" s="120"/>
      <c r="N112" s="126"/>
      <c r="O112" s="120"/>
      <c r="P112" s="126"/>
      <c r="Q112" s="120"/>
    </row>
    <row r="113" spans="2:17" x14ac:dyDescent="0.2">
      <c r="B113" s="126"/>
      <c r="C113" s="120"/>
      <c r="D113" s="120"/>
      <c r="E113" s="120"/>
      <c r="F113" s="120"/>
      <c r="G113" s="120"/>
      <c r="H113" s="126"/>
      <c r="I113" s="122"/>
      <c r="J113" s="126"/>
      <c r="K113" s="120"/>
      <c r="L113" s="126"/>
      <c r="M113" s="120"/>
      <c r="N113" s="126"/>
      <c r="O113" s="120"/>
      <c r="P113" s="126"/>
      <c r="Q113" s="120"/>
    </row>
    <row r="114" spans="2:17" x14ac:dyDescent="0.2">
      <c r="B114" s="126"/>
      <c r="C114" s="1858"/>
      <c r="D114" s="1859"/>
      <c r="E114" s="1859"/>
      <c r="F114" s="1859"/>
      <c r="G114" s="1859"/>
      <c r="H114" s="1860"/>
      <c r="I114" s="1860"/>
      <c r="J114" s="1860"/>
      <c r="K114" s="1860"/>
      <c r="L114" s="1860"/>
      <c r="M114" s="1860"/>
      <c r="N114" s="124"/>
      <c r="O114" s="124"/>
      <c r="P114" s="124"/>
      <c r="Q114" s="124"/>
    </row>
    <row r="115" spans="2:17" x14ac:dyDescent="0.2">
      <c r="B115" s="126"/>
      <c r="C115" s="1859"/>
      <c r="D115" s="1859"/>
      <c r="E115" s="1859"/>
      <c r="F115" s="1859"/>
      <c r="G115" s="1859"/>
      <c r="H115" s="1863"/>
      <c r="I115" s="1863"/>
      <c r="J115" s="1863"/>
      <c r="K115" s="1863"/>
      <c r="L115" s="1863"/>
      <c r="M115" s="1863"/>
      <c r="N115" s="136"/>
      <c r="O115" s="136"/>
      <c r="P115" s="136"/>
      <c r="Q115" s="136"/>
    </row>
    <row r="116" spans="2:17" x14ac:dyDescent="0.2">
      <c r="B116" s="126"/>
      <c r="C116" s="137"/>
      <c r="D116" s="1856"/>
      <c r="E116" s="1856"/>
      <c r="F116" s="1856"/>
      <c r="G116" s="1856"/>
      <c r="H116" s="1855"/>
      <c r="I116" s="1855"/>
      <c r="J116" s="1855"/>
      <c r="K116" s="1855"/>
      <c r="L116" s="1855"/>
      <c r="M116" s="1855"/>
      <c r="N116" s="138"/>
      <c r="O116" s="138"/>
      <c r="P116" s="138"/>
      <c r="Q116" s="138"/>
    </row>
    <row r="117" spans="2:17" x14ac:dyDescent="0.2">
      <c r="B117" s="126"/>
      <c r="C117" s="137"/>
      <c r="D117" s="125"/>
      <c r="E117" s="125"/>
      <c r="F117" s="125"/>
      <c r="G117" s="139"/>
      <c r="H117" s="1855"/>
      <c r="I117" s="1855"/>
      <c r="J117" s="1855"/>
      <c r="K117" s="1862"/>
      <c r="L117" s="1855"/>
      <c r="M117" s="1862"/>
      <c r="N117" s="138"/>
      <c r="O117" s="138"/>
      <c r="P117" s="138"/>
      <c r="Q117" s="140"/>
    </row>
    <row r="118" spans="2:17" x14ac:dyDescent="0.2">
      <c r="B118" s="126"/>
      <c r="C118" s="137"/>
      <c r="D118" s="125"/>
      <c r="E118" s="125"/>
      <c r="F118" s="125"/>
      <c r="G118" s="139"/>
      <c r="H118" s="1855"/>
      <c r="I118" s="1855"/>
      <c r="J118" s="1855"/>
      <c r="K118" s="1862"/>
      <c r="L118" s="1855"/>
      <c r="M118" s="1862"/>
      <c r="N118" s="138"/>
      <c r="O118" s="138"/>
      <c r="P118" s="138"/>
      <c r="Q118" s="140"/>
    </row>
    <row r="119" spans="2:17" x14ac:dyDescent="0.2">
      <c r="B119" s="126"/>
      <c r="C119" s="137"/>
      <c r="D119" s="125"/>
      <c r="E119" s="125"/>
      <c r="F119" s="125"/>
      <c r="G119" s="139"/>
      <c r="H119" s="1855"/>
      <c r="I119" s="1855"/>
      <c r="J119" s="1855"/>
      <c r="K119" s="1862"/>
      <c r="L119" s="1855"/>
      <c r="M119" s="1862"/>
      <c r="N119" s="138"/>
      <c r="O119" s="138"/>
      <c r="P119" s="138"/>
      <c r="Q119" s="140"/>
    </row>
    <row r="120" spans="2:17" x14ac:dyDescent="0.2">
      <c r="B120" s="126"/>
      <c r="C120" s="137"/>
      <c r="D120" s="125"/>
      <c r="E120" s="125"/>
      <c r="F120" s="125"/>
      <c r="G120" s="139"/>
      <c r="H120" s="1855"/>
      <c r="I120" s="1855"/>
      <c r="J120" s="1857"/>
      <c r="K120" s="1857"/>
      <c r="L120" s="1857"/>
      <c r="M120" s="1857"/>
      <c r="N120" s="141"/>
      <c r="O120" s="141"/>
      <c r="P120" s="141"/>
      <c r="Q120" s="141"/>
    </row>
    <row r="121" spans="2:17" x14ac:dyDescent="0.2">
      <c r="B121" s="126"/>
      <c r="C121" s="137"/>
      <c r="D121" s="1856"/>
      <c r="E121" s="1856"/>
      <c r="F121" s="1856"/>
      <c r="G121" s="1856"/>
      <c r="H121" s="1855"/>
      <c r="I121" s="1855"/>
      <c r="J121" s="1861"/>
      <c r="K121" s="1861"/>
      <c r="L121" s="1861"/>
      <c r="M121" s="1861"/>
      <c r="N121" s="142"/>
      <c r="O121" s="142"/>
      <c r="P121" s="142"/>
      <c r="Q121" s="142"/>
    </row>
    <row r="122" spans="2:17" x14ac:dyDescent="0.2">
      <c r="B122" s="126"/>
      <c r="C122" s="137"/>
      <c r="D122" s="1874"/>
      <c r="E122" s="1874"/>
      <c r="F122" s="1874"/>
      <c r="G122" s="1874"/>
      <c r="H122" s="1855"/>
      <c r="I122" s="1862"/>
      <c r="J122" s="1855"/>
      <c r="K122" s="1862"/>
      <c r="L122" s="1855"/>
      <c r="M122" s="1862"/>
      <c r="N122" s="138"/>
      <c r="O122" s="138"/>
      <c r="P122" s="138"/>
      <c r="Q122" s="140"/>
    </row>
    <row r="123" spans="2:17" x14ac:dyDescent="0.2">
      <c r="B123" s="126"/>
      <c r="C123" s="1858"/>
      <c r="D123" s="1859"/>
      <c r="E123" s="1859"/>
      <c r="F123" s="1859"/>
      <c r="G123" s="1859"/>
      <c r="H123" s="1860"/>
      <c r="I123" s="1860"/>
      <c r="J123" s="1860"/>
      <c r="K123" s="1860"/>
      <c r="L123" s="1860"/>
      <c r="M123" s="1860"/>
      <c r="N123" s="124"/>
      <c r="O123" s="124"/>
      <c r="P123" s="124"/>
      <c r="Q123" s="124"/>
    </row>
    <row r="124" spans="2:17" x14ac:dyDescent="0.2">
      <c r="B124" s="126"/>
      <c r="C124" s="1859"/>
      <c r="D124" s="1859"/>
      <c r="E124" s="1859"/>
      <c r="F124" s="1859"/>
      <c r="G124" s="1859"/>
      <c r="H124" s="1863"/>
      <c r="I124" s="1863"/>
      <c r="J124" s="1863"/>
      <c r="K124" s="1863"/>
      <c r="L124" s="1863"/>
      <c r="M124" s="1863"/>
      <c r="N124" s="136"/>
      <c r="O124" s="136"/>
      <c r="P124" s="136"/>
      <c r="Q124" s="136"/>
    </row>
    <row r="125" spans="2:17" x14ac:dyDescent="0.2">
      <c r="B125" s="126"/>
      <c r="C125" s="137"/>
      <c r="D125" s="122"/>
      <c r="E125" s="122"/>
      <c r="F125" s="122"/>
      <c r="G125" s="143"/>
      <c r="H125" s="1855"/>
      <c r="I125" s="1862"/>
      <c r="J125" s="1855"/>
      <c r="K125" s="1862"/>
      <c r="L125" s="1855"/>
      <c r="M125" s="1862"/>
      <c r="N125" s="138"/>
      <c r="O125" s="138"/>
      <c r="P125" s="138"/>
      <c r="Q125" s="140"/>
    </row>
    <row r="126" spans="2:17" x14ac:dyDescent="0.2">
      <c r="B126" s="126"/>
      <c r="C126" s="137"/>
      <c r="D126" s="122"/>
      <c r="E126" s="122"/>
      <c r="F126" s="122"/>
      <c r="G126" s="143"/>
      <c r="H126" s="1855"/>
      <c r="I126" s="1862"/>
      <c r="J126" s="1855"/>
      <c r="K126" s="1862"/>
      <c r="L126" s="1855"/>
      <c r="M126" s="1862"/>
      <c r="N126" s="138"/>
      <c r="O126" s="138"/>
      <c r="P126" s="138"/>
      <c r="Q126" s="140"/>
    </row>
    <row r="127" spans="2:17" x14ac:dyDescent="0.2">
      <c r="B127" s="126"/>
      <c r="C127" s="137"/>
      <c r="D127" s="122"/>
      <c r="E127" s="122"/>
      <c r="F127" s="122"/>
      <c r="G127" s="143"/>
      <c r="H127" s="1861"/>
      <c r="I127" s="1861"/>
      <c r="J127" s="1855"/>
      <c r="K127" s="1862"/>
      <c r="L127" s="1855"/>
      <c r="M127" s="1862"/>
      <c r="N127" s="138"/>
      <c r="O127" s="138"/>
      <c r="P127" s="138"/>
      <c r="Q127" s="140"/>
    </row>
    <row r="128" spans="2:17" x14ac:dyDescent="0.2">
      <c r="B128" s="126"/>
      <c r="C128" s="137"/>
      <c r="D128" s="122"/>
      <c r="E128" s="122"/>
      <c r="F128" s="122"/>
      <c r="G128" s="143"/>
      <c r="H128" s="1855"/>
      <c r="I128" s="1862"/>
      <c r="J128" s="1855"/>
      <c r="K128" s="1862"/>
      <c r="L128" s="1855"/>
      <c r="M128" s="1862"/>
      <c r="N128" s="138"/>
      <c r="O128" s="138"/>
      <c r="P128" s="138"/>
      <c r="Q128" s="140"/>
    </row>
    <row r="129" spans="2:17" x14ac:dyDescent="0.2">
      <c r="B129" s="126"/>
      <c r="C129" s="137"/>
      <c r="D129" s="122"/>
      <c r="E129" s="122"/>
      <c r="F129" s="122"/>
      <c r="G129" s="143"/>
      <c r="H129" s="1855"/>
      <c r="I129" s="1862"/>
      <c r="J129" s="1855"/>
      <c r="K129" s="1862"/>
      <c r="L129" s="1855"/>
      <c r="M129" s="1862"/>
      <c r="N129" s="138"/>
      <c r="O129" s="138"/>
      <c r="P129" s="138"/>
      <c r="Q129" s="140"/>
    </row>
  </sheetData>
  <sheetProtection algorithmName="SHA-512" hashValue="iP04fiBJV0L4Z/C6sOvOiaEcsjlU3khXnAA7xFOntW5ZIuaM+LSsKiqN48hT2Sx32JNpimRGMYHVZbi9q3bZYg==" saltValue="g3NRFkvYltkor+P/FZiSmQ==" spinCount="100000" sheet="1" objects="1" scenarios="1"/>
  <mergeCells count="217">
    <mergeCell ref="G5:L5"/>
    <mergeCell ref="B5:E5"/>
    <mergeCell ref="R6:S6"/>
    <mergeCell ref="L120:M120"/>
    <mergeCell ref="D122:G122"/>
    <mergeCell ref="B59:D59"/>
    <mergeCell ref="B7:D8"/>
    <mergeCell ref="B62:D62"/>
    <mergeCell ref="B58:D58"/>
    <mergeCell ref="B63:D63"/>
    <mergeCell ref="B57:D57"/>
    <mergeCell ref="L116:M116"/>
    <mergeCell ref="L117:M117"/>
    <mergeCell ref="J114:K114"/>
    <mergeCell ref="J115:K115"/>
    <mergeCell ref="J116:K116"/>
    <mergeCell ref="M62:N62"/>
    <mergeCell ref="L115:M115"/>
    <mergeCell ref="H116:I116"/>
    <mergeCell ref="H117:I117"/>
    <mergeCell ref="G43:H43"/>
    <mergeCell ref="G45:H45"/>
    <mergeCell ref="G47:H47"/>
    <mergeCell ref="C26:D26"/>
    <mergeCell ref="B80:D80"/>
    <mergeCell ref="G80:K80"/>
    <mergeCell ref="G60:H60"/>
    <mergeCell ref="G63:H63"/>
    <mergeCell ref="I63:J63"/>
    <mergeCell ref="K63:L63"/>
    <mergeCell ref="G37:H37"/>
    <mergeCell ref="G59:H59"/>
    <mergeCell ref="G62:H62"/>
    <mergeCell ref="K55:L55"/>
    <mergeCell ref="I58:J58"/>
    <mergeCell ref="I59:J59"/>
    <mergeCell ref="L80:N80"/>
    <mergeCell ref="B37:D37"/>
    <mergeCell ref="B47:D47"/>
    <mergeCell ref="B53:D53"/>
    <mergeCell ref="C50:D50"/>
    <mergeCell ref="B55:D55"/>
    <mergeCell ref="B56:D56"/>
    <mergeCell ref="B61:D61"/>
    <mergeCell ref="M63:N63"/>
    <mergeCell ref="M59:N59"/>
    <mergeCell ref="G51:H51"/>
    <mergeCell ref="I62:J62"/>
    <mergeCell ref="C28:D28"/>
    <mergeCell ref="H126:I126"/>
    <mergeCell ref="J126:K126"/>
    <mergeCell ref="L126:M126"/>
    <mergeCell ref="M61:N61"/>
    <mergeCell ref="M58:N58"/>
    <mergeCell ref="M55:N55"/>
    <mergeCell ref="K58:L58"/>
    <mergeCell ref="G57:H57"/>
    <mergeCell ref="G61:H61"/>
    <mergeCell ref="G58:H58"/>
    <mergeCell ref="M57:N57"/>
    <mergeCell ref="I57:J57"/>
    <mergeCell ref="G56:H56"/>
    <mergeCell ref="M56:N56"/>
    <mergeCell ref="D121:G121"/>
    <mergeCell ref="J117:K117"/>
    <mergeCell ref="H125:I125"/>
    <mergeCell ref="H119:I119"/>
    <mergeCell ref="H122:I122"/>
    <mergeCell ref="L125:M125"/>
    <mergeCell ref="J121:K121"/>
    <mergeCell ref="H121:I121"/>
    <mergeCell ref="J125:K125"/>
    <mergeCell ref="J122:K122"/>
    <mergeCell ref="L129:M129"/>
    <mergeCell ref="L128:M128"/>
    <mergeCell ref="H127:I127"/>
    <mergeCell ref="J127:K127"/>
    <mergeCell ref="L127:M127"/>
    <mergeCell ref="J129:K129"/>
    <mergeCell ref="J128:K128"/>
    <mergeCell ref="H128:I128"/>
    <mergeCell ref="H129:I129"/>
    <mergeCell ref="J124:K124"/>
    <mergeCell ref="J123:K123"/>
    <mergeCell ref="H118:I118"/>
    <mergeCell ref="H120:I120"/>
    <mergeCell ref="D116:G116"/>
    <mergeCell ref="J120:K120"/>
    <mergeCell ref="C123:G124"/>
    <mergeCell ref="H123:I123"/>
    <mergeCell ref="K50:L50"/>
    <mergeCell ref="L123:M123"/>
    <mergeCell ref="L121:M121"/>
    <mergeCell ref="J119:K119"/>
    <mergeCell ref="L119:M119"/>
    <mergeCell ref="H124:I124"/>
    <mergeCell ref="L122:M122"/>
    <mergeCell ref="L124:M124"/>
    <mergeCell ref="J118:K118"/>
    <mergeCell ref="L118:M118"/>
    <mergeCell ref="H115:I115"/>
    <mergeCell ref="I56:J56"/>
    <mergeCell ref="K61:L61"/>
    <mergeCell ref="K57:L57"/>
    <mergeCell ref="K56:L56"/>
    <mergeCell ref="C114:G115"/>
    <mergeCell ref="L114:M114"/>
    <mergeCell ref="H114:I114"/>
    <mergeCell ref="O33:P33"/>
    <mergeCell ref="O38:P38"/>
    <mergeCell ref="G46:H46"/>
    <mergeCell ref="M50:N50"/>
    <mergeCell ref="G49:H49"/>
    <mergeCell ref="G48:H48"/>
    <mergeCell ref="K39:L39"/>
    <mergeCell ref="K47:L47"/>
    <mergeCell ref="K38:L38"/>
    <mergeCell ref="I45:J45"/>
    <mergeCell ref="G44:H44"/>
    <mergeCell ref="K43:L43"/>
    <mergeCell ref="M43:N43"/>
    <mergeCell ref="M48:N48"/>
    <mergeCell ref="I46:J46"/>
    <mergeCell ref="K46:L46"/>
    <mergeCell ref="M46:N46"/>
    <mergeCell ref="G38:H38"/>
    <mergeCell ref="K49:L49"/>
    <mergeCell ref="G42:H42"/>
    <mergeCell ref="G50:H50"/>
    <mergeCell ref="K40:L40"/>
    <mergeCell ref="M40:N40"/>
    <mergeCell ref="K41:L41"/>
    <mergeCell ref="G53:H53"/>
    <mergeCell ref="I53:J53"/>
    <mergeCell ref="K53:L53"/>
    <mergeCell ref="M53:N53"/>
    <mergeCell ref="K51:L51"/>
    <mergeCell ref="M51:N51"/>
    <mergeCell ref="I49:J49"/>
    <mergeCell ref="K62:L62"/>
    <mergeCell ref="K59:L59"/>
    <mergeCell ref="I61:J61"/>
    <mergeCell ref="I51:J51"/>
    <mergeCell ref="G52:H52"/>
    <mergeCell ref="I52:J52"/>
    <mergeCell ref="K52:L52"/>
    <mergeCell ref="G55:H55"/>
    <mergeCell ref="I55:J55"/>
    <mergeCell ref="I43:J43"/>
    <mergeCell ref="M41:N41"/>
    <mergeCell ref="K48:L48"/>
    <mergeCell ref="I50:J50"/>
    <mergeCell ref="I47:J47"/>
    <mergeCell ref="I48:J48"/>
    <mergeCell ref="M49:N49"/>
    <mergeCell ref="M42:N42"/>
    <mergeCell ref="M44:N44"/>
    <mergeCell ref="M45:N45"/>
    <mergeCell ref="K45:L45"/>
    <mergeCell ref="E7:F7"/>
    <mergeCell ref="E8:F8"/>
    <mergeCell ref="E10:F10"/>
    <mergeCell ref="E33:F33"/>
    <mergeCell ref="G8:H8"/>
    <mergeCell ref="I8:J8"/>
    <mergeCell ref="K8:L8"/>
    <mergeCell ref="M8:N8"/>
    <mergeCell ref="G33:H33"/>
    <mergeCell ref="G7:H7"/>
    <mergeCell ref="K7:L7"/>
    <mergeCell ref="M7:N7"/>
    <mergeCell ref="I33:J33"/>
    <mergeCell ref="K33:L33"/>
    <mergeCell ref="M33:N33"/>
    <mergeCell ref="G10:H10"/>
    <mergeCell ref="I10:J10"/>
    <mergeCell ref="K10:L10"/>
    <mergeCell ref="M10:N10"/>
    <mergeCell ref="O10:P10"/>
    <mergeCell ref="I38:J38"/>
    <mergeCell ref="I7:J7"/>
    <mergeCell ref="O47:P47"/>
    <mergeCell ref="O48:P48"/>
    <mergeCell ref="K44:L44"/>
    <mergeCell ref="M39:N39"/>
    <mergeCell ref="M47:N47"/>
    <mergeCell ref="I42:J42"/>
    <mergeCell ref="K42:L42"/>
    <mergeCell ref="I37:J37"/>
    <mergeCell ref="O39:P39"/>
    <mergeCell ref="M38:N38"/>
    <mergeCell ref="I44:J44"/>
    <mergeCell ref="O40:P40"/>
    <mergeCell ref="O41:P41"/>
    <mergeCell ref="O42:P42"/>
    <mergeCell ref="O43:P43"/>
    <mergeCell ref="O44:P44"/>
    <mergeCell ref="O45:P45"/>
    <mergeCell ref="O46:P46"/>
    <mergeCell ref="K36:P36"/>
    <mergeCell ref="O7:P7"/>
    <mergeCell ref="O8:P8"/>
    <mergeCell ref="M35:P35"/>
    <mergeCell ref="O63:P63"/>
    <mergeCell ref="O51:P51"/>
    <mergeCell ref="O52:P52"/>
    <mergeCell ref="O53:P53"/>
    <mergeCell ref="O55:P55"/>
    <mergeCell ref="O62:P62"/>
    <mergeCell ref="O56:P56"/>
    <mergeCell ref="O49:P49"/>
    <mergeCell ref="O50:P50"/>
    <mergeCell ref="O58:P58"/>
    <mergeCell ref="O59:P59"/>
    <mergeCell ref="O61:P61"/>
    <mergeCell ref="O57:P57"/>
    <mergeCell ref="M52:N5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5" orientation="landscape" verticalDpi="4" r:id="rId1"/>
  <colBreaks count="1" manualBreakCount="1">
    <brk id="16" max="36" man="1"/>
  </colBreaks>
  <ignoredErrors>
    <ignoredError sqref="B5 G5 O5 I8" unlockedFormula="1"/>
    <ignoredError sqref="G10 K10" numberStoredAsText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ul5"/>
  <dimension ref="B1:H54"/>
  <sheetViews>
    <sheetView workbookViewId="0"/>
  </sheetViews>
  <sheetFormatPr defaultRowHeight="12.75" x14ac:dyDescent="0.2"/>
  <cols>
    <col min="2" max="2" width="26.7109375" customWidth="1"/>
  </cols>
  <sheetData>
    <row r="1" spans="2:8" x14ac:dyDescent="0.2">
      <c r="B1" s="259" t="s">
        <v>216</v>
      </c>
    </row>
    <row r="2" spans="2:8" ht="13.5" thickBot="1" x14ac:dyDescent="0.25">
      <c r="C2" s="258">
        <f>'8. T4 RAHOITUSSUUN. '!P11</f>
        <v>2024</v>
      </c>
      <c r="D2" s="258">
        <f>'8. T4 RAHOITUSSUUN. '!Q11</f>
        <v>2025</v>
      </c>
      <c r="E2" s="258">
        <f>'8. T4 RAHOITUSSUUN. '!R11</f>
        <v>2027</v>
      </c>
      <c r="F2" s="258">
        <f>'8. T4 RAHOITUSSUUN. '!S11</f>
        <v>2028</v>
      </c>
      <c r="G2" s="258">
        <f>'8. T4 RAHOITUSSUUN. '!T11</f>
        <v>2029</v>
      </c>
      <c r="H2" s="258">
        <f>'8. T4 RAHOITUSSUUN. '!U11</f>
        <v>2030</v>
      </c>
    </row>
    <row r="3" spans="2:8" x14ac:dyDescent="0.2">
      <c r="B3" s="457" t="s">
        <v>422</v>
      </c>
      <c r="C3" s="1359">
        <f>'8. T4 RAHOITUSSUUN. '!P13/1000</f>
        <v>0</v>
      </c>
      <c r="D3" s="1359">
        <f>'8. T4 RAHOITUSSUUN. '!Q13/1000</f>
        <v>0</v>
      </c>
      <c r="E3" s="1359">
        <f>'8. T4 RAHOITUSSUUN. '!R13/1000</f>
        <v>0</v>
      </c>
      <c r="F3" s="1359">
        <f>'8. T4 RAHOITUSSUUN. '!S13/1000</f>
        <v>0</v>
      </c>
      <c r="G3" s="1359">
        <f>'8. T4 RAHOITUSSUUN. '!T13/1000</f>
        <v>0</v>
      </c>
      <c r="H3" s="1359">
        <f>'8. T4 RAHOITUSSUUN. '!U13/1000</f>
        <v>0</v>
      </c>
    </row>
    <row r="4" spans="2:8" x14ac:dyDescent="0.2">
      <c r="B4" s="459" t="s">
        <v>423</v>
      </c>
      <c r="C4" s="1359">
        <f>'3. T3 TASE '!F96/1000</f>
        <v>0</v>
      </c>
      <c r="D4" s="1359">
        <f>'3. T3 TASE '!G96/1000</f>
        <v>0</v>
      </c>
      <c r="E4" s="1359">
        <f>'3. T3 TASE '!H96/1000</f>
        <v>0</v>
      </c>
      <c r="F4" s="1359">
        <f>'3. T3 TASE '!I96/1000</f>
        <v>0</v>
      </c>
      <c r="G4" s="1359">
        <f>'3. T3 TASE '!J96/1000</f>
        <v>0</v>
      </c>
      <c r="H4" s="1359">
        <f>'3. T3 TASE '!K96/1000</f>
        <v>0</v>
      </c>
    </row>
    <row r="5" spans="2:8" x14ac:dyDescent="0.2">
      <c r="B5" s="461" t="s">
        <v>424</v>
      </c>
      <c r="C5" s="1359">
        <f>'8. T4 RAHOITUSSUUN. '!P16/1000</f>
        <v>0</v>
      </c>
      <c r="D5" s="1359">
        <f>'8. T4 RAHOITUSSUUN. '!Q16/1000</f>
        <v>0</v>
      </c>
      <c r="E5" s="1359">
        <f>'8. T4 RAHOITUSSUUN. '!R16/1000</f>
        <v>0</v>
      </c>
      <c r="F5" s="1359">
        <f>'8. T4 RAHOITUSSUUN. '!S16/1000</f>
        <v>0</v>
      </c>
      <c r="G5" s="1359">
        <f>'8. T4 RAHOITUSSUUN. '!T16/1000</f>
        <v>0</v>
      </c>
      <c r="H5" s="1359">
        <f>'8. T4 RAHOITUSSUUN. '!U16/1000</f>
        <v>0</v>
      </c>
    </row>
    <row r="25" spans="2:8" x14ac:dyDescent="0.2">
      <c r="B25" s="155" t="s">
        <v>217</v>
      </c>
    </row>
    <row r="26" spans="2:8" x14ac:dyDescent="0.2">
      <c r="C26" s="16">
        <f t="shared" ref="C26:H26" si="0">C2</f>
        <v>2024</v>
      </c>
      <c r="D26" s="16">
        <f t="shared" si="0"/>
        <v>2025</v>
      </c>
      <c r="E26" s="16">
        <f t="shared" si="0"/>
        <v>2027</v>
      </c>
      <c r="F26" s="16">
        <f t="shared" si="0"/>
        <v>2028</v>
      </c>
      <c r="G26" s="16">
        <f t="shared" si="0"/>
        <v>2029</v>
      </c>
      <c r="H26" s="16">
        <f t="shared" si="0"/>
        <v>2030</v>
      </c>
    </row>
    <row r="27" spans="2:8" x14ac:dyDescent="0.2">
      <c r="B27" s="459" t="s">
        <v>471</v>
      </c>
      <c r="C27" s="1360">
        <f>'8. T4 RAHOITUSSUUN. '!P19*100</f>
        <v>0</v>
      </c>
      <c r="D27" s="1360">
        <f>'8. T4 RAHOITUSSUUN. '!Q19*100</f>
        <v>0</v>
      </c>
      <c r="E27" s="1360">
        <f>'8. T4 RAHOITUSSUUN. '!R19*100</f>
        <v>0</v>
      </c>
      <c r="F27" s="1360">
        <f>'8. T4 RAHOITUSSUUN. '!S19*100</f>
        <v>0</v>
      </c>
      <c r="G27" s="1360">
        <f>'8. T4 RAHOITUSSUUN. '!T19*100</f>
        <v>0</v>
      </c>
      <c r="H27" s="1360">
        <f>'8. T4 RAHOITUSSUUN. '!U19*100</f>
        <v>0</v>
      </c>
    </row>
    <row r="28" spans="2:8" x14ac:dyDescent="0.2">
      <c r="B28" s="459" t="s">
        <v>476</v>
      </c>
      <c r="C28" s="1360">
        <f>'8. T4 RAHOITUSSUUN. '!P21*100</f>
        <v>0</v>
      </c>
      <c r="D28" s="1360">
        <f>'8. T4 RAHOITUSSUUN. '!Q21*100</f>
        <v>0</v>
      </c>
      <c r="E28" s="1360">
        <f>'8. T4 RAHOITUSSUUN. '!R21*100</f>
        <v>0</v>
      </c>
      <c r="F28" s="1360">
        <f>'8. T4 RAHOITUSSUUN. '!S21*100</f>
        <v>0</v>
      </c>
      <c r="G28" s="1360">
        <f>'8. T4 RAHOITUSSUUN. '!T21*100</f>
        <v>0</v>
      </c>
      <c r="H28" s="1360">
        <f>'8. T4 RAHOITUSSUUN. '!U21*100</f>
        <v>0</v>
      </c>
    </row>
    <row r="29" spans="2:8" x14ac:dyDescent="0.2">
      <c r="B29" s="459" t="s">
        <v>473</v>
      </c>
      <c r="C29" s="1361">
        <f>'8. T4 RAHOITUSSUUN. '!P24*100</f>
        <v>0</v>
      </c>
      <c r="D29" s="1361">
        <f>'8. T4 RAHOITUSSUUN. '!Q24*100</f>
        <v>0</v>
      </c>
      <c r="E29" s="1361">
        <f>'8. T4 RAHOITUSSUUN. '!R24*100</f>
        <v>0</v>
      </c>
      <c r="F29" s="1361">
        <f>'8. T4 RAHOITUSSUUN. '!S24*100</f>
        <v>0</v>
      </c>
      <c r="G29" s="1361">
        <f>'8. T4 RAHOITUSSUUN. '!T24*100</f>
        <v>0</v>
      </c>
      <c r="H29" s="1361">
        <f>'8. T4 RAHOITUSSUUN. '!U24*100</f>
        <v>0</v>
      </c>
    </row>
    <row r="30" spans="2:8" x14ac:dyDescent="0.2">
      <c r="B30" s="461" t="s">
        <v>472</v>
      </c>
      <c r="C30" s="1361">
        <f>'8. T4 RAHOITUSSUUN. '!P25*100</f>
        <v>0</v>
      </c>
      <c r="D30" s="1361">
        <f>'8. T4 RAHOITUSSUUN. '!Q25*100</f>
        <v>0</v>
      </c>
      <c r="E30" s="1361">
        <f>'8. T4 RAHOITUSSUUN. '!R25*100</f>
        <v>0</v>
      </c>
      <c r="F30" s="1361">
        <f>'8. T4 RAHOITUSSUUN. '!S25*100</f>
        <v>0</v>
      </c>
      <c r="G30" s="1361">
        <f>'8. T4 RAHOITUSSUUN. '!T25*100</f>
        <v>0</v>
      </c>
      <c r="H30" s="1361">
        <f>'8. T4 RAHOITUSSUUN. '!U25*100</f>
        <v>0</v>
      </c>
    </row>
    <row r="31" spans="2:8" x14ac:dyDescent="0.2">
      <c r="B31" s="143"/>
      <c r="C31" s="698"/>
      <c r="D31" s="698"/>
      <c r="E31" s="698"/>
      <c r="F31" s="698"/>
      <c r="G31" s="698"/>
      <c r="H31" s="698"/>
    </row>
    <row r="50" spans="2:8" x14ac:dyDescent="0.2">
      <c r="B50" s="321" t="s">
        <v>240</v>
      </c>
    </row>
    <row r="51" spans="2:8" x14ac:dyDescent="0.2">
      <c r="C51" s="469">
        <f>'8. T4 RAHOITUSSUUN. '!P46</f>
        <v>2024</v>
      </c>
      <c r="D51" s="469">
        <f>'8. T4 RAHOITUSSUUN. '!Q46</f>
        <v>2025</v>
      </c>
      <c r="E51" s="469">
        <f>'8. T4 RAHOITUSSUUN. '!R46</f>
        <v>2027</v>
      </c>
      <c r="F51" s="469">
        <f>'8. T4 RAHOITUSSUUN. '!S46</f>
        <v>2028</v>
      </c>
      <c r="G51" s="469">
        <f>'8. T4 RAHOITUSSUUN. '!T46</f>
        <v>2029</v>
      </c>
      <c r="H51" s="469">
        <f>'8. T4 RAHOITUSSUUN. '!U46</f>
        <v>2030</v>
      </c>
    </row>
    <row r="52" spans="2:8" x14ac:dyDescent="0.2">
      <c r="B52" s="457" t="s">
        <v>425</v>
      </c>
      <c r="C52" s="1359">
        <f>'8. T4 RAHOITUSSUUN. '!P47/1000</f>
        <v>0</v>
      </c>
      <c r="D52" s="1359">
        <f>'8. T4 RAHOITUSSUUN. '!Q47/1000</f>
        <v>0</v>
      </c>
      <c r="E52" s="1359">
        <f>'8. T4 RAHOITUSSUUN. '!R47/1000</f>
        <v>0</v>
      </c>
      <c r="F52" s="1359">
        <f>'8. T4 RAHOITUSSUUN. '!S47/1000</f>
        <v>0</v>
      </c>
      <c r="G52" s="1359">
        <f>'8. T4 RAHOITUSSUUN. '!T47/1000</f>
        <v>0</v>
      </c>
      <c r="H52" s="1359">
        <f>'8. T4 RAHOITUSSUUN. '!U47/1000</f>
        <v>0</v>
      </c>
    </row>
    <row r="53" spans="2:8" x14ac:dyDescent="0.2">
      <c r="B53" s="459" t="s">
        <v>426</v>
      </c>
      <c r="C53" s="1359">
        <f>'8. T4 RAHOITUSSUUN. '!P48/1000</f>
        <v>0</v>
      </c>
      <c r="D53" s="1359">
        <f>'8. T4 RAHOITUSSUUN. '!Q48/1000</f>
        <v>0</v>
      </c>
      <c r="E53" s="1359">
        <f>'8. T4 RAHOITUSSUUN. '!R48/1000</f>
        <v>0</v>
      </c>
      <c r="F53" s="1359">
        <f>'8. T4 RAHOITUSSUUN. '!S48/1000</f>
        <v>0</v>
      </c>
      <c r="G53" s="1359">
        <f>'8. T4 RAHOITUSSUUN. '!T48/1000</f>
        <v>0</v>
      </c>
      <c r="H53" s="1359">
        <f>'8. T4 RAHOITUSSUUN. '!U48/1000</f>
        <v>0</v>
      </c>
    </row>
    <row r="54" spans="2:8" x14ac:dyDescent="0.2">
      <c r="B54" s="459" t="s">
        <v>427</v>
      </c>
      <c r="C54" s="1362">
        <f>'8. T4 RAHOITUSSUUN. '!P51/1000</f>
        <v>0</v>
      </c>
      <c r="D54" s="1362">
        <f>'8. T4 RAHOITUSSUUN. '!Q51/1000</f>
        <v>0</v>
      </c>
      <c r="E54" s="1362">
        <f>'8. T4 RAHOITUSSUUN. '!R51/1000</f>
        <v>0</v>
      </c>
      <c r="F54" s="1362">
        <f>'8. T4 RAHOITUSSUUN. '!S51/1000</f>
        <v>0</v>
      </c>
      <c r="G54" s="1362">
        <f>'8. T4 RAHOITUSSUUN. '!T51/1000</f>
        <v>0</v>
      </c>
      <c r="H54" s="1362">
        <f>'8. T4 RAHOITUSSUUN. '!U51/1000</f>
        <v>0</v>
      </c>
    </row>
  </sheetData>
  <sheetProtection algorithmName="SHA-512" hashValue="SqRVmValE3ubQVbVFp56ocqEb+soySsoCI4OvXEZIfl7OdnKIPt/GmeWrR+G8oDWniO/usfhMTizrOihss24JQ==" saltValue="81NXHzie12I+mgQHO+jXYg==" spinCount="100000" sheet="1" objects="1" scenarios="1" selectLockedCells="1" selectUnlockedCell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ul4">
    <tabColor rgb="FF0152A1"/>
  </sheetPr>
  <dimension ref="A1:W104"/>
  <sheetViews>
    <sheetView showGridLines="0" showZeros="0" workbookViewId="0">
      <selection activeCell="O76" sqref="O76"/>
    </sheetView>
  </sheetViews>
  <sheetFormatPr defaultRowHeight="12.75" x14ac:dyDescent="0.2"/>
  <cols>
    <col min="1" max="1" width="11.42578125" style="33" customWidth="1"/>
    <col min="2" max="2" width="3.28515625" customWidth="1"/>
    <col min="3" max="3" width="18.28515625" customWidth="1"/>
    <col min="4" max="4" width="10" customWidth="1"/>
    <col min="5" max="5" width="7.140625" customWidth="1"/>
    <col min="6" max="11" width="11.28515625" customWidth="1"/>
    <col min="12" max="12" width="5" customWidth="1"/>
    <col min="13" max="21" width="11.28515625" customWidth="1"/>
  </cols>
  <sheetData>
    <row r="1" spans="1:21" x14ac:dyDescent="0.2">
      <c r="A1" s="33" t="s">
        <v>0</v>
      </c>
    </row>
    <row r="2" spans="1:21" ht="15.75" x14ac:dyDescent="0.25">
      <c r="A2" s="1366" t="s">
        <v>535</v>
      </c>
      <c r="C2" s="83" t="s">
        <v>330</v>
      </c>
      <c r="D2" s="19"/>
      <c r="G2" s="41"/>
      <c r="J2" s="53"/>
      <c r="K2" s="53"/>
      <c r="M2" s="83" t="s">
        <v>186</v>
      </c>
      <c r="N2" s="19"/>
    </row>
    <row r="3" spans="1:21" x14ac:dyDescent="0.2">
      <c r="B3" s="45"/>
      <c r="G3" s="504"/>
      <c r="M3" s="1809"/>
      <c r="N3" s="1809"/>
    </row>
    <row r="4" spans="1:21" x14ac:dyDescent="0.2">
      <c r="B4" s="41" t="s">
        <v>537</v>
      </c>
      <c r="H4" s="77">
        <v>0</v>
      </c>
    </row>
    <row r="5" spans="1:21" x14ac:dyDescent="0.2">
      <c r="B5" s="1923">
        <f>'1. T1 INVESTOINTISUUN.'!B7:D7</f>
        <v>0</v>
      </c>
      <c r="C5" s="1923"/>
      <c r="D5" s="1923"/>
      <c r="E5" s="1923"/>
      <c r="F5" s="1923"/>
      <c r="G5" s="452"/>
      <c r="H5" s="452"/>
      <c r="I5" s="46"/>
      <c r="J5" s="452"/>
      <c r="K5" s="452"/>
      <c r="L5" s="38"/>
      <c r="M5" s="1207"/>
      <c r="N5" s="1208"/>
      <c r="O5" s="1202"/>
      <c r="P5" s="1208"/>
      <c r="Q5" s="1208"/>
      <c r="R5" s="1208"/>
      <c r="S5" s="1208"/>
      <c r="T5" s="1208"/>
      <c r="U5" s="1209"/>
    </row>
    <row r="6" spans="1:21" x14ac:dyDescent="0.2">
      <c r="B6" s="506"/>
      <c r="C6" s="507"/>
      <c r="D6" s="507"/>
      <c r="E6" s="462"/>
      <c r="F6" s="462"/>
      <c r="G6" s="46"/>
      <c r="H6" s="1884"/>
      <c r="I6" s="1884"/>
      <c r="J6" s="1884"/>
      <c r="K6" s="1884"/>
      <c r="M6" s="1501" t="s">
        <v>592</v>
      </c>
      <c r="N6" s="132"/>
      <c r="U6" s="1210"/>
    </row>
    <row r="7" spans="1:21" ht="6" customHeight="1" thickBot="1" x14ac:dyDescent="0.25">
      <c r="B7" s="33"/>
      <c r="M7" s="1211"/>
      <c r="N7" s="132"/>
      <c r="O7" s="132"/>
      <c r="P7" s="132"/>
      <c r="Q7" s="132"/>
      <c r="R7" s="132"/>
      <c r="S7" s="132"/>
      <c r="T7" s="132"/>
      <c r="U7" s="1210"/>
    </row>
    <row r="8" spans="1:21" ht="12.75" customHeight="1" x14ac:dyDescent="0.2">
      <c r="B8" s="1891" t="s">
        <v>153</v>
      </c>
      <c r="C8" s="1892"/>
      <c r="D8" s="1081"/>
      <c r="E8" s="1082"/>
      <c r="F8" s="1083" t="str">
        <f>'3. T3 TASE '!G8</f>
        <v>Tot. tilikausi</v>
      </c>
      <c r="G8" s="1083" t="str">
        <f>'6. E2 LIIKEVAIHTO '!E7</f>
        <v>Tot. tilikausi</v>
      </c>
      <c r="H8" s="1083" t="str">
        <f>'1. T1 INVESTOINTISUUN.'!D15</f>
        <v>Ennuste 1</v>
      </c>
      <c r="I8" s="1083" t="str">
        <f>'6. E2 LIIKEVAIHTO '!G7</f>
        <v>Ennuste 2</v>
      </c>
      <c r="J8" s="1084" t="str">
        <f>'6. E2 LIIKEVAIHTO '!H7</f>
        <v>Ennuste 3</v>
      </c>
      <c r="K8" s="1085" t="s">
        <v>195</v>
      </c>
      <c r="M8" s="1924" t="s">
        <v>153</v>
      </c>
      <c r="N8" s="1925"/>
      <c r="O8" s="1925"/>
      <c r="P8" s="1925"/>
      <c r="Q8" s="1925"/>
      <c r="R8" s="1925"/>
      <c r="S8" s="1925"/>
      <c r="T8" s="1925"/>
      <c r="U8" s="1926"/>
    </row>
    <row r="9" spans="1:21" ht="12.75" customHeight="1" x14ac:dyDescent="0.2">
      <c r="A9"/>
      <c r="B9" s="1893"/>
      <c r="C9" s="1894"/>
      <c r="D9" s="1086"/>
      <c r="E9" s="1086"/>
      <c r="F9" s="1087">
        <f>'2. &amp; 7. T2 TULOSSUUN. '!E8</f>
        <v>2024</v>
      </c>
      <c r="G9" s="1087">
        <f>'2. &amp; 7. T2 TULOSSUUN. '!G8</f>
        <v>2025</v>
      </c>
      <c r="H9" s="1087">
        <f>'2. &amp; 7. T2 TULOSSUUN. '!I8</f>
        <v>2027</v>
      </c>
      <c r="I9" s="1087">
        <f>'2. &amp; 7. T2 TULOSSUUN. '!K8</f>
        <v>2028</v>
      </c>
      <c r="J9" s="1087">
        <f>'2. &amp; 7. T2 TULOSSUUN. '!M8</f>
        <v>2029</v>
      </c>
      <c r="K9" s="1088">
        <f>'2. &amp; 7. T2 TULOSSUUN. '!O8</f>
        <v>2030</v>
      </c>
      <c r="M9" s="1924"/>
      <c r="N9" s="1925"/>
      <c r="O9" s="1925"/>
      <c r="P9" s="1925"/>
      <c r="Q9" s="1925"/>
      <c r="R9" s="1925"/>
      <c r="S9" s="1925"/>
      <c r="T9" s="1925"/>
      <c r="U9" s="1926"/>
    </row>
    <row r="10" spans="1:21" ht="12.75" customHeight="1" thickBot="1" x14ac:dyDescent="0.3">
      <c r="A10" s="46"/>
      <c r="B10" s="1895"/>
      <c r="C10" s="1896"/>
      <c r="D10" s="1886"/>
      <c r="E10" s="1886"/>
      <c r="F10" s="1103" t="s">
        <v>16</v>
      </c>
      <c r="G10" s="1103" t="s">
        <v>16</v>
      </c>
      <c r="H10" s="1103" t="s">
        <v>16</v>
      </c>
      <c r="I10" s="1103" t="s">
        <v>16</v>
      </c>
      <c r="J10" s="1104" t="s">
        <v>16</v>
      </c>
      <c r="K10" s="1105" t="s">
        <v>16</v>
      </c>
      <c r="M10" s="341"/>
      <c r="N10" s="286"/>
      <c r="O10" s="286"/>
      <c r="P10" s="286"/>
      <c r="Q10" s="286"/>
      <c r="R10" s="286"/>
      <c r="S10" s="286"/>
      <c r="T10" s="286"/>
      <c r="U10" s="422"/>
    </row>
    <row r="11" spans="1:21" x14ac:dyDescent="0.2">
      <c r="A11"/>
      <c r="B11" s="918" t="s">
        <v>158</v>
      </c>
      <c r="C11" s="246" t="s">
        <v>159</v>
      </c>
      <c r="D11" s="246"/>
      <c r="E11" s="919"/>
      <c r="F11" s="920">
        <f t="shared" ref="F11:K11" si="0">F12+F16+F32</f>
        <v>0</v>
      </c>
      <c r="G11" s="920">
        <f>G12+G16+G32</f>
        <v>0</v>
      </c>
      <c r="H11" s="920">
        <f t="shared" si="0"/>
        <v>0</v>
      </c>
      <c r="I11" s="920">
        <f t="shared" si="0"/>
        <v>0</v>
      </c>
      <c r="J11" s="921">
        <f t="shared" si="0"/>
        <v>0</v>
      </c>
      <c r="K11" s="932">
        <f t="shared" si="0"/>
        <v>0</v>
      </c>
      <c r="M11" s="341"/>
      <c r="N11" s="286"/>
      <c r="O11" s="286"/>
      <c r="P11" s="286"/>
      <c r="Q11" s="286"/>
      <c r="R11" s="286"/>
      <c r="S11" s="286"/>
      <c r="T11" s="286"/>
      <c r="U11" s="422"/>
    </row>
    <row r="12" spans="1:21" x14ac:dyDescent="0.2">
      <c r="A12" s="46"/>
      <c r="B12" s="182" t="s">
        <v>311</v>
      </c>
      <c r="C12" s="183" t="s">
        <v>189</v>
      </c>
      <c r="D12" s="183"/>
      <c r="E12" s="184"/>
      <c r="F12" s="843">
        <v>0</v>
      </c>
      <c r="G12" s="843"/>
      <c r="H12" s="692">
        <f>G12+H13-H14-H15</f>
        <v>0</v>
      </c>
      <c r="I12" s="692">
        <f>H12+I13-I14-I15</f>
        <v>0</v>
      </c>
      <c r="J12" s="844">
        <f>I12+J13-J14-J15</f>
        <v>0</v>
      </c>
      <c r="K12" s="293">
        <f>J12+K13-K14-K15</f>
        <v>0</v>
      </c>
      <c r="M12" s="341"/>
      <c r="N12" s="286"/>
      <c r="O12" s="286"/>
      <c r="P12" s="286"/>
      <c r="Q12" s="286"/>
      <c r="R12" s="286"/>
      <c r="S12" s="286"/>
      <c r="T12" s="286"/>
      <c r="U12" s="422"/>
    </row>
    <row r="13" spans="1:21" x14ac:dyDescent="0.2">
      <c r="A13" s="2"/>
      <c r="B13" s="185" t="s">
        <v>0</v>
      </c>
      <c r="C13" s="1927" t="s">
        <v>712</v>
      </c>
      <c r="D13" s="1928"/>
      <c r="E13" s="210" t="s">
        <v>47</v>
      </c>
      <c r="F13" s="913"/>
      <c r="G13" s="913"/>
      <c r="H13" s="596">
        <f>'AT1 Avustus, alv-laskenta '!C47</f>
        <v>0</v>
      </c>
      <c r="I13" s="596">
        <f>'AT1 Avustus, alv-laskenta '!D47</f>
        <v>0</v>
      </c>
      <c r="J13" s="845">
        <f>'AT1 Avustus, alv-laskenta '!E47</f>
        <v>0</v>
      </c>
      <c r="K13" s="597">
        <f>'AT1 Avustus, alv-laskenta '!F47</f>
        <v>0</v>
      </c>
      <c r="M13" s="1921" t="s">
        <v>307</v>
      </c>
      <c r="N13" s="1922"/>
      <c r="O13" s="1922"/>
      <c r="P13" s="1922"/>
      <c r="Q13" s="286"/>
      <c r="R13" s="286"/>
      <c r="S13" s="286"/>
      <c r="T13" s="286"/>
      <c r="U13" s="422"/>
    </row>
    <row r="14" spans="1:21" x14ac:dyDescent="0.2">
      <c r="A14" s="46"/>
      <c r="B14" s="185" t="s">
        <v>0</v>
      </c>
      <c r="C14" s="1927" t="s">
        <v>713</v>
      </c>
      <c r="D14" s="1927"/>
      <c r="E14" s="211" t="s">
        <v>48</v>
      </c>
      <c r="F14" s="913"/>
      <c r="G14" s="913"/>
      <c r="H14" s="609">
        <v>0</v>
      </c>
      <c r="I14" s="609">
        <v>0</v>
      </c>
      <c r="J14" s="846"/>
      <c r="K14" s="610"/>
      <c r="M14" s="372">
        <f>H$9</f>
        <v>2027</v>
      </c>
      <c r="N14" s="372">
        <f>I$9</f>
        <v>2028</v>
      </c>
      <c r="O14" s="372">
        <f>J$9</f>
        <v>2029</v>
      </c>
      <c r="P14" s="372">
        <f>K$9</f>
        <v>2030</v>
      </c>
      <c r="Q14" s="286"/>
      <c r="R14" s="286"/>
      <c r="S14" s="286"/>
      <c r="T14" s="286"/>
      <c r="U14" s="422"/>
    </row>
    <row r="15" spans="1:21" x14ac:dyDescent="0.2">
      <c r="A15"/>
      <c r="B15" s="170"/>
      <c r="C15" s="1620" t="s">
        <v>716</v>
      </c>
      <c r="D15" s="186" t="s">
        <v>162</v>
      </c>
      <c r="E15" s="1354">
        <v>0.2</v>
      </c>
      <c r="F15" s="913"/>
      <c r="G15" s="913"/>
      <c r="H15" s="609">
        <f>(G12+H13*M15/12-H14)*$E$15</f>
        <v>0</v>
      </c>
      <c r="I15" s="609">
        <f>(H12+I13*N15/12-I14)*$E$15</f>
        <v>0</v>
      </c>
      <c r="J15" s="609">
        <f>(I12+J13*O15/12-J14)*$E$15</f>
        <v>0</v>
      </c>
      <c r="K15" s="610">
        <f>(J12+K13*P15/12-K14)*$E$15</f>
        <v>0</v>
      </c>
      <c r="M15" s="373">
        <v>12</v>
      </c>
      <c r="N15" s="373">
        <v>12</v>
      </c>
      <c r="O15" s="373">
        <v>12</v>
      </c>
      <c r="P15" s="373">
        <v>12</v>
      </c>
      <c r="Q15" s="286"/>
      <c r="R15" s="286"/>
      <c r="S15" s="286"/>
      <c r="T15" s="286"/>
      <c r="U15" s="422"/>
    </row>
    <row r="16" spans="1:21" x14ac:dyDescent="0.2">
      <c r="A16" s="46"/>
      <c r="B16" s="182" t="s">
        <v>312</v>
      </c>
      <c r="C16" s="406" t="s">
        <v>190</v>
      </c>
      <c r="D16" s="406"/>
      <c r="E16" s="407"/>
      <c r="F16" s="847">
        <f t="shared" ref="F16:K16" si="1">F17+F20+F24+F28</f>
        <v>0</v>
      </c>
      <c r="G16" s="847">
        <f t="shared" si="1"/>
        <v>0</v>
      </c>
      <c r="H16" s="847">
        <f t="shared" si="1"/>
        <v>0</v>
      </c>
      <c r="I16" s="847">
        <f t="shared" si="1"/>
        <v>0</v>
      </c>
      <c r="J16" s="848">
        <f t="shared" si="1"/>
        <v>0</v>
      </c>
      <c r="K16" s="849">
        <f t="shared" si="1"/>
        <v>0</v>
      </c>
      <c r="M16" s="341"/>
      <c r="N16" s="286"/>
      <c r="O16" s="286"/>
      <c r="P16" s="286"/>
      <c r="Q16" s="286"/>
      <c r="R16" s="286"/>
      <c r="S16" s="286"/>
      <c r="T16" s="286"/>
      <c r="U16" s="422"/>
    </row>
    <row r="17" spans="1:21" x14ac:dyDescent="0.2">
      <c r="A17"/>
      <c r="B17" s="185" t="s">
        <v>0</v>
      </c>
      <c r="C17" s="404" t="s">
        <v>203</v>
      </c>
      <c r="D17" s="404"/>
      <c r="E17" s="405"/>
      <c r="F17" s="843">
        <v>0</v>
      </c>
      <c r="G17" s="843"/>
      <c r="H17" s="692">
        <f>G17+H18-H19</f>
        <v>0</v>
      </c>
      <c r="I17" s="692">
        <f>H17+I18-I19</f>
        <v>0</v>
      </c>
      <c r="J17" s="844">
        <f>I17+J18-J19</f>
        <v>0</v>
      </c>
      <c r="K17" s="293">
        <f>J17+K18-K19</f>
        <v>0</v>
      </c>
      <c r="M17" s="341"/>
      <c r="N17" s="286"/>
      <c r="O17" s="286"/>
      <c r="P17" s="286"/>
      <c r="Q17" s="286"/>
      <c r="R17" s="286"/>
      <c r="S17" s="286"/>
      <c r="T17" s="286"/>
      <c r="U17" s="422"/>
    </row>
    <row r="18" spans="1:21" x14ac:dyDescent="0.2">
      <c r="A18" s="46"/>
      <c r="B18" s="185" t="s">
        <v>0</v>
      </c>
      <c r="C18" s="1623" t="s">
        <v>712</v>
      </c>
      <c r="D18" s="1623"/>
      <c r="E18" s="212" t="s">
        <v>47</v>
      </c>
      <c r="F18" s="913"/>
      <c r="G18" s="913"/>
      <c r="H18" s="596">
        <f>'AT1 Avustus, alv-laskenta '!C7</f>
        <v>0</v>
      </c>
      <c r="I18" s="596">
        <f>'AT1 Avustus, alv-laskenta '!D7</f>
        <v>0</v>
      </c>
      <c r="J18" s="845">
        <f>'AT1 Avustus, alv-laskenta '!E7</f>
        <v>0</v>
      </c>
      <c r="K18" s="597">
        <f>'AT1 Avustus, alv-laskenta '!F7</f>
        <v>0</v>
      </c>
      <c r="M18" s="1212"/>
      <c r="N18" s="286"/>
      <c r="O18" s="286"/>
      <c r="P18" s="286"/>
      <c r="Q18" s="286"/>
      <c r="R18" s="286"/>
      <c r="S18" s="286"/>
      <c r="T18" s="286"/>
      <c r="U18" s="422"/>
    </row>
    <row r="19" spans="1:21" x14ac:dyDescent="0.2">
      <c r="A19" s="2"/>
      <c r="B19" s="185" t="s">
        <v>0</v>
      </c>
      <c r="C19" s="1927" t="s">
        <v>713</v>
      </c>
      <c r="D19" s="1927"/>
      <c r="E19" s="211" t="s">
        <v>48</v>
      </c>
      <c r="F19" s="913"/>
      <c r="G19" s="913"/>
      <c r="H19" s="609">
        <v>0</v>
      </c>
      <c r="I19" s="609">
        <v>0</v>
      </c>
      <c r="J19" s="846"/>
      <c r="K19" s="610"/>
      <c r="M19" s="341"/>
      <c r="N19" s="286"/>
      <c r="O19" s="286"/>
      <c r="P19" s="286"/>
      <c r="Q19" s="286"/>
      <c r="R19" s="286"/>
      <c r="S19" s="286"/>
      <c r="T19" s="286"/>
      <c r="U19" s="422"/>
    </row>
    <row r="20" spans="1:21" x14ac:dyDescent="0.2">
      <c r="A20" s="46"/>
      <c r="B20" s="185"/>
      <c r="C20" s="910" t="s">
        <v>191</v>
      </c>
      <c r="D20" s="910"/>
      <c r="E20" s="213"/>
      <c r="F20" s="843">
        <v>0</v>
      </c>
      <c r="G20" s="843"/>
      <c r="H20" s="692">
        <f>G20+H21-H22-H23</f>
        <v>0</v>
      </c>
      <c r="I20" s="692">
        <f>H20+I21-I22-I23</f>
        <v>0</v>
      </c>
      <c r="J20" s="844">
        <f>I20+J21-J22-J23</f>
        <v>0</v>
      </c>
      <c r="K20" s="293">
        <f>J20+K21-K22-K23</f>
        <v>0</v>
      </c>
      <c r="M20" s="341"/>
      <c r="N20" s="286"/>
      <c r="O20" s="286"/>
      <c r="P20" s="286"/>
      <c r="Q20" s="286"/>
      <c r="R20" s="286"/>
      <c r="S20" s="286"/>
      <c r="T20" s="286"/>
      <c r="U20" s="422"/>
    </row>
    <row r="21" spans="1:21" x14ac:dyDescent="0.2">
      <c r="A21"/>
      <c r="B21" s="185" t="s">
        <v>0</v>
      </c>
      <c r="C21" s="1623" t="s">
        <v>712</v>
      </c>
      <c r="D21" s="1623"/>
      <c r="E21" s="212" t="s">
        <v>47</v>
      </c>
      <c r="F21" s="913"/>
      <c r="G21" s="913"/>
      <c r="H21" s="596">
        <f>'AT1 Avustus, alv-laskenta '!C14+'AT1 Avustus, alv-laskenta '!C18</f>
        <v>0</v>
      </c>
      <c r="I21" s="596">
        <f>'AT1 Avustus, alv-laskenta '!D14+'AT1 Avustus, alv-laskenta '!D18</f>
        <v>0</v>
      </c>
      <c r="J21" s="845">
        <f>'AT1 Avustus, alv-laskenta '!E14+'AT1 Avustus, alv-laskenta '!E18</f>
        <v>0</v>
      </c>
      <c r="K21" s="597">
        <f>'AT1 Avustus, alv-laskenta '!F14+'AT1 Avustus, alv-laskenta '!F18</f>
        <v>0</v>
      </c>
      <c r="M21" s="1921" t="s">
        <v>307</v>
      </c>
      <c r="N21" s="1922"/>
      <c r="O21" s="1922"/>
      <c r="P21" s="1922"/>
      <c r="Q21" s="286"/>
      <c r="R21" s="286"/>
      <c r="S21" s="286"/>
      <c r="T21" s="286"/>
      <c r="U21" s="422"/>
    </row>
    <row r="22" spans="1:21" x14ac:dyDescent="0.2">
      <c r="A22" s="46"/>
      <c r="B22" s="185" t="s">
        <v>0</v>
      </c>
      <c r="C22" s="1927" t="s">
        <v>713</v>
      </c>
      <c r="D22" s="1927"/>
      <c r="E22" s="211" t="s">
        <v>48</v>
      </c>
      <c r="F22" s="913"/>
      <c r="G22" s="913"/>
      <c r="H22" s="609">
        <v>0</v>
      </c>
      <c r="I22" s="609"/>
      <c r="J22" s="846"/>
      <c r="K22" s="610"/>
      <c r="M22" s="372">
        <f>H$9</f>
        <v>2027</v>
      </c>
      <c r="N22" s="372">
        <f>I$9</f>
        <v>2028</v>
      </c>
      <c r="O22" s="372">
        <f>J$9</f>
        <v>2029</v>
      </c>
      <c r="P22" s="372">
        <f>K$9</f>
        <v>2030</v>
      </c>
      <c r="Q22" s="286"/>
      <c r="R22" s="286"/>
      <c r="S22" s="286"/>
      <c r="T22" s="286"/>
      <c r="U22" s="422"/>
    </row>
    <row r="23" spans="1:21" x14ac:dyDescent="0.2">
      <c r="A23"/>
      <c r="B23" s="185"/>
      <c r="C23" s="1623" t="s">
        <v>716</v>
      </c>
      <c r="D23" s="214" t="s">
        <v>162</v>
      </c>
      <c r="E23" s="1355">
        <v>7.0000000000000007E-2</v>
      </c>
      <c r="F23" s="913"/>
      <c r="G23" s="913"/>
      <c r="H23" s="609">
        <f>(G20+H21*M23/12-H22)*$E$23</f>
        <v>0</v>
      </c>
      <c r="I23" s="609">
        <f>(H20+I21*N23/12-I22)*$E$23</f>
        <v>0</v>
      </c>
      <c r="J23" s="609">
        <f>(I20+J21*O23/12-J22)*$E$23</f>
        <v>0</v>
      </c>
      <c r="K23" s="610">
        <f>(J20+K21*P23/12-K22)*$E$23</f>
        <v>0</v>
      </c>
      <c r="M23" s="373">
        <v>12</v>
      </c>
      <c r="N23" s="373">
        <v>12</v>
      </c>
      <c r="O23" s="373">
        <v>12</v>
      </c>
      <c r="P23" s="373">
        <v>12</v>
      </c>
      <c r="Q23" s="286"/>
      <c r="R23" s="286"/>
      <c r="S23" s="286"/>
      <c r="T23" s="286"/>
      <c r="U23" s="422"/>
    </row>
    <row r="24" spans="1:21" x14ac:dyDescent="0.2">
      <c r="A24" s="46"/>
      <c r="B24" s="185"/>
      <c r="C24" s="910" t="s">
        <v>192</v>
      </c>
      <c r="D24" s="910"/>
      <c r="E24" s="213"/>
      <c r="F24" s="850">
        <v>0</v>
      </c>
      <c r="G24" s="850"/>
      <c r="H24" s="692">
        <f>G24+H25-H26-H27</f>
        <v>0</v>
      </c>
      <c r="I24" s="692">
        <f>H24+I25-I26-I27</f>
        <v>0</v>
      </c>
      <c r="J24" s="844">
        <f>I24+J25-J26-J27</f>
        <v>0</v>
      </c>
      <c r="K24" s="293">
        <f>J24+K25-K26-K27</f>
        <v>0</v>
      </c>
      <c r="M24" s="1213"/>
      <c r="N24" s="282"/>
      <c r="O24" s="282"/>
      <c r="P24" s="282"/>
      <c r="Q24" s="286"/>
      <c r="R24" s="286"/>
      <c r="S24" s="286"/>
      <c r="T24" s="286"/>
      <c r="U24" s="422"/>
    </row>
    <row r="25" spans="1:21" x14ac:dyDescent="0.2">
      <c r="A25" s="2"/>
      <c r="B25" s="185" t="s">
        <v>0</v>
      </c>
      <c r="C25" s="1927" t="s">
        <v>717</v>
      </c>
      <c r="D25" s="1928"/>
      <c r="E25" s="212" t="s">
        <v>47</v>
      </c>
      <c r="F25" s="913"/>
      <c r="G25" s="913"/>
      <c r="H25" s="596">
        <f>'AT1 Avustus, alv-laskenta '!C27+'AT1 Avustus, alv-laskenta '!C33</f>
        <v>0</v>
      </c>
      <c r="I25" s="596">
        <f>'AT1 Avustus, alv-laskenta '!D27+'AT1 Avustus, alv-laskenta '!D33</f>
        <v>0</v>
      </c>
      <c r="J25" s="596">
        <f>'AT1 Avustus, alv-laskenta '!E27+'AT1 Avustus, alv-laskenta '!E33</f>
        <v>0</v>
      </c>
      <c r="K25" s="597">
        <f>'AT1 Avustus, alv-laskenta '!F27+'AT1 Avustus, alv-laskenta '!F33</f>
        <v>0</v>
      </c>
      <c r="M25" s="1921" t="s">
        <v>307</v>
      </c>
      <c r="N25" s="1922"/>
      <c r="O25" s="1922"/>
      <c r="P25" s="1922"/>
      <c r="Q25" s="286"/>
      <c r="R25" s="286"/>
      <c r="S25" s="286"/>
      <c r="T25" s="286"/>
      <c r="U25" s="422"/>
    </row>
    <row r="26" spans="1:21" x14ac:dyDescent="0.2">
      <c r="A26" s="46"/>
      <c r="B26" s="185" t="s">
        <v>0</v>
      </c>
      <c r="C26" s="1927" t="s">
        <v>715</v>
      </c>
      <c r="D26" s="1927"/>
      <c r="E26" s="211" t="s">
        <v>48</v>
      </c>
      <c r="F26" s="913"/>
      <c r="G26" s="913"/>
      <c r="H26" s="609">
        <v>0</v>
      </c>
      <c r="I26" s="609"/>
      <c r="J26" s="846">
        <v>0</v>
      </c>
      <c r="K26" s="610"/>
      <c r="M26" s="372">
        <f>H$9</f>
        <v>2027</v>
      </c>
      <c r="N26" s="372">
        <f>I$9</f>
        <v>2028</v>
      </c>
      <c r="O26" s="372">
        <f>J$9</f>
        <v>2029</v>
      </c>
      <c r="P26" s="372">
        <f>K$9</f>
        <v>2030</v>
      </c>
      <c r="Q26" s="286"/>
      <c r="R26" s="286"/>
      <c r="S26" s="286"/>
      <c r="T26" s="286"/>
      <c r="U26" s="422"/>
    </row>
    <row r="27" spans="1:21" x14ac:dyDescent="0.2">
      <c r="A27"/>
      <c r="B27" s="185"/>
      <c r="C27" s="1623" t="s">
        <v>714</v>
      </c>
      <c r="D27" s="214" t="s">
        <v>162</v>
      </c>
      <c r="E27" s="1355">
        <v>0.2</v>
      </c>
      <c r="F27" s="851"/>
      <c r="G27" s="851"/>
      <c r="H27" s="609">
        <f>(G24+H25*M27/12-H26)*$E$27</f>
        <v>0</v>
      </c>
      <c r="I27" s="609">
        <f>(H24+I25*N27/12-I26)*$E$27</f>
        <v>0</v>
      </c>
      <c r="J27" s="609">
        <f>(I24+J25*O27/12-J26)*$E$27</f>
        <v>0</v>
      </c>
      <c r="K27" s="610">
        <f>(J24+K25*P27/12-K26)*$E$27</f>
        <v>0</v>
      </c>
      <c r="M27" s="373">
        <v>12</v>
      </c>
      <c r="N27" s="373">
        <v>12</v>
      </c>
      <c r="O27" s="373">
        <v>12</v>
      </c>
      <c r="P27" s="373">
        <v>12</v>
      </c>
      <c r="Q27" s="286"/>
      <c r="R27" s="286"/>
      <c r="S27" s="286"/>
      <c r="T27" s="286"/>
      <c r="U27" s="422"/>
    </row>
    <row r="28" spans="1:21" x14ac:dyDescent="0.2">
      <c r="A28" s="46"/>
      <c r="B28" s="185"/>
      <c r="C28" s="1899" t="s">
        <v>193</v>
      </c>
      <c r="D28" s="1899"/>
      <c r="E28" s="1900"/>
      <c r="F28" s="843">
        <v>0</v>
      </c>
      <c r="G28" s="843"/>
      <c r="H28" s="692">
        <f>G28+H29-H30-H31</f>
        <v>0</v>
      </c>
      <c r="I28" s="692">
        <f>H28+I29-I30-I31</f>
        <v>0</v>
      </c>
      <c r="J28" s="844">
        <f>I28+J29-J30-J31</f>
        <v>0</v>
      </c>
      <c r="K28" s="293">
        <f>J28+K29-K30-K31</f>
        <v>0</v>
      </c>
      <c r="M28" s="1213"/>
      <c r="N28" s="282"/>
      <c r="O28" s="282"/>
      <c r="P28" s="282"/>
      <c r="Q28" s="286"/>
      <c r="R28" s="286"/>
      <c r="S28" s="286"/>
      <c r="T28" s="286"/>
      <c r="U28" s="422"/>
    </row>
    <row r="29" spans="1:21" x14ac:dyDescent="0.2">
      <c r="A29" s="2"/>
      <c r="B29" s="185" t="s">
        <v>0</v>
      </c>
      <c r="C29" s="1927" t="s">
        <v>712</v>
      </c>
      <c r="D29" s="1928"/>
      <c r="E29" s="212" t="s">
        <v>47</v>
      </c>
      <c r="F29" s="913"/>
      <c r="G29" s="913"/>
      <c r="H29" s="596">
        <f>'AT1 Avustus, alv-laskenta '!C40</f>
        <v>0</v>
      </c>
      <c r="I29" s="596">
        <f>'AT1 Avustus, alv-laskenta '!D40</f>
        <v>0</v>
      </c>
      <c r="J29" s="845">
        <f>'AT1 Avustus, alv-laskenta '!E40</f>
        <v>0</v>
      </c>
      <c r="K29" s="597">
        <f>'AT1 Avustus, alv-laskenta '!F40</f>
        <v>0</v>
      </c>
      <c r="M29" s="1921" t="s">
        <v>307</v>
      </c>
      <c r="N29" s="1922"/>
      <c r="O29" s="1922"/>
      <c r="P29" s="1922"/>
      <c r="Q29" s="286"/>
      <c r="R29" s="286"/>
      <c r="S29" s="286"/>
      <c r="T29" s="286"/>
      <c r="U29" s="422"/>
    </row>
    <row r="30" spans="1:21" x14ac:dyDescent="0.2">
      <c r="A30" s="46"/>
      <c r="B30" s="185" t="s">
        <v>0</v>
      </c>
      <c r="C30" s="1927" t="s">
        <v>713</v>
      </c>
      <c r="D30" s="1927"/>
      <c r="E30" s="211" t="s">
        <v>48</v>
      </c>
      <c r="F30" s="913"/>
      <c r="G30" s="913"/>
      <c r="H30" s="609">
        <v>0</v>
      </c>
      <c r="I30" s="609">
        <v>0</v>
      </c>
      <c r="J30" s="846"/>
      <c r="K30" s="610"/>
      <c r="M30" s="372">
        <f>H$9</f>
        <v>2027</v>
      </c>
      <c r="N30" s="372">
        <f>I$9</f>
        <v>2028</v>
      </c>
      <c r="O30" s="372">
        <f>J$9</f>
        <v>2029</v>
      </c>
      <c r="P30" s="372">
        <f>K$9</f>
        <v>2030</v>
      </c>
      <c r="Q30" s="286"/>
      <c r="R30" s="286"/>
      <c r="S30" s="286"/>
      <c r="T30" s="286"/>
      <c r="U30" s="422"/>
    </row>
    <row r="31" spans="1:21" x14ac:dyDescent="0.2">
      <c r="B31" s="170"/>
      <c r="C31" s="1620" t="s">
        <v>716</v>
      </c>
      <c r="D31" s="186" t="s">
        <v>162</v>
      </c>
      <c r="E31" s="1354">
        <v>0.2</v>
      </c>
      <c r="F31" s="913"/>
      <c r="G31" s="913"/>
      <c r="H31" s="609">
        <f>(G28+H29*M31/12-H30)*$E$31</f>
        <v>0</v>
      </c>
      <c r="I31" s="609">
        <f>(H28+I29*N31/12-I30)*$E$31</f>
        <v>0</v>
      </c>
      <c r="J31" s="609">
        <f>(I28+J29*O31/12-J30)*$E$31</f>
        <v>0</v>
      </c>
      <c r="K31" s="610">
        <f>(J28+K29*P31/12-K30)*$E$31</f>
        <v>0</v>
      </c>
      <c r="M31" s="373">
        <v>12</v>
      </c>
      <c r="N31" s="373">
        <v>12</v>
      </c>
      <c r="O31" s="373">
        <v>12</v>
      </c>
      <c r="P31" s="373">
        <v>12</v>
      </c>
      <c r="Q31" s="286"/>
      <c r="R31" s="286"/>
      <c r="S31" s="286"/>
      <c r="T31" s="286"/>
      <c r="U31" s="422"/>
    </row>
    <row r="32" spans="1:21" x14ac:dyDescent="0.2">
      <c r="B32" s="182" t="s">
        <v>313</v>
      </c>
      <c r="C32" s="406" t="s">
        <v>148</v>
      </c>
      <c r="D32" s="408"/>
      <c r="E32" s="1395"/>
      <c r="F32" s="852">
        <v>0</v>
      </c>
      <c r="G32" s="852">
        <v>0</v>
      </c>
      <c r="H32" s="692">
        <f>G32+H33-H34</f>
        <v>0</v>
      </c>
      <c r="I32" s="692">
        <f>H32+I33-I34</f>
        <v>0</v>
      </c>
      <c r="J32" s="692">
        <f>I32+J33-J34</f>
        <v>0</v>
      </c>
      <c r="K32" s="293">
        <f>J32+K33-K34</f>
        <v>0</v>
      </c>
      <c r="M32" s="341"/>
      <c r="N32" s="286"/>
      <c r="O32" s="286"/>
      <c r="P32" s="286"/>
      <c r="Q32" s="286"/>
      <c r="R32" s="286"/>
      <c r="S32" s="286"/>
      <c r="T32" s="286"/>
      <c r="U32" s="422"/>
    </row>
    <row r="33" spans="1:23" x14ac:dyDescent="0.2">
      <c r="B33" s="187"/>
      <c r="C33" s="1927" t="s">
        <v>712</v>
      </c>
      <c r="D33" s="1928"/>
      <c r="E33" s="403" t="s">
        <v>47</v>
      </c>
      <c r="F33" s="853"/>
      <c r="G33" s="853"/>
      <c r="H33" s="609">
        <f>'1. T1 INVESTOINTISUUN.'!D38</f>
        <v>0</v>
      </c>
      <c r="I33" s="609">
        <f>'1. T1 INVESTOINTISUUN.'!E38</f>
        <v>0</v>
      </c>
      <c r="J33" s="609">
        <f>'1. T1 INVESTOINTISUUN.'!F38</f>
        <v>0</v>
      </c>
      <c r="K33" s="610">
        <f>'1. T1 INVESTOINTISUUN.'!G38</f>
        <v>0</v>
      </c>
      <c r="M33" s="341"/>
      <c r="N33" s="286"/>
      <c r="O33" s="286"/>
      <c r="P33" s="286"/>
      <c r="Q33" s="286"/>
      <c r="R33" s="286"/>
      <c r="S33" s="286"/>
      <c r="T33" s="286"/>
      <c r="U33" s="422"/>
    </row>
    <row r="34" spans="1:23" ht="13.5" thickBot="1" x14ac:dyDescent="0.25">
      <c r="B34" s="206"/>
      <c r="C34" s="1929" t="s">
        <v>713</v>
      </c>
      <c r="D34" s="1930"/>
      <c r="E34" s="413" t="s">
        <v>48</v>
      </c>
      <c r="F34" s="854"/>
      <c r="G34" s="854"/>
      <c r="H34" s="855">
        <v>0</v>
      </c>
      <c r="I34" s="855">
        <v>0</v>
      </c>
      <c r="J34" s="855">
        <v>0</v>
      </c>
      <c r="K34" s="856">
        <v>0</v>
      </c>
      <c r="M34" s="341"/>
      <c r="N34" s="286"/>
      <c r="O34" s="286"/>
      <c r="P34" s="286"/>
      <c r="Q34" s="286"/>
      <c r="R34" s="286"/>
      <c r="S34" s="286"/>
      <c r="T34" s="286"/>
      <c r="U34" s="422"/>
    </row>
    <row r="35" spans="1:23" ht="6" customHeight="1" thickBot="1" x14ac:dyDescent="0.25">
      <c r="B35" s="198"/>
      <c r="C35" s="199"/>
      <c r="D35" s="200"/>
      <c r="E35" s="201"/>
      <c r="F35" s="201"/>
      <c r="G35" s="202"/>
      <c r="H35" s="202" t="s">
        <v>255</v>
      </c>
      <c r="I35" s="202"/>
      <c r="J35" s="202"/>
      <c r="K35" s="202"/>
      <c r="L35" s="120"/>
      <c r="M35" s="378"/>
      <c r="N35" s="156"/>
      <c r="O35" s="156"/>
      <c r="P35" s="156"/>
      <c r="Q35" s="156"/>
      <c r="R35" s="156"/>
      <c r="S35" s="156"/>
      <c r="T35" s="156"/>
      <c r="U35" s="307"/>
    </row>
    <row r="36" spans="1:23" x14ac:dyDescent="0.2">
      <c r="B36" s="632" t="s">
        <v>156</v>
      </c>
      <c r="C36" s="101" t="s">
        <v>157</v>
      </c>
      <c r="D36" s="101"/>
      <c r="E36" s="150"/>
      <c r="F36" s="842">
        <f t="shared" ref="F36:K36" si="2">F37+F39+F46+F47</f>
        <v>0</v>
      </c>
      <c r="G36" s="842">
        <f t="shared" si="2"/>
        <v>0</v>
      </c>
      <c r="H36" s="842">
        <f>H37+H39+H46+H47</f>
        <v>0</v>
      </c>
      <c r="I36" s="842">
        <f t="shared" si="2"/>
        <v>0</v>
      </c>
      <c r="J36" s="857">
        <f t="shared" si="2"/>
        <v>0</v>
      </c>
      <c r="K36" s="858">
        <f t="shared" si="2"/>
        <v>0</v>
      </c>
      <c r="M36" s="341"/>
      <c r="N36" s="286"/>
      <c r="O36" s="286"/>
      <c r="P36" s="286"/>
      <c r="Q36" s="286"/>
      <c r="R36" s="286"/>
      <c r="S36" s="286"/>
      <c r="T36" s="286"/>
      <c r="U36" s="422"/>
    </row>
    <row r="37" spans="1:23" x14ac:dyDescent="0.2">
      <c r="A37"/>
      <c r="B37" s="187" t="s">
        <v>314</v>
      </c>
      <c r="C37" s="215" t="s">
        <v>74</v>
      </c>
      <c r="D37" s="215"/>
      <c r="E37" s="210" t="s">
        <v>47</v>
      </c>
      <c r="F37" s="843">
        <v>0</v>
      </c>
      <c r="G37" s="843"/>
      <c r="H37" s="692">
        <f>'8. T4 RAHOITUSSUUN. '!H49</f>
        <v>0</v>
      </c>
      <c r="I37" s="692">
        <f>'8. T4 RAHOITUSSUUN. '!I49</f>
        <v>0</v>
      </c>
      <c r="J37" s="844">
        <f>'8. T4 RAHOITUSSUUN. '!J49</f>
        <v>0</v>
      </c>
      <c r="K37" s="293">
        <f>'8. T4 RAHOITUSSUUN. '!K49</f>
        <v>0</v>
      </c>
      <c r="M37" s="341"/>
      <c r="N37" s="286"/>
      <c r="O37" s="286"/>
      <c r="P37" s="286"/>
      <c r="Q37" s="286"/>
      <c r="R37" s="286"/>
      <c r="S37" s="286"/>
      <c r="T37" s="286"/>
      <c r="U37" s="422"/>
    </row>
    <row r="38" spans="1:23" x14ac:dyDescent="0.2">
      <c r="A38" s="6"/>
      <c r="B38" s="187"/>
      <c r="C38" s="1889" t="str">
        <f>'8. T4 RAHOITUSSUUN. '!C50</f>
        <v>Vaihto-omaisuus/liikevaihto (%)</v>
      </c>
      <c r="D38" s="1889"/>
      <c r="E38" s="1890"/>
      <c r="F38" s="861">
        <f>'8. T4 RAHOITUSSUUN. '!F50</f>
        <v>0</v>
      </c>
      <c r="G38" s="861">
        <f>'8. T4 RAHOITUSSUUN. '!G50</f>
        <v>0</v>
      </c>
      <c r="H38" s="861">
        <f>'8. T4 RAHOITUSSUUN. '!H50</f>
        <v>0</v>
      </c>
      <c r="I38" s="861">
        <f>'8. T4 RAHOITUSSUUN. '!I50</f>
        <v>0</v>
      </c>
      <c r="J38" s="861">
        <f>'8. T4 RAHOITUSSUUN. '!J50</f>
        <v>0</v>
      </c>
      <c r="K38" s="862">
        <f>'8. T4 RAHOITUSSUUN. '!K50</f>
        <v>0</v>
      </c>
      <c r="M38" s="341"/>
      <c r="N38" s="286"/>
      <c r="O38" s="286"/>
      <c r="P38" s="286"/>
      <c r="Q38" s="286"/>
      <c r="R38" s="286"/>
      <c r="S38" s="286"/>
      <c r="T38" s="286"/>
      <c r="U38" s="422"/>
    </row>
    <row r="39" spans="1:23" x14ac:dyDescent="0.2">
      <c r="B39" s="187" t="s">
        <v>312</v>
      </c>
      <c r="C39" s="1440" t="s">
        <v>149</v>
      </c>
      <c r="D39" s="1440"/>
      <c r="E39" s="1441" t="s">
        <v>47</v>
      </c>
      <c r="F39" s="692">
        <f t="shared" ref="F39:K39" si="3">F40+F44+F45+F42</f>
        <v>0</v>
      </c>
      <c r="G39" s="692">
        <f t="shared" si="3"/>
        <v>0</v>
      </c>
      <c r="H39" s="692">
        <f t="shared" si="3"/>
        <v>0</v>
      </c>
      <c r="I39" s="692">
        <f t="shared" si="3"/>
        <v>0</v>
      </c>
      <c r="J39" s="692">
        <f t="shared" si="3"/>
        <v>0</v>
      </c>
      <c r="K39" s="293">
        <f t="shared" si="3"/>
        <v>0</v>
      </c>
      <c r="M39" s="341"/>
      <c r="N39" s="286"/>
      <c r="O39" s="286"/>
      <c r="P39" s="286"/>
      <c r="Q39" s="286"/>
      <c r="R39" s="286"/>
      <c r="S39" s="286"/>
      <c r="T39" s="286"/>
      <c r="U39" s="422"/>
      <c r="W39">
        <v>0</v>
      </c>
    </row>
    <row r="40" spans="1:23" x14ac:dyDescent="0.2">
      <c r="B40" s="185" t="s">
        <v>0</v>
      </c>
      <c r="C40" s="1442" t="s">
        <v>150</v>
      </c>
      <c r="D40" s="1442"/>
      <c r="E40" s="1443" t="s">
        <v>47</v>
      </c>
      <c r="F40" s="609">
        <v>0</v>
      </c>
      <c r="G40" s="609">
        <v>0</v>
      </c>
      <c r="H40" s="596">
        <f>'8. T4 RAHOITUSSUUN. '!H51</f>
        <v>0</v>
      </c>
      <c r="I40" s="596">
        <f>'8. T4 RAHOITUSSUUN. '!I51</f>
        <v>0</v>
      </c>
      <c r="J40" s="845">
        <f>'8. T4 RAHOITUSSUUN. '!J51</f>
        <v>0</v>
      </c>
      <c r="K40" s="597">
        <f>'8. T4 RAHOITUSSUUN. '!K51</f>
        <v>0</v>
      </c>
      <c r="M40" s="341"/>
      <c r="N40" s="286"/>
      <c r="O40" s="286"/>
      <c r="P40" s="286"/>
      <c r="Q40" s="286"/>
      <c r="R40" s="286"/>
      <c r="S40" s="286"/>
      <c r="T40" s="286"/>
      <c r="U40" s="422"/>
    </row>
    <row r="41" spans="1:23" x14ac:dyDescent="0.2">
      <c r="B41" s="185"/>
      <c r="C41" s="1887" t="s">
        <v>207</v>
      </c>
      <c r="D41" s="1887"/>
      <c r="E41" s="1888"/>
      <c r="F41" s="859">
        <f>'8. T4 RAHOITUSSUUN. '!F52</f>
        <v>0</v>
      </c>
      <c r="G41" s="859">
        <f>'8. T4 RAHOITUSSUUN. '!G52</f>
        <v>0</v>
      </c>
      <c r="H41" s="859">
        <f>'8. T4 RAHOITUSSUUN. '!H52</f>
        <v>0</v>
      </c>
      <c r="I41" s="859">
        <f>'8. T4 RAHOITUSSUUN. '!I52</f>
        <v>0</v>
      </c>
      <c r="J41" s="859">
        <f>'8. T4 RAHOITUSSUUN. '!J52</f>
        <v>0</v>
      </c>
      <c r="K41" s="860">
        <f>'8. T4 RAHOITUSSUUN. '!K52</f>
        <v>0</v>
      </c>
      <c r="M41" s="341"/>
      <c r="N41" s="286"/>
      <c r="O41" s="286"/>
      <c r="P41" s="286"/>
      <c r="Q41" s="286"/>
      <c r="R41" s="286"/>
      <c r="S41" s="286"/>
      <c r="T41" s="286"/>
      <c r="U41" s="422"/>
    </row>
    <row r="42" spans="1:23" x14ac:dyDescent="0.2">
      <c r="B42" s="185"/>
      <c r="C42" s="1442" t="s">
        <v>187</v>
      </c>
      <c r="D42" s="1442"/>
      <c r="E42" s="1443" t="s">
        <v>47</v>
      </c>
      <c r="F42" s="609">
        <v>0</v>
      </c>
      <c r="G42" s="609">
        <v>0</v>
      </c>
      <c r="H42" s="596">
        <f>'8. T4 RAHOITUSSUUN. '!H54</f>
        <v>0</v>
      </c>
      <c r="I42" s="596">
        <f>'8. T4 RAHOITUSSUUN. '!I54</f>
        <v>0</v>
      </c>
      <c r="J42" s="596">
        <f>'8. T4 RAHOITUSSUUN. '!J54</f>
        <v>0</v>
      </c>
      <c r="K42" s="597">
        <f>'8. T4 RAHOITUSSUUN. '!K54</f>
        <v>0</v>
      </c>
      <c r="M42" s="341"/>
      <c r="N42" s="286"/>
      <c r="O42" s="286"/>
      <c r="P42" s="286"/>
      <c r="Q42" s="286"/>
      <c r="R42" s="286"/>
      <c r="S42" s="286"/>
      <c r="T42" s="286"/>
      <c r="U42" s="422"/>
    </row>
    <row r="43" spans="1:23" x14ac:dyDescent="0.2">
      <c r="A43" s="229"/>
      <c r="B43" s="185"/>
      <c r="C43" s="1933" t="s">
        <v>340</v>
      </c>
      <c r="D43" s="1933"/>
      <c r="E43" s="1934"/>
      <c r="F43" s="861">
        <f>'8. T4 RAHOITUSSUUN. '!F55</f>
        <v>0</v>
      </c>
      <c r="G43" s="861">
        <f>'8. T4 RAHOITUSSUUN. '!G55</f>
        <v>0</v>
      </c>
      <c r="H43" s="861">
        <f>'8. T4 RAHOITUSSUUN. '!H55</f>
        <v>0</v>
      </c>
      <c r="I43" s="861">
        <f>'8. T4 RAHOITUSSUUN. '!I55</f>
        <v>0</v>
      </c>
      <c r="J43" s="861">
        <f>'8. T4 RAHOITUSSUUN. '!J55</f>
        <v>0</v>
      </c>
      <c r="K43" s="862">
        <f>'8. T4 RAHOITUSSUUN. '!K55</f>
        <v>0</v>
      </c>
      <c r="M43" s="341"/>
      <c r="N43" s="286"/>
      <c r="O43" s="286"/>
      <c r="P43" s="286"/>
      <c r="Q43" s="286"/>
      <c r="R43" s="286"/>
      <c r="S43" s="286"/>
      <c r="T43" s="286"/>
      <c r="U43" s="422"/>
    </row>
    <row r="44" spans="1:23" x14ac:dyDescent="0.2">
      <c r="A44" s="229"/>
      <c r="B44" s="185"/>
      <c r="C44" s="1885" t="s">
        <v>231</v>
      </c>
      <c r="D44" s="1885"/>
      <c r="E44" s="212" t="s">
        <v>47</v>
      </c>
      <c r="F44" s="609">
        <v>0</v>
      </c>
      <c r="G44" s="609">
        <v>0</v>
      </c>
      <c r="H44" s="609">
        <v>0</v>
      </c>
      <c r="I44" s="609">
        <v>0</v>
      </c>
      <c r="J44" s="846">
        <v>0</v>
      </c>
      <c r="K44" s="610">
        <v>0</v>
      </c>
      <c r="M44" s="341">
        <v>0</v>
      </c>
      <c r="N44" s="286"/>
      <c r="O44" s="286"/>
      <c r="P44" s="286"/>
      <c r="Q44" s="286"/>
      <c r="R44" s="286"/>
      <c r="S44" s="286"/>
      <c r="T44" s="286"/>
      <c r="U44" s="422"/>
    </row>
    <row r="45" spans="1:23" x14ac:dyDescent="0.2">
      <c r="B45" s="185"/>
      <c r="C45" s="1885" t="s">
        <v>232</v>
      </c>
      <c r="D45" s="1885"/>
      <c r="E45" s="212" t="s">
        <v>47</v>
      </c>
      <c r="F45" s="609">
        <v>0</v>
      </c>
      <c r="G45" s="609">
        <v>0</v>
      </c>
      <c r="H45" s="609">
        <f>$R45*'2. &amp; 7. T2 TULOSSUUN. '!I11</f>
        <v>0</v>
      </c>
      <c r="I45" s="609">
        <f>$R45*'2. &amp; 7. T2 TULOSSUUN. '!K11</f>
        <v>0</v>
      </c>
      <c r="J45" s="609">
        <f>$R45*'2. &amp; 7. T2 TULOSSUUN. '!M11</f>
        <v>0</v>
      </c>
      <c r="K45" s="610">
        <f>$R45*'2. &amp; 7. T2 TULOSSUUN. '!O11</f>
        <v>0</v>
      </c>
      <c r="M45" s="1757" t="s">
        <v>227</v>
      </c>
      <c r="N45" s="1214"/>
      <c r="O45" s="1214"/>
      <c r="P45" s="1214"/>
      <c r="Q45" s="1214"/>
      <c r="R45" s="1215">
        <f>IF(G45=0,0,G45/'2. &amp; 7. T2 TULOSSUUN. '!G11)</f>
        <v>0</v>
      </c>
      <c r="S45" s="1215"/>
      <c r="T45" s="281"/>
      <c r="U45" s="1216"/>
    </row>
    <row r="46" spans="1:23" x14ac:dyDescent="0.2">
      <c r="A46" s="229"/>
      <c r="B46" s="187" t="s">
        <v>313</v>
      </c>
      <c r="C46" s="1899" t="s">
        <v>151</v>
      </c>
      <c r="D46" s="1899"/>
      <c r="E46" s="210" t="s">
        <v>47</v>
      </c>
      <c r="F46" s="843">
        <v>0</v>
      </c>
      <c r="G46" s="843">
        <v>0</v>
      </c>
      <c r="H46" s="843">
        <v>0</v>
      </c>
      <c r="I46" s="843">
        <f>H46</f>
        <v>0</v>
      </c>
      <c r="J46" s="843">
        <f>I46</f>
        <v>0</v>
      </c>
      <c r="K46" s="863">
        <f>J46</f>
        <v>0</v>
      </c>
      <c r="M46" s="341"/>
      <c r="N46" s="286"/>
      <c r="O46" s="286"/>
      <c r="P46" s="286"/>
      <c r="Q46" s="286"/>
      <c r="R46" s="286"/>
      <c r="S46" s="286"/>
      <c r="T46" s="286"/>
      <c r="U46" s="422"/>
    </row>
    <row r="47" spans="1:23" ht="13.5" thickBot="1" x14ac:dyDescent="0.25">
      <c r="A47" s="6"/>
      <c r="B47" s="206" t="s">
        <v>315</v>
      </c>
      <c r="C47" s="207" t="s">
        <v>152</v>
      </c>
      <c r="D47" s="207"/>
      <c r="E47" s="208" t="s">
        <v>47</v>
      </c>
      <c r="F47" s="864">
        <v>0</v>
      </c>
      <c r="G47" s="864">
        <v>0</v>
      </c>
      <c r="H47" s="669">
        <f>H96-H11-H37-H39-H46</f>
        <v>0</v>
      </c>
      <c r="I47" s="669">
        <f>I96-I11-I37-I39-I46</f>
        <v>0</v>
      </c>
      <c r="J47" s="865">
        <f>J96-J11-J37-J39-J46</f>
        <v>0</v>
      </c>
      <c r="K47" s="670">
        <f>K96-K11-K37-K39-K46</f>
        <v>0</v>
      </c>
      <c r="M47" s="341"/>
      <c r="N47" s="286"/>
      <c r="O47" s="286"/>
      <c r="P47" s="286"/>
      <c r="Q47" s="286"/>
      <c r="R47" s="286"/>
      <c r="S47" s="286"/>
      <c r="T47" s="286"/>
      <c r="U47" s="422"/>
    </row>
    <row r="48" spans="1:23" ht="6" customHeight="1" thickBot="1" x14ac:dyDescent="0.25">
      <c r="B48" s="922"/>
      <c r="C48" s="923"/>
      <c r="D48" s="923"/>
      <c r="E48" s="924"/>
      <c r="F48" s="922"/>
      <c r="G48" s="925"/>
      <c r="H48" s="926"/>
      <c r="I48" s="926"/>
      <c r="J48" s="926"/>
      <c r="K48" s="926"/>
      <c r="M48" s="378"/>
      <c r="N48" s="156"/>
      <c r="O48" s="156"/>
      <c r="P48" s="156"/>
      <c r="Q48" s="156"/>
      <c r="R48" s="156"/>
      <c r="S48" s="156"/>
      <c r="T48" s="156"/>
      <c r="U48" s="307"/>
    </row>
    <row r="49" spans="1:21" ht="13.5" thickBot="1" x14ac:dyDescent="0.25">
      <c r="B49" s="1907" t="s">
        <v>345</v>
      </c>
      <c r="C49" s="1908"/>
      <c r="D49" s="1908"/>
      <c r="E49" s="1909"/>
      <c r="F49" s="927">
        <f t="shared" ref="F49:K49" si="4">F36+F11</f>
        <v>0</v>
      </c>
      <c r="G49" s="927">
        <f t="shared" si="4"/>
        <v>0</v>
      </c>
      <c r="H49" s="927">
        <f t="shared" si="4"/>
        <v>0</v>
      </c>
      <c r="I49" s="927">
        <f t="shared" si="4"/>
        <v>0</v>
      </c>
      <c r="J49" s="928">
        <f t="shared" si="4"/>
        <v>0</v>
      </c>
      <c r="K49" s="933">
        <f t="shared" si="4"/>
        <v>0</v>
      </c>
      <c r="M49" s="1217" t="str">
        <f>M96</f>
        <v xml:space="preserve"> </v>
      </c>
      <c r="N49" s="171"/>
      <c r="O49" s="171"/>
      <c r="P49" s="171"/>
      <c r="Q49" s="171"/>
      <c r="R49" s="171"/>
      <c r="S49" s="171"/>
      <c r="T49" s="171"/>
      <c r="U49" s="1218"/>
    </row>
    <row r="50" spans="1:21" ht="13.5" thickBot="1" x14ac:dyDescent="0.25">
      <c r="B50" s="33"/>
      <c r="C50" s="1" t="s">
        <v>0</v>
      </c>
      <c r="D50" s="1"/>
      <c r="M50" s="283"/>
      <c r="N50" s="283"/>
      <c r="O50" s="283"/>
      <c r="P50" s="283"/>
      <c r="Q50" s="283"/>
      <c r="R50" s="283"/>
      <c r="S50" s="283"/>
      <c r="T50" s="283"/>
      <c r="U50" s="283"/>
    </row>
    <row r="51" spans="1:21" ht="12.75" customHeight="1" thickBot="1" x14ac:dyDescent="0.25">
      <c r="A51" s="229"/>
      <c r="B51" s="1089"/>
      <c r="C51" s="1090"/>
      <c r="D51" s="1090"/>
      <c r="E51" s="1091"/>
      <c r="F51" s="1092" t="str">
        <f t="shared" ref="F51:K52" si="5">F8</f>
        <v>Tot. tilikausi</v>
      </c>
      <c r="G51" s="1092" t="str">
        <f t="shared" si="5"/>
        <v>Tot. tilikausi</v>
      </c>
      <c r="H51" s="1092" t="str">
        <f t="shared" si="5"/>
        <v>Ennuste 1</v>
      </c>
      <c r="I51" s="1092" t="str">
        <f t="shared" si="5"/>
        <v>Ennuste 2</v>
      </c>
      <c r="J51" s="1093" t="str">
        <f t="shared" si="5"/>
        <v>Ennuste 3</v>
      </c>
      <c r="K51" s="1094" t="str">
        <f t="shared" si="5"/>
        <v>Ennuste 4</v>
      </c>
      <c r="M51" s="1918" t="str">
        <f>B52</f>
        <v>VASTATTAVAA</v>
      </c>
      <c r="N51" s="1919"/>
      <c r="O51" s="1919"/>
      <c r="P51" s="1919"/>
      <c r="Q51" s="1919"/>
      <c r="R51" s="1919"/>
      <c r="S51" s="1919"/>
      <c r="T51" s="1919"/>
      <c r="U51" s="1920"/>
    </row>
    <row r="52" spans="1:21" ht="12.75" customHeight="1" x14ac:dyDescent="0.25">
      <c r="A52" s="229"/>
      <c r="B52" s="1910" t="s">
        <v>154</v>
      </c>
      <c r="C52" s="1911"/>
      <c r="D52" s="1095">
        <f>D10</f>
        <v>0</v>
      </c>
      <c r="E52" s="1096"/>
      <c r="F52" s="1097">
        <f t="shared" si="5"/>
        <v>2024</v>
      </c>
      <c r="G52" s="1097">
        <f t="shared" si="5"/>
        <v>2025</v>
      </c>
      <c r="H52" s="1097">
        <f t="shared" si="5"/>
        <v>2027</v>
      </c>
      <c r="I52" s="1097">
        <f t="shared" si="5"/>
        <v>2028</v>
      </c>
      <c r="J52" s="1098">
        <f t="shared" si="5"/>
        <v>2029</v>
      </c>
      <c r="K52" s="1099">
        <f t="shared" si="5"/>
        <v>2030</v>
      </c>
      <c r="M52" s="1219"/>
      <c r="N52" s="389"/>
      <c r="O52" s="389"/>
      <c r="P52" s="389"/>
      <c r="Q52" s="389"/>
      <c r="R52" s="389"/>
      <c r="S52" s="389"/>
      <c r="T52" s="389"/>
      <c r="U52" s="1220"/>
    </row>
    <row r="53" spans="1:21" ht="12.75" customHeight="1" thickBot="1" x14ac:dyDescent="0.25">
      <c r="A53" s="6"/>
      <c r="B53" s="1100"/>
      <c r="C53" s="1101"/>
      <c r="D53" s="1101"/>
      <c r="E53" s="1102"/>
      <c r="F53" s="1106" t="s">
        <v>16</v>
      </c>
      <c r="G53" s="1106" t="s">
        <v>16</v>
      </c>
      <c r="H53" s="1106" t="s">
        <v>16</v>
      </c>
      <c r="I53" s="1106" t="s">
        <v>16</v>
      </c>
      <c r="J53" s="1107" t="s">
        <v>16</v>
      </c>
      <c r="K53" s="1108" t="s">
        <v>16</v>
      </c>
      <c r="M53" s="341"/>
      <c r="N53" s="286"/>
      <c r="O53" s="286"/>
      <c r="P53" s="286"/>
      <c r="Q53" s="286"/>
      <c r="R53" s="286"/>
      <c r="S53" s="286"/>
      <c r="T53" s="286"/>
      <c r="U53" s="422"/>
    </row>
    <row r="54" spans="1:21" x14ac:dyDescent="0.2">
      <c r="A54" s="229"/>
      <c r="B54" s="449" t="s">
        <v>163</v>
      </c>
      <c r="C54" s="174" t="s">
        <v>155</v>
      </c>
      <c r="D54" s="174"/>
      <c r="E54" s="472"/>
      <c r="F54" s="866">
        <f t="shared" ref="F54:K54" si="6">F55+F56-F57+F58+F59</f>
        <v>0</v>
      </c>
      <c r="G54" s="866">
        <f t="shared" si="6"/>
        <v>0</v>
      </c>
      <c r="H54" s="866">
        <f t="shared" si="6"/>
        <v>0</v>
      </c>
      <c r="I54" s="866">
        <f t="shared" si="6"/>
        <v>0</v>
      </c>
      <c r="J54" s="866">
        <f t="shared" si="6"/>
        <v>0</v>
      </c>
      <c r="K54" s="867">
        <f t="shared" si="6"/>
        <v>0</v>
      </c>
      <c r="M54" s="341"/>
      <c r="N54" s="286"/>
      <c r="O54" s="286"/>
      <c r="P54" s="286"/>
      <c r="Q54" s="286"/>
      <c r="R54" s="286"/>
      <c r="S54" s="286"/>
      <c r="T54" s="286"/>
      <c r="U54" s="422"/>
    </row>
    <row r="55" spans="1:21" s="1" customFormat="1" x14ac:dyDescent="0.2">
      <c r="A55" s="33"/>
      <c r="B55" s="929"/>
      <c r="C55" s="156" t="s">
        <v>201</v>
      </c>
      <c r="D55" s="156"/>
      <c r="E55" s="307"/>
      <c r="F55" s="641">
        <v>0</v>
      </c>
      <c r="G55" s="641"/>
      <c r="H55" s="596">
        <f>'1. T1 INVESTOINTISUUN.'!D48+G55+H68</f>
        <v>0</v>
      </c>
      <c r="I55" s="868">
        <f>'1. T1 INVESTOINTISUUN.'!E48+H55+I68</f>
        <v>0</v>
      </c>
      <c r="J55" s="596">
        <f>'1. T1 INVESTOINTISUUN.'!F48+I55+J68</f>
        <v>0</v>
      </c>
      <c r="K55" s="869">
        <f>'1. T1 INVESTOINTISUUN.'!G48+J55+K68</f>
        <v>0</v>
      </c>
      <c r="L55" s="4"/>
      <c r="M55" s="341"/>
      <c r="N55" s="286"/>
      <c r="O55" s="286"/>
      <c r="P55" s="286"/>
      <c r="Q55" s="286"/>
      <c r="R55" s="286"/>
      <c r="S55" s="286"/>
      <c r="T55" s="286"/>
      <c r="U55" s="422"/>
    </row>
    <row r="56" spans="1:21" s="1" customFormat="1" x14ac:dyDescent="0.2">
      <c r="A56" s="229"/>
      <c r="B56" s="929"/>
      <c r="C56" s="156" t="s">
        <v>629</v>
      </c>
      <c r="D56" s="156"/>
      <c r="E56" s="307"/>
      <c r="F56" s="641">
        <v>0</v>
      </c>
      <c r="G56" s="641"/>
      <c r="H56" s="667">
        <f>G56-G57+G58</f>
        <v>0</v>
      </c>
      <c r="I56" s="667">
        <f>H56-H57+H58</f>
        <v>0</v>
      </c>
      <c r="J56" s="870">
        <f>I56-I57+I58</f>
        <v>0</v>
      </c>
      <c r="K56" s="597">
        <f>J56-J57+J58</f>
        <v>0</v>
      </c>
      <c r="L56" s="4"/>
      <c r="M56" s="341"/>
      <c r="N56" s="286"/>
      <c r="O56" s="286"/>
      <c r="P56" s="286"/>
      <c r="Q56" s="286"/>
      <c r="R56" s="286"/>
      <c r="S56" s="286"/>
      <c r="T56" s="286"/>
      <c r="U56" s="422"/>
    </row>
    <row r="57" spans="1:21" s="1" customFormat="1" x14ac:dyDescent="0.2">
      <c r="A57"/>
      <c r="B57" s="929"/>
      <c r="C57" s="1914" t="s">
        <v>230</v>
      </c>
      <c r="D57" s="1914"/>
      <c r="E57" s="1915"/>
      <c r="F57" s="913"/>
      <c r="G57" s="913"/>
      <c r="H57" s="871">
        <f>'8. T4 RAHOITUSSUUN. '!H39</f>
        <v>0</v>
      </c>
      <c r="I57" s="871">
        <f>'8. T4 RAHOITUSSUUN. '!I39</f>
        <v>0</v>
      </c>
      <c r="J57" s="871">
        <f>'8. T4 RAHOITUSSUUN. '!J39</f>
        <v>0</v>
      </c>
      <c r="K57" s="872">
        <f>'8. T4 RAHOITUSSUUN. '!K39</f>
        <v>0</v>
      </c>
      <c r="L57" s="4"/>
      <c r="M57" s="1758" t="s">
        <v>308</v>
      </c>
      <c r="N57" s="156"/>
      <c r="O57" s="156"/>
      <c r="P57" s="156"/>
      <c r="Q57" s="156"/>
      <c r="R57" s="156"/>
      <c r="S57" s="156"/>
      <c r="T57" s="156"/>
      <c r="U57" s="307"/>
    </row>
    <row r="58" spans="1:21" s="1" customFormat="1" x14ac:dyDescent="0.2">
      <c r="A58" s="46"/>
      <c r="B58" s="929"/>
      <c r="C58" s="156" t="s">
        <v>630</v>
      </c>
      <c r="D58" s="156"/>
      <c r="E58" s="307"/>
      <c r="F58" s="667">
        <f>'2. &amp; 7. T2 TULOSSUUN. '!E31</f>
        <v>0</v>
      </c>
      <c r="G58" s="667">
        <f>'2. &amp; 7. T2 TULOSSUUN. '!G31</f>
        <v>0</v>
      </c>
      <c r="H58" s="667">
        <f>'2. &amp; 7. T2 TULOSSUUN. '!I31</f>
        <v>0</v>
      </c>
      <c r="I58" s="667">
        <f>'2. &amp; 7. T2 TULOSSUUN. '!K31</f>
        <v>0</v>
      </c>
      <c r="J58" s="870">
        <f>'2. &amp; 7. T2 TULOSSUUN. '!M31</f>
        <v>0</v>
      </c>
      <c r="K58" s="597">
        <f>'2. &amp; 7. T2 TULOSSUUN. '!O31</f>
        <v>0</v>
      </c>
      <c r="L58" s="4"/>
      <c r="M58" s="341"/>
      <c r="N58" s="286"/>
      <c r="O58" s="286"/>
      <c r="P58" s="286"/>
      <c r="Q58" s="286"/>
      <c r="R58" s="286"/>
      <c r="S58" s="286"/>
      <c r="T58" s="286"/>
      <c r="U58" s="422"/>
    </row>
    <row r="59" spans="1:21" s="1" customFormat="1" x14ac:dyDescent="0.2">
      <c r="A59"/>
      <c r="B59" s="929"/>
      <c r="C59" s="1914" t="s">
        <v>264</v>
      </c>
      <c r="D59" s="1914"/>
      <c r="E59" s="1915"/>
      <c r="F59" s="641">
        <v>0</v>
      </c>
      <c r="G59" s="641">
        <v>0</v>
      </c>
      <c r="H59" s="609">
        <f>G59+'1. T1 INVESTOINTISUUN.'!D49</f>
        <v>0</v>
      </c>
      <c r="I59" s="609">
        <f>H59+'1. T1 INVESTOINTISUUN.'!E49</f>
        <v>0</v>
      </c>
      <c r="J59" s="609">
        <f>I59+'1. T1 INVESTOINTISUUN.'!F49</f>
        <v>0</v>
      </c>
      <c r="K59" s="610">
        <f>J59+'1. T1 INVESTOINTISUUN.'!G49</f>
        <v>0</v>
      </c>
      <c r="L59" s="4"/>
      <c r="M59" s="341"/>
      <c r="N59" s="286"/>
      <c r="O59" s="286"/>
      <c r="P59" s="286"/>
      <c r="Q59" s="286"/>
      <c r="R59" s="286"/>
      <c r="S59" s="286"/>
      <c r="T59" s="286"/>
      <c r="U59" s="422"/>
    </row>
    <row r="60" spans="1:21" x14ac:dyDescent="0.2">
      <c r="A60" s="46"/>
      <c r="B60" s="449" t="s">
        <v>165</v>
      </c>
      <c r="C60" s="174" t="s">
        <v>160</v>
      </c>
      <c r="D60" s="174"/>
      <c r="E60" s="176"/>
      <c r="F60" s="493">
        <f t="shared" ref="F60:K60" si="7">F61+F62</f>
        <v>0</v>
      </c>
      <c r="G60" s="493">
        <f>G61+G62</f>
        <v>0</v>
      </c>
      <c r="H60" s="493">
        <f t="shared" si="7"/>
        <v>0</v>
      </c>
      <c r="I60" s="493">
        <f t="shared" si="7"/>
        <v>0</v>
      </c>
      <c r="J60" s="873">
        <f t="shared" si="7"/>
        <v>0</v>
      </c>
      <c r="K60" s="640">
        <f t="shared" si="7"/>
        <v>0</v>
      </c>
      <c r="M60" s="341"/>
      <c r="N60" s="286"/>
      <c r="O60" s="286"/>
      <c r="P60" s="286"/>
      <c r="Q60" s="286"/>
      <c r="R60" s="286"/>
      <c r="S60" s="286"/>
      <c r="T60" s="286"/>
      <c r="U60" s="422"/>
    </row>
    <row r="61" spans="1:21" x14ac:dyDescent="0.2">
      <c r="A61"/>
      <c r="B61" s="930" t="s">
        <v>0</v>
      </c>
      <c r="C61" s="1612" t="s">
        <v>161</v>
      </c>
      <c r="D61" s="911"/>
      <c r="E61" s="308"/>
      <c r="F61" s="609"/>
      <c r="G61" s="609"/>
      <c r="H61" s="596">
        <f>G61-'2. &amp; 7. T2 TULOSSUUN. '!I29</f>
        <v>0</v>
      </c>
      <c r="I61" s="596">
        <f>H61-'2. &amp; 7. T2 TULOSSUUN. '!K29</f>
        <v>0</v>
      </c>
      <c r="J61" s="596">
        <f>I61-'2. &amp; 7. T2 TULOSSUUN. '!M29</f>
        <v>0</v>
      </c>
      <c r="K61" s="597">
        <f>J61-'2. &amp; 7. T2 TULOSSUUN. '!O29</f>
        <v>0</v>
      </c>
      <c r="M61" s="341"/>
      <c r="N61" s="286"/>
      <c r="O61" s="286"/>
      <c r="P61" s="286"/>
      <c r="Q61" s="286"/>
      <c r="R61" s="286"/>
      <c r="S61" s="286"/>
      <c r="T61" s="286"/>
      <c r="U61" s="422"/>
    </row>
    <row r="62" spans="1:21" x14ac:dyDescent="0.2">
      <c r="A62" s="46"/>
      <c r="B62" s="930" t="s">
        <v>0</v>
      </c>
      <c r="C62" s="1899" t="s">
        <v>331</v>
      </c>
      <c r="D62" s="1899"/>
      <c r="E62" s="1900"/>
      <c r="F62" s="609">
        <v>0</v>
      </c>
      <c r="G62" s="609"/>
      <c r="H62" s="596">
        <f>H63*('5. E1 KUSTANNUKSET '!F13*'5. E1 KUSTANNUKSET '!F15+'5. E1 KUSTANNUKSET '!F17+'5. E1 KUSTANNUKSET '!F24)</f>
        <v>0</v>
      </c>
      <c r="I62" s="596">
        <f>I63*('5. E1 KUSTANNUKSET '!H13*'5. E1 KUSTANNUKSET '!H15+'5. E1 KUSTANNUKSET '!H17+'5. E1 KUSTANNUKSET '!H24)</f>
        <v>0</v>
      </c>
      <c r="J62" s="596">
        <f>J63*('5. E1 KUSTANNUKSET '!J13*'5. E1 KUSTANNUKSET '!J15+'5. E1 KUSTANNUKSET '!J17+'5. E1 KUSTANNUKSET '!J24)</f>
        <v>0</v>
      </c>
      <c r="K62" s="597">
        <f>K63*('5. E1 KUSTANNUKSET '!L13*'5. E1 KUSTANNUKSET '!L15+'5. E1 KUSTANNUKSET '!L17+'5. E1 KUSTANNUKSET '!L24)</f>
        <v>0</v>
      </c>
      <c r="M62" s="341"/>
      <c r="N62" s="286"/>
      <c r="O62" s="286"/>
      <c r="P62" s="286"/>
      <c r="Q62" s="286"/>
      <c r="R62" s="286"/>
      <c r="S62" s="286"/>
      <c r="T62" s="286"/>
      <c r="U62" s="422"/>
    </row>
    <row r="63" spans="1:21" x14ac:dyDescent="0.2">
      <c r="A63" s="2"/>
      <c r="B63" s="930"/>
      <c r="C63" s="1897" t="s">
        <v>730</v>
      </c>
      <c r="D63" s="1897"/>
      <c r="E63" s="1898"/>
      <c r="F63" s="874"/>
      <c r="G63" s="874"/>
      <c r="H63" s="942">
        <f>G63</f>
        <v>0</v>
      </c>
      <c r="I63" s="942">
        <f>H63</f>
        <v>0</v>
      </c>
      <c r="J63" s="943">
        <f>I63</f>
        <v>0</v>
      </c>
      <c r="K63" s="944">
        <f>J63</f>
        <v>0</v>
      </c>
      <c r="M63" s="341"/>
      <c r="N63" s="286"/>
      <c r="O63" s="286"/>
      <c r="P63" s="286"/>
      <c r="Q63" s="286"/>
      <c r="R63" s="286"/>
      <c r="S63" s="286"/>
      <c r="T63" s="286"/>
      <c r="U63" s="422"/>
    </row>
    <row r="64" spans="1:21" x14ac:dyDescent="0.2">
      <c r="A64" s="46"/>
      <c r="B64" s="449" t="s">
        <v>177</v>
      </c>
      <c r="C64" s="1833" t="s">
        <v>164</v>
      </c>
      <c r="D64" s="1833"/>
      <c r="E64" s="1906"/>
      <c r="F64" s="875">
        <v>0</v>
      </c>
      <c r="G64" s="875">
        <v>0</v>
      </c>
      <c r="H64" s="875"/>
      <c r="I64" s="875"/>
      <c r="J64" s="876"/>
      <c r="K64" s="877"/>
      <c r="M64" s="341"/>
      <c r="N64" s="286"/>
      <c r="O64" s="286"/>
      <c r="P64" s="286"/>
      <c r="Q64" s="286"/>
      <c r="R64" s="286"/>
      <c r="S64" s="286"/>
      <c r="T64" s="286"/>
      <c r="U64" s="422"/>
    </row>
    <row r="65" spans="1:21" x14ac:dyDescent="0.2">
      <c r="A65"/>
      <c r="B65" s="449" t="s">
        <v>251</v>
      </c>
      <c r="C65" s="1833" t="s">
        <v>176</v>
      </c>
      <c r="D65" s="1833"/>
      <c r="E65" s="1906"/>
      <c r="F65" s="493">
        <f t="shared" ref="F65:K65" si="8">F66+F67+F69+F72</f>
        <v>0</v>
      </c>
      <c r="G65" s="493">
        <f>G66+G67+G69+G72</f>
        <v>0</v>
      </c>
      <c r="H65" s="493">
        <f>H66+H67+H69+H72</f>
        <v>0</v>
      </c>
      <c r="I65" s="493">
        <f t="shared" si="8"/>
        <v>0</v>
      </c>
      <c r="J65" s="873">
        <f t="shared" si="8"/>
        <v>0</v>
      </c>
      <c r="K65" s="640">
        <f t="shared" si="8"/>
        <v>0</v>
      </c>
      <c r="M65" s="341"/>
      <c r="N65" s="286"/>
      <c r="O65" s="286"/>
      <c r="P65" s="286"/>
      <c r="Q65" s="286"/>
      <c r="R65" s="286"/>
      <c r="S65" s="286"/>
      <c r="T65" s="286"/>
      <c r="U65" s="422"/>
    </row>
    <row r="66" spans="1:21" x14ac:dyDescent="0.2">
      <c r="A66" s="46"/>
      <c r="B66" s="328" t="s">
        <v>0</v>
      </c>
      <c r="C66" s="1912" t="s">
        <v>166</v>
      </c>
      <c r="D66" s="1912"/>
      <c r="E66" s="1913"/>
      <c r="F66" s="609">
        <v>0</v>
      </c>
      <c r="G66" s="609">
        <v>0</v>
      </c>
      <c r="H66" s="596">
        <f>'AT2 Lainat,sotum., alv-osto'!U14+'AT2 Lainat,sotum., alv-osto'!U16+'AT2 Lainat,sotum., alv-osto'!U17+'AT2 Lainat,sotum., alv-osto'!U18-'8. T4 RAHOITUSSUUN. '!H35</f>
        <v>0</v>
      </c>
      <c r="I66" s="596">
        <f>'AT2 Lainat,sotum., alv-osto'!AA14+'AT2 Lainat,sotum., alv-osto'!AA16+'AT2 Lainat,sotum., alv-osto'!AA17+'AT2 Lainat,sotum., alv-osto'!AA18+'AT2 Lainat,sotum., alv-osto'!AA19+'AT2 Lainat,sotum., alv-osto'!AA20+'AT2 Lainat,sotum., alv-osto'!AA21-'8. T4 RAHOITUSSUUN. '!H35-'8. T4 RAHOITUSSUUN. '!I35</f>
        <v>0</v>
      </c>
      <c r="J66" s="596">
        <f>'AT2 Lainat,sotum., alv-osto'!AG14+'AT2 Lainat,sotum., alv-osto'!AG16+'AT2 Lainat,sotum., alv-osto'!AG17+'AT2 Lainat,sotum., alv-osto'!AG18+'AT2 Lainat,sotum., alv-osto'!AG21+'AT2 Lainat,sotum., alv-osto'!AG19+'AT2 Lainat,sotum., alv-osto'!AG20+'AT2 Lainat,sotum., alv-osto'!AG23+'AT2 Lainat,sotum., alv-osto'!AG22+'AT2 Lainat,sotum., alv-osto'!AG24-'8. T4 RAHOITUSSUUN. '!H35-'8. T4 RAHOITUSSUUN. '!I35-'8. T4 RAHOITUSSUUN. '!J35</f>
        <v>0</v>
      </c>
      <c r="K66" s="597">
        <f>'AT2 Lainat,sotum., alv-osto'!AM14+'AT2 Lainat,sotum., alv-osto'!AM28-'8. T4 RAHOITUSSUUN. '!H35-'8. T4 RAHOITUSSUUN. '!I35-'8. T4 RAHOITUSSUUN. '!J35-'8. T4 RAHOITUSSUUN. '!K35</f>
        <v>0</v>
      </c>
      <c r="M66" s="341"/>
      <c r="N66" s="286"/>
      <c r="O66" s="286"/>
      <c r="P66" s="286"/>
      <c r="Q66" s="286"/>
      <c r="R66" s="286"/>
      <c r="S66" s="286"/>
      <c r="T66" s="286"/>
      <c r="U66" s="422"/>
    </row>
    <row r="67" spans="1:21" x14ac:dyDescent="0.2">
      <c r="A67"/>
      <c r="B67" s="328" t="s">
        <v>0</v>
      </c>
      <c r="C67" s="1899" t="s">
        <v>181</v>
      </c>
      <c r="D67" s="1899"/>
      <c r="E67" s="1900"/>
      <c r="F67" s="609">
        <v>0</v>
      </c>
      <c r="G67" s="609">
        <v>0</v>
      </c>
      <c r="H67" s="703">
        <f>G67+'1. T1 INVESTOINTISUUN.'!D51</f>
        <v>0</v>
      </c>
      <c r="I67" s="703">
        <f>H67+'1. T1 INVESTOINTISUUN.'!E51</f>
        <v>0</v>
      </c>
      <c r="J67" s="703">
        <f>I67+'1. T1 INVESTOINTISUUN.'!F51</f>
        <v>0</v>
      </c>
      <c r="K67" s="704">
        <f>J67+'1. T1 INVESTOINTISUUN.'!G51</f>
        <v>0</v>
      </c>
      <c r="M67" s="341"/>
      <c r="N67" s="286"/>
      <c r="O67" s="286"/>
      <c r="P67" s="286"/>
      <c r="Q67" s="286"/>
      <c r="R67" s="286"/>
      <c r="S67" s="286"/>
      <c r="T67" s="286"/>
      <c r="U67" s="422"/>
    </row>
    <row r="68" spans="1:21" x14ac:dyDescent="0.2">
      <c r="A68" s="46"/>
      <c r="B68" s="328"/>
      <c r="C68" s="908" t="s">
        <v>718</v>
      </c>
      <c r="D68" s="908"/>
      <c r="E68" s="909"/>
      <c r="F68" s="878"/>
      <c r="G68" s="878"/>
      <c r="H68" s="703">
        <v>0</v>
      </c>
      <c r="I68" s="703">
        <v>0</v>
      </c>
      <c r="J68" s="989">
        <v>0</v>
      </c>
      <c r="K68" s="704"/>
      <c r="M68" s="1199" t="str">
        <f>IF(H68&gt;0,"VÄHENNÄ AKORDI PÄÄOMALAINAN SALDOSTA!",IF(I68&gt;0,"VÄHENNÄ AKORDI PÄÄOMALAINAN SALDOSTA!",IF(J68&gt;0,"VÄHENNÄ AKORDI PÄÄOMALAINAN SALDOSTA!",IF(K68&gt;0,"VÄHENNÄ AKORDI PÄÄOMALAINAN SALDOSTA!",""))))</f>
        <v/>
      </c>
      <c r="N68" s="143"/>
      <c r="O68" s="143"/>
      <c r="P68" s="143"/>
      <c r="Q68" s="143"/>
      <c r="R68" s="143"/>
      <c r="S68" s="143"/>
      <c r="T68" s="143"/>
      <c r="U68" s="467"/>
    </row>
    <row r="69" spans="1:21" x14ac:dyDescent="0.2">
      <c r="A69" s="2"/>
      <c r="B69" s="328" t="s">
        <v>0</v>
      </c>
      <c r="C69" s="215" t="s">
        <v>179</v>
      </c>
      <c r="D69" s="209"/>
      <c r="E69" s="212"/>
      <c r="F69" s="596">
        <f t="shared" ref="F69:K69" si="9">F70+F71</f>
        <v>0</v>
      </c>
      <c r="G69" s="596">
        <f t="shared" si="9"/>
        <v>0</v>
      </c>
      <c r="H69" s="596">
        <f t="shared" si="9"/>
        <v>0</v>
      </c>
      <c r="I69" s="596">
        <f t="shared" si="9"/>
        <v>0</v>
      </c>
      <c r="J69" s="845">
        <f t="shared" si="9"/>
        <v>0</v>
      </c>
      <c r="K69" s="597">
        <f t="shared" si="9"/>
        <v>0</v>
      </c>
      <c r="M69" s="341"/>
      <c r="N69" s="286"/>
      <c r="O69" s="286"/>
      <c r="P69" s="286"/>
      <c r="Q69" s="286"/>
      <c r="R69" s="286"/>
      <c r="S69" s="286"/>
      <c r="T69" s="286"/>
      <c r="U69" s="422"/>
    </row>
    <row r="70" spans="1:21" x14ac:dyDescent="0.2">
      <c r="A70" s="46"/>
      <c r="B70" s="328"/>
      <c r="C70" s="209" t="s">
        <v>719</v>
      </c>
      <c r="D70" s="209"/>
      <c r="E70" s="212"/>
      <c r="F70" s="609">
        <v>0</v>
      </c>
      <c r="G70" s="609">
        <v>0</v>
      </c>
      <c r="H70" s="609">
        <f>G70</f>
        <v>0</v>
      </c>
      <c r="I70" s="609">
        <f>H70</f>
        <v>0</v>
      </c>
      <c r="J70" s="609">
        <f>I70</f>
        <v>0</v>
      </c>
      <c r="K70" s="610">
        <f>J70</f>
        <v>0</v>
      </c>
      <c r="M70" s="1199">
        <f>IF(H70&gt;0,"LISÄÄ OSTOVELAN KORKO T7 LAINAT-LOMAKKEEN KOHTAAN 'Korot pitkäaikaisista veloista, ei velkakirjaa'!",IF(I70&gt;0,"LISÄÄ OSTOVELAN KORKO T7 LAINAT-LOMAKKEEN KOHTAAN 'Korot pitkäaikaisista veloista, ei velkakirjaa'!",IF(J70&gt;0,"LISÄÄ OSTOVELAN KORKO T7 LAINAT-LOMAKKEEN KOHTAAN 'Korot pitkäaikaisista veloista, ei velkakirjaa'!",IF(K70&gt;0,"LISÄÄ OSTOVELAN KORKO T7 LAINAT-LOMAKKEEN KOHTAAN 'Korot pitkäaikaisista veloista, ei velkakirjaa'!",0))))</f>
        <v>0</v>
      </c>
      <c r="N70" s="286"/>
      <c r="O70" s="286"/>
      <c r="P70" s="286"/>
      <c r="Q70" s="286"/>
      <c r="R70" s="286"/>
      <c r="S70" s="286"/>
      <c r="T70" s="286"/>
      <c r="U70" s="422"/>
    </row>
    <row r="71" spans="1:21" x14ac:dyDescent="0.2">
      <c r="A71"/>
      <c r="B71" s="328"/>
      <c r="C71" s="209" t="s">
        <v>720</v>
      </c>
      <c r="D71" s="209"/>
      <c r="E71" s="212"/>
      <c r="F71" s="934">
        <v>0</v>
      </c>
      <c r="G71" s="609">
        <v>0</v>
      </c>
      <c r="H71" s="596">
        <f>'AT2 Lainat,sotum., alv-osto'!U40+'AT2 Lainat,sotum., alv-osto'!U44</f>
        <v>0</v>
      </c>
      <c r="I71" s="596">
        <f>'AT2 Lainat,sotum., alv-osto'!AA40+'AT2 Lainat,sotum., alv-osto'!AA44+'AT2 Lainat,sotum., alv-osto'!AA47</f>
        <v>0</v>
      </c>
      <c r="J71" s="596">
        <f>'AT2 Lainat,sotum., alv-osto'!AG40+'AT2 Lainat,sotum., alv-osto'!AG44+'AT2 Lainat,sotum., alv-osto'!AG47+'AT2 Lainat,sotum., alv-osto'!AG50</f>
        <v>0</v>
      </c>
      <c r="K71" s="597">
        <f>IF('4. T7 LAINAT '!O45=0,'AT2 Lainat,sotum., alv-osto'!AM40+'AT2 Lainat,sotum., alv-osto'!AM44+'AT2 Lainat,sotum., alv-osto'!AM47+'AT2 Lainat,sotum., alv-osto'!AM50,'AT2 Lainat,sotum., alv-osto'!AM43+'AT2 Lainat,sotum., alv-osto'!AM56)</f>
        <v>0</v>
      </c>
      <c r="M71" s="341"/>
      <c r="N71" s="286"/>
      <c r="O71" s="286"/>
      <c r="P71" s="286"/>
      <c r="Q71" s="286"/>
      <c r="R71" s="286"/>
      <c r="S71" s="286"/>
      <c r="T71" s="286"/>
      <c r="U71" s="422"/>
    </row>
    <row r="72" spans="1:21" x14ac:dyDescent="0.2">
      <c r="A72" s="46"/>
      <c r="B72" s="328"/>
      <c r="C72" s="1899" t="s">
        <v>180</v>
      </c>
      <c r="D72" s="1899"/>
      <c r="E72" s="1900"/>
      <c r="F72" s="609">
        <v>0</v>
      </c>
      <c r="G72" s="609">
        <v>0</v>
      </c>
      <c r="H72" s="609">
        <f>G72</f>
        <v>0</v>
      </c>
      <c r="I72" s="609">
        <f>H72</f>
        <v>0</v>
      </c>
      <c r="J72" s="609">
        <f>I72</f>
        <v>0</v>
      </c>
      <c r="K72" s="610">
        <f>J72</f>
        <v>0</v>
      </c>
      <c r="M72" s="1199">
        <f>IF(H72&gt;0,"SAADUT VELKAKIRJALAINAT MERKITÄÄN TAULUKKOON 4. T7 LAINAT, MUUT TÄHÄN!",IF(I72&gt;0,"SAADUT VELKAKIRJALAINAT MERKITÄÄN TAULUKKOON 4. T7 LAINAT, MUUT TÄHÄN!",IF(J72&gt;0,"SAADUT VELKAKIRJALAINAT MERKITÄÄN TAULUKKOON 4. T7 LAINAT, MUUT TÄHÄN!",IF(K72&gt;0,"SAADUT VELKAKIRJALAINAT MERKITÄÄN TAULUKKOON 4. T7 LAINAT, MUUT TÄHÄN!",0))))</f>
        <v>0</v>
      </c>
      <c r="N72" s="409"/>
      <c r="O72" s="409"/>
      <c r="P72" s="409"/>
      <c r="Q72" s="409"/>
      <c r="R72" s="409"/>
      <c r="S72" s="409"/>
      <c r="T72" s="409"/>
      <c r="U72" s="1221"/>
    </row>
    <row r="73" spans="1:21" x14ac:dyDescent="0.2">
      <c r="A73"/>
      <c r="B73" s="449" t="s">
        <v>252</v>
      </c>
      <c r="C73" s="1833" t="s">
        <v>178</v>
      </c>
      <c r="D73" s="1833"/>
      <c r="E73" s="1906"/>
      <c r="F73" s="493">
        <f t="shared" ref="F73:K73" si="10">F74+F77+F78+F82+F89+F94</f>
        <v>0</v>
      </c>
      <c r="G73" s="493">
        <f>G74+G77+G78+G82+G89+G94</f>
        <v>0</v>
      </c>
      <c r="H73" s="493">
        <f t="shared" si="10"/>
        <v>0</v>
      </c>
      <c r="I73" s="493">
        <f t="shared" si="10"/>
        <v>0</v>
      </c>
      <c r="J73" s="493">
        <f t="shared" si="10"/>
        <v>0</v>
      </c>
      <c r="K73" s="640">
        <f t="shared" si="10"/>
        <v>0</v>
      </c>
      <c r="M73" s="341"/>
      <c r="N73" s="286"/>
      <c r="O73" s="286"/>
      <c r="P73" s="286"/>
      <c r="Q73" s="286"/>
      <c r="R73" s="286"/>
      <c r="S73" s="286"/>
      <c r="T73" s="286"/>
      <c r="U73" s="467"/>
    </row>
    <row r="74" spans="1:21" x14ac:dyDescent="0.2">
      <c r="A74" s="46"/>
      <c r="B74" s="328" t="s">
        <v>0</v>
      </c>
      <c r="C74" s="1912" t="s">
        <v>166</v>
      </c>
      <c r="D74" s="1912"/>
      <c r="E74" s="1913"/>
      <c r="F74" s="878">
        <f t="shared" ref="F74:K74" si="11">F75+F76</f>
        <v>0</v>
      </c>
      <c r="G74" s="878">
        <f t="shared" si="11"/>
        <v>0</v>
      </c>
      <c r="H74" s="878">
        <f t="shared" si="11"/>
        <v>0</v>
      </c>
      <c r="I74" s="878">
        <f t="shared" si="11"/>
        <v>0</v>
      </c>
      <c r="J74" s="878">
        <f t="shared" si="11"/>
        <v>0</v>
      </c>
      <c r="K74" s="935">
        <f t="shared" si="11"/>
        <v>0</v>
      </c>
      <c r="M74" s="341"/>
      <c r="N74" s="286"/>
      <c r="O74" s="286"/>
      <c r="P74" s="286"/>
      <c r="Q74" s="286"/>
      <c r="R74" s="286"/>
      <c r="S74" s="286"/>
      <c r="T74" s="286"/>
      <c r="U74" s="422"/>
    </row>
    <row r="75" spans="1:21" x14ac:dyDescent="0.2">
      <c r="A75" s="2"/>
      <c r="B75" s="328"/>
      <c r="C75" s="911" t="s">
        <v>721</v>
      </c>
      <c r="D75" s="911"/>
      <c r="E75" s="912"/>
      <c r="F75" s="609">
        <v>0</v>
      </c>
      <c r="G75" s="609"/>
      <c r="H75" s="596">
        <f>'4. T7 LAINAT '!I18+'4. T7 LAINAT '!J24+'4. T7 LAINAT '!J25+'4. T7 LAINAT '!J26</f>
        <v>0</v>
      </c>
      <c r="I75" s="596">
        <f>'4. T7 LAINAT '!L18+'4. T7 LAINAT '!M24+'4. T7 LAINAT '!M25+'4. T7 LAINAT '!M26+'4. T7 LAINAT '!M28+'4. T7 LAINAT '!M29+'4. T7 LAINAT '!M30</f>
        <v>0</v>
      </c>
      <c r="J75" s="596">
        <f>'4. T7 LAINAT '!O18+'4. T7 LAINAT '!P24+'4. T7 LAINAT '!P25+'4. T7 LAINAT '!P26+'4. T7 LAINAT '!P28+'4. T7 LAINAT '!P29+'4. T7 LAINAT '!P30+'4. T7 LAINAT '!P32+'4. T7 LAINAT '!P33+'4. T7 LAINAT '!P34</f>
        <v>0</v>
      </c>
      <c r="K75" s="597">
        <f>'AT2 Lainat,sotum., alv-osto'!AK14+'AT2 Lainat,sotum., alv-osto'!AK28</f>
        <v>0</v>
      </c>
      <c r="M75" s="341"/>
      <c r="N75" s="286"/>
      <c r="O75" s="286"/>
      <c r="P75" s="286"/>
      <c r="Q75" s="286"/>
      <c r="R75" s="286"/>
      <c r="S75" s="286"/>
      <c r="T75" s="286"/>
      <c r="U75" s="422"/>
    </row>
    <row r="76" spans="1:21" x14ac:dyDescent="0.2">
      <c r="A76" s="46"/>
      <c r="B76" s="328"/>
      <c r="C76" s="1885" t="s">
        <v>722</v>
      </c>
      <c r="D76" s="1885"/>
      <c r="E76" s="1935"/>
      <c r="F76" s="609">
        <v>0</v>
      </c>
      <c r="G76" s="609">
        <v>0</v>
      </c>
      <c r="H76" s="609">
        <v>0</v>
      </c>
      <c r="I76" s="609">
        <f t="shared" ref="I76:K77" si="12">H76</f>
        <v>0</v>
      </c>
      <c r="J76" s="609">
        <f t="shared" si="12"/>
        <v>0</v>
      </c>
      <c r="K76" s="610">
        <f t="shared" si="12"/>
        <v>0</v>
      </c>
      <c r="M76" s="1199">
        <f>IF(H76&gt;0,"MERKITSE KORKO 4. T7 LAINAT-LOMAKKEEN KOHTAAN 'Lyhytaikaisten lainojen korot'!",IF(I76&gt;0,"MERKITSE KORKO 4. T7 LAINAT-LOMAKKEEN KOHTAAN 'Lyhytaikaisten lainojen korot'!",IF(J76&gt;0,"MERKITSE KORKO 4. T7 LAINAT-LOMAKKEEN KOHTAAN 'Lyhytaikaisten lainojen korot'!",IF(K76&gt;0,"MERKITSE KORKO 4. T7 LAINAT-LOMAKKEEN KOHTAAN 'Lyhytaikaisten lainojen korot'!",0))))</f>
        <v>0</v>
      </c>
      <c r="N76" s="409"/>
      <c r="O76" s="409"/>
      <c r="P76" s="409"/>
      <c r="Q76" s="409"/>
      <c r="R76" s="409"/>
      <c r="S76" s="409"/>
      <c r="T76" s="409"/>
      <c r="U76" s="1221"/>
    </row>
    <row r="77" spans="1:21" x14ac:dyDescent="0.2">
      <c r="A77"/>
      <c r="B77" s="328" t="s">
        <v>0</v>
      </c>
      <c r="C77" s="1899" t="s">
        <v>181</v>
      </c>
      <c r="D77" s="1899"/>
      <c r="E77" s="1900"/>
      <c r="F77" s="609">
        <v>0</v>
      </c>
      <c r="G77" s="609">
        <v>0</v>
      </c>
      <c r="H77" s="609">
        <f>G77</f>
        <v>0</v>
      </c>
      <c r="I77" s="609">
        <f t="shared" si="12"/>
        <v>0</v>
      </c>
      <c r="J77" s="609">
        <f t="shared" si="12"/>
        <v>0</v>
      </c>
      <c r="K77" s="610">
        <f t="shared" si="12"/>
        <v>0</v>
      </c>
      <c r="M77" s="341"/>
      <c r="N77" s="286"/>
      <c r="O77" s="286"/>
      <c r="P77" s="286"/>
      <c r="Q77" s="286"/>
      <c r="R77" s="286"/>
      <c r="S77" s="286"/>
      <c r="T77" s="286"/>
      <c r="U77" s="422"/>
    </row>
    <row r="78" spans="1:21" x14ac:dyDescent="0.2">
      <c r="A78" s="46"/>
      <c r="B78" s="328" t="s">
        <v>0</v>
      </c>
      <c r="C78" s="215" t="s">
        <v>179</v>
      </c>
      <c r="D78" s="209"/>
      <c r="E78" s="212"/>
      <c r="F78" s="596">
        <f t="shared" ref="F78:K78" si="13">F79+F81</f>
        <v>0</v>
      </c>
      <c r="G78" s="596">
        <f t="shared" si="13"/>
        <v>0</v>
      </c>
      <c r="H78" s="596">
        <f t="shared" si="13"/>
        <v>0</v>
      </c>
      <c r="I78" s="596">
        <f t="shared" si="13"/>
        <v>0</v>
      </c>
      <c r="J78" s="845">
        <f t="shared" si="13"/>
        <v>0</v>
      </c>
      <c r="K78" s="597">
        <f t="shared" si="13"/>
        <v>0</v>
      </c>
      <c r="M78" s="341"/>
      <c r="N78" s="286"/>
      <c r="O78" s="286"/>
      <c r="P78" s="286"/>
      <c r="Q78" s="286"/>
      <c r="R78" s="286"/>
      <c r="S78" s="286"/>
      <c r="T78" s="286"/>
      <c r="U78" s="422"/>
    </row>
    <row r="79" spans="1:21" x14ac:dyDescent="0.2">
      <c r="A79" s="2"/>
      <c r="B79" s="328"/>
      <c r="C79" s="209" t="s">
        <v>719</v>
      </c>
      <c r="D79" s="209"/>
      <c r="E79" s="212"/>
      <c r="F79" s="609">
        <v>0</v>
      </c>
      <c r="G79" s="609"/>
      <c r="H79" s="596">
        <f>'8. T4 RAHOITUSSUUN. '!H56</f>
        <v>0</v>
      </c>
      <c r="I79" s="596">
        <f>'8. T4 RAHOITUSSUUN. '!I56</f>
        <v>0</v>
      </c>
      <c r="J79" s="596">
        <f>'8. T4 RAHOITUSSUUN. '!J56</f>
        <v>0</v>
      </c>
      <c r="K79" s="597">
        <f>'8. T4 RAHOITUSSUUN. '!K56</f>
        <v>0</v>
      </c>
      <c r="M79" s="341"/>
      <c r="N79" s="286"/>
      <c r="O79" s="286"/>
      <c r="P79" s="286"/>
      <c r="Q79" s="286"/>
      <c r="R79" s="286"/>
      <c r="S79" s="286"/>
      <c r="T79" s="286"/>
      <c r="U79" s="422"/>
    </row>
    <row r="80" spans="1:21" x14ac:dyDescent="0.2">
      <c r="A80" s="46"/>
      <c r="B80" s="328"/>
      <c r="C80" s="1931" t="s">
        <v>332</v>
      </c>
      <c r="D80" s="1931"/>
      <c r="E80" s="1932"/>
      <c r="F80" s="859">
        <f>'8. T4 RAHOITUSSUUN. '!F57</f>
        <v>0</v>
      </c>
      <c r="G80" s="859">
        <f>'8. T4 RAHOITUSSUUN. '!G57</f>
        <v>0</v>
      </c>
      <c r="H80" s="859">
        <f>'8. T4 RAHOITUSSUUN. '!H57</f>
        <v>0</v>
      </c>
      <c r="I80" s="859">
        <f>'8. T4 RAHOITUSSUUN. '!I57</f>
        <v>0</v>
      </c>
      <c r="J80" s="859">
        <f>'8. T4 RAHOITUSSUUN. '!J57</f>
        <v>0</v>
      </c>
      <c r="K80" s="860">
        <f>'8. T4 RAHOITUSSUUN. '!K57</f>
        <v>0</v>
      </c>
      <c r="M80" s="341"/>
      <c r="N80" s="286"/>
      <c r="O80" s="286"/>
      <c r="P80" s="286"/>
      <c r="Q80" s="286"/>
      <c r="R80" s="286"/>
      <c r="S80" s="286"/>
      <c r="T80" s="286"/>
      <c r="U80" s="422"/>
    </row>
    <row r="81" spans="1:21" x14ac:dyDescent="0.2">
      <c r="B81" s="328"/>
      <c r="C81" s="1621" t="s">
        <v>723</v>
      </c>
      <c r="D81" s="209"/>
      <c r="E81" s="212"/>
      <c r="F81" s="609">
        <v>0</v>
      </c>
      <c r="G81" s="609">
        <v>0</v>
      </c>
      <c r="H81" s="596">
        <f>'AT2 Lainat,sotum., alv-osto'!S43+'AT2 Lainat,sotum., alv-osto'!S44</f>
        <v>0</v>
      </c>
      <c r="I81" s="596">
        <f>'AT2 Lainat,sotum., alv-osto'!Y40+'AT2 Lainat,sotum., alv-osto'!Y44+'AT2 Lainat,sotum., alv-osto'!Y47</f>
        <v>0</v>
      </c>
      <c r="J81" s="596">
        <f>'AT2 Lainat,sotum., alv-osto'!AE40+'AT2 Lainat,sotum., alv-osto'!AE44+'AT2 Lainat,sotum., alv-osto'!AE47+'AT2 Lainat,sotum., alv-osto'!AE50</f>
        <v>0</v>
      </c>
      <c r="K81" s="597">
        <f>'AT2 Lainat,sotum., alv-osto'!AK40+'AT2 Lainat,sotum., alv-osto'!AK44+'AT2 Lainat,sotum., alv-osto'!AK47+'AT2 Lainat,sotum., alv-osto'!AK50+'AT2 Lainat,sotum., alv-osto'!AK53</f>
        <v>0</v>
      </c>
      <c r="M81" s="341"/>
      <c r="N81" s="286"/>
      <c r="O81" s="286"/>
      <c r="P81" s="286"/>
      <c r="Q81" s="286"/>
      <c r="R81" s="286"/>
      <c r="S81" s="286"/>
      <c r="T81" s="286"/>
      <c r="U81" s="422"/>
    </row>
    <row r="82" spans="1:21" x14ac:dyDescent="0.2">
      <c r="B82" s="328"/>
      <c r="C82" s="1899" t="s">
        <v>182</v>
      </c>
      <c r="D82" s="1899"/>
      <c r="E82" s="1900"/>
      <c r="F82" s="596">
        <f t="shared" ref="F82:K82" si="14">F83+F85+F86+F88</f>
        <v>0</v>
      </c>
      <c r="G82" s="596">
        <f t="shared" si="14"/>
        <v>0</v>
      </c>
      <c r="H82" s="596">
        <f t="shared" si="14"/>
        <v>0</v>
      </c>
      <c r="I82" s="596">
        <f t="shared" si="14"/>
        <v>0</v>
      </c>
      <c r="J82" s="845">
        <f t="shared" si="14"/>
        <v>0</v>
      </c>
      <c r="K82" s="597">
        <f t="shared" si="14"/>
        <v>0</v>
      </c>
      <c r="M82" s="341"/>
      <c r="N82" s="286"/>
      <c r="O82" s="286"/>
      <c r="P82" s="286"/>
      <c r="Q82" s="286"/>
      <c r="R82" s="286"/>
      <c r="S82" s="286"/>
      <c r="T82" s="286"/>
      <c r="U82" s="422"/>
    </row>
    <row r="83" spans="1:21" ht="26.25" customHeight="1" x14ac:dyDescent="0.2">
      <c r="B83" s="328"/>
      <c r="C83" s="1936" t="s">
        <v>724</v>
      </c>
      <c r="D83" s="1936"/>
      <c r="E83" s="1937"/>
      <c r="F83" s="641">
        <v>0</v>
      </c>
      <c r="G83" s="641"/>
      <c r="H83" s="667">
        <f>H84*('5. E1 KUSTANNUKSET '!F13+'5. E1 KUSTANNUKSET '!F14+'5. E1 KUSTANNUKSET '!F22/12+'5. E1 KUSTANNUKSET '!F17/12+'5. E1 KUSTANNUKSET '!F24/12+'5. E1 KUSTANNUKSET '!F28/12)</f>
        <v>0</v>
      </c>
      <c r="I83" s="667">
        <f>I84*('5. E1 KUSTANNUKSET '!H13+'5. E1 KUSTANNUKSET '!H14+'5. E1 KUSTANNUKSET '!H22/12+'5. E1 KUSTANNUKSET '!H17/12+'5. E1 KUSTANNUKSET '!H24/12+'5. E1 KUSTANNUKSET '!H28/12)</f>
        <v>0</v>
      </c>
      <c r="J83" s="667">
        <f>J84*('5. E1 KUSTANNUKSET '!J13+'5. E1 KUSTANNUKSET '!J14+'5. E1 KUSTANNUKSET '!J22/12+'5. E1 KUSTANNUKSET '!J17/12+'5. E1 KUSTANNUKSET '!J24/12+'5. E1 KUSTANNUKSET '!J28/12)</f>
        <v>0</v>
      </c>
      <c r="K83" s="597">
        <f>K84*('5. E1 KUSTANNUKSET '!L13+'5. E1 KUSTANNUKSET '!L14+'5. E1 KUSTANNUKSET '!L22/12+'5. E1 KUSTANNUKSET '!L17/12+'5. E1 KUSTANNUKSET '!L24/12+'5. E1 KUSTANNUKSET '!L28/12)</f>
        <v>0</v>
      </c>
      <c r="M83" s="341"/>
      <c r="N83" s="286"/>
      <c r="O83" s="286"/>
      <c r="P83" s="286"/>
      <c r="Q83" s="286"/>
      <c r="R83" s="286"/>
      <c r="S83" s="286"/>
      <c r="T83" s="286"/>
      <c r="U83" s="422"/>
    </row>
    <row r="84" spans="1:21" x14ac:dyDescent="0.2">
      <c r="B84" s="328"/>
      <c r="C84" s="1897" t="s">
        <v>725</v>
      </c>
      <c r="D84" s="1897"/>
      <c r="E84" s="1898"/>
      <c r="F84" s="861"/>
      <c r="G84" s="861"/>
      <c r="H84" s="945">
        <v>0.25</v>
      </c>
      <c r="I84" s="945">
        <f>H84</f>
        <v>0.25</v>
      </c>
      <c r="J84" s="945">
        <f>I84</f>
        <v>0.25</v>
      </c>
      <c r="K84" s="946">
        <f>J84</f>
        <v>0.25</v>
      </c>
      <c r="M84" s="341"/>
      <c r="N84" s="286"/>
      <c r="O84" s="286"/>
      <c r="P84" s="286"/>
      <c r="Q84" s="286" t="s">
        <v>0</v>
      </c>
      <c r="R84" s="286"/>
      <c r="S84" s="286"/>
      <c r="T84" s="286"/>
      <c r="U84" s="422"/>
    </row>
    <row r="85" spans="1:21" x14ac:dyDescent="0.2">
      <c r="B85" s="328"/>
      <c r="C85" s="908" t="s">
        <v>726</v>
      </c>
      <c r="D85" s="908"/>
      <c r="E85" s="908"/>
      <c r="F85" s="641">
        <v>0</v>
      </c>
      <c r="G85" s="641">
        <v>0</v>
      </c>
      <c r="H85" s="667">
        <f>'9. T5 KASSABUDJETTI  '!AV25*('5. E1 KUSTANNUKSET '!F13+'5. E1 KUSTANNUKSET '!F14+'5. E1 KUSTANNUKSET '!F17/12+'5. E1 KUSTANNUKSET '!F22/12+'5. E1 KUSTANNUKSET '!F24/12+'5. E1 KUSTANNUKSET '!F28/12)</f>
        <v>0</v>
      </c>
      <c r="I85" s="667">
        <f>'9. T5 KASSABUDJETTI  '!AV25*('5. E1 KUSTANNUKSET '!H13+'5. E1 KUSTANNUKSET '!H14+'5. E1 KUSTANNUKSET '!H17/12+'5. E1 KUSTANNUKSET '!H22/12+'5. E1 KUSTANNUKSET '!H24/12+'5. E1 KUSTANNUKSET '!H28/12)</f>
        <v>0</v>
      </c>
      <c r="J85" s="667">
        <f>'9. T5 KASSABUDJETTI  '!AV25*('5. E1 KUSTANNUKSET '!J13+'5. E1 KUSTANNUKSET '!J14+'5. E1 KUSTANNUKSET '!J17/12+'5. E1 KUSTANNUKSET '!J22/12+'5. E1 KUSTANNUKSET '!J24/12+'5. E1 KUSTANNUKSET '!J28/12)</f>
        <v>0</v>
      </c>
      <c r="K85" s="597">
        <f>'9. T5 KASSABUDJETTI  '!AV25*('5. E1 KUSTANNUKSET '!L13+'5. E1 KUSTANNUKSET '!L14+'5. E1 KUSTANNUKSET '!L17/12+'5. E1 KUSTANNUKSET '!L22/12+'5. E1 KUSTANNUKSET '!L24/12+'5. E1 KUSTANNUKSET '!L28/12)</f>
        <v>0</v>
      </c>
      <c r="M85" s="341"/>
      <c r="N85" s="286"/>
      <c r="O85" s="286"/>
      <c r="P85" s="286"/>
      <c r="Q85" s="286"/>
      <c r="R85" s="286"/>
      <c r="S85" s="286"/>
      <c r="T85" s="286"/>
      <c r="U85" s="422"/>
    </row>
    <row r="86" spans="1:21" x14ac:dyDescent="0.2">
      <c r="B86" s="328"/>
      <c r="C86" s="1885" t="s">
        <v>727</v>
      </c>
      <c r="D86" s="1885"/>
      <c r="E86" s="1885"/>
      <c r="F86" s="641">
        <v>0</v>
      </c>
      <c r="G86" s="641"/>
      <c r="H86" s="667">
        <f>IF('2. &amp; 7. T2 TULOSSUUN. '!I11=0,0,'2. &amp; 7. T2 TULOSSUUN. '!I11*'3. T3 TASE '!H87)</f>
        <v>0</v>
      </c>
      <c r="I86" s="667">
        <f>IF('2. &amp; 7. T2 TULOSSUUN. '!K11=0,0,'2. &amp; 7. T2 TULOSSUUN. '!K11*'3. T3 TASE '!I87)</f>
        <v>0</v>
      </c>
      <c r="J86" s="667">
        <f>IF('2. &amp; 7. T2 TULOSSUUN. '!M11=0,0,'2. &amp; 7. T2 TULOSSUUN. '!M11*'3. T3 TASE '!J87)</f>
        <v>0</v>
      </c>
      <c r="K86" s="597">
        <f>IF('2. &amp; 7. T2 TULOSSUUN. '!O11=0,0,'2. &amp; 7. T2 TULOSSUUN. '!O11*'3. T3 TASE '!K87)</f>
        <v>0</v>
      </c>
      <c r="M86" s="341"/>
      <c r="N86" s="286"/>
      <c r="O86" s="286"/>
      <c r="P86" s="286"/>
      <c r="Q86" s="286"/>
      <c r="R86" s="286"/>
      <c r="S86" s="286"/>
      <c r="T86" s="286"/>
      <c r="U86" s="422"/>
    </row>
    <row r="87" spans="1:21" x14ac:dyDescent="0.2">
      <c r="A87"/>
      <c r="B87" s="328"/>
      <c r="C87" s="1897" t="s">
        <v>728</v>
      </c>
      <c r="D87" s="1897"/>
      <c r="E87" s="1898"/>
      <c r="F87" s="879">
        <f>IF('2. &amp; 7. T2 TULOSSUUN. '!E11=0,0,F86/'2. &amp; 7. T2 TULOSSUUN. '!E11)</f>
        <v>0</v>
      </c>
      <c r="G87" s="879">
        <f>IF('2. &amp; 7. T2 TULOSSUUN. '!G11=0,0,G86/'2. &amp; 7. T2 TULOSSUUN. '!G11)</f>
        <v>0</v>
      </c>
      <c r="H87" s="942">
        <f>G87</f>
        <v>0</v>
      </c>
      <c r="I87" s="942">
        <f t="shared" ref="H87:K88" si="15">H87</f>
        <v>0</v>
      </c>
      <c r="J87" s="942">
        <f t="shared" si="15"/>
        <v>0</v>
      </c>
      <c r="K87" s="944">
        <f t="shared" si="15"/>
        <v>0</v>
      </c>
      <c r="M87" s="341"/>
      <c r="N87" s="286"/>
      <c r="O87" s="286"/>
      <c r="P87" s="286"/>
      <c r="Q87" s="286"/>
      <c r="R87" s="286"/>
      <c r="S87" s="286"/>
      <c r="T87" s="286"/>
      <c r="U87" s="422"/>
    </row>
    <row r="88" spans="1:21" x14ac:dyDescent="0.2">
      <c r="A88" s="6"/>
      <c r="B88" s="328"/>
      <c r="C88" s="1885" t="s">
        <v>729</v>
      </c>
      <c r="D88" s="1885"/>
      <c r="E88" s="1885"/>
      <c r="F88" s="641">
        <v>0</v>
      </c>
      <c r="G88" s="641">
        <v>0</v>
      </c>
      <c r="H88" s="641">
        <f t="shared" si="15"/>
        <v>0</v>
      </c>
      <c r="I88" s="641">
        <f t="shared" si="15"/>
        <v>0</v>
      </c>
      <c r="J88" s="641">
        <f t="shared" si="15"/>
        <v>0</v>
      </c>
      <c r="K88" s="610">
        <f t="shared" si="15"/>
        <v>0</v>
      </c>
      <c r="M88" s="341"/>
      <c r="N88" s="286"/>
      <c r="O88" s="286"/>
      <c r="P88" s="286"/>
      <c r="Q88" s="286"/>
      <c r="R88" s="286"/>
      <c r="S88" s="286"/>
      <c r="T88" s="286"/>
      <c r="U88" s="422"/>
    </row>
    <row r="89" spans="1:21" s="1" customFormat="1" x14ac:dyDescent="0.2">
      <c r="B89" s="328" t="s">
        <v>0</v>
      </c>
      <c r="C89" s="215" t="s">
        <v>183</v>
      </c>
      <c r="D89" s="214"/>
      <c r="E89" s="1394"/>
      <c r="F89" s="880">
        <f t="shared" ref="F89:K89" si="16">F91+F90+F92</f>
        <v>0</v>
      </c>
      <c r="G89" s="880">
        <f t="shared" si="16"/>
        <v>0</v>
      </c>
      <c r="H89" s="880">
        <f t="shared" si="16"/>
        <v>0</v>
      </c>
      <c r="I89" s="880">
        <f t="shared" si="16"/>
        <v>0</v>
      </c>
      <c r="J89" s="880">
        <f t="shared" si="16"/>
        <v>0</v>
      </c>
      <c r="K89" s="881">
        <f t="shared" si="16"/>
        <v>0</v>
      </c>
      <c r="M89" s="341"/>
      <c r="N89" s="286"/>
      <c r="O89" s="286"/>
      <c r="P89" s="286"/>
      <c r="Q89" s="286"/>
      <c r="R89" s="286"/>
      <c r="S89" s="286"/>
      <c r="T89" s="286"/>
      <c r="U89" s="422"/>
    </row>
    <row r="90" spans="1:21" s="1" customFormat="1" x14ac:dyDescent="0.2">
      <c r="B90" s="328"/>
      <c r="C90" s="1902" t="s">
        <v>732</v>
      </c>
      <c r="D90" s="1902"/>
      <c r="E90" s="1902"/>
      <c r="F90" s="609">
        <v>0</v>
      </c>
      <c r="G90" s="609"/>
      <c r="H90" s="641">
        <v>0</v>
      </c>
      <c r="I90" s="641">
        <v>0</v>
      </c>
      <c r="J90" s="641">
        <v>0</v>
      </c>
      <c r="K90" s="610">
        <v>0</v>
      </c>
      <c r="M90" s="1222" t="s">
        <v>0</v>
      </c>
      <c r="N90" s="1223"/>
      <c r="O90" s="1223"/>
      <c r="P90" s="1223"/>
      <c r="Q90" s="1223"/>
      <c r="R90" s="1224"/>
      <c r="S90" s="1223"/>
      <c r="T90" s="1223"/>
      <c r="U90" s="1225"/>
    </row>
    <row r="91" spans="1:21" s="1" customFormat="1" x14ac:dyDescent="0.2">
      <c r="B91" s="328"/>
      <c r="C91" s="1901" t="s">
        <v>733</v>
      </c>
      <c r="D91" s="1901"/>
      <c r="E91" s="1901"/>
      <c r="F91" s="609">
        <v>0</v>
      </c>
      <c r="G91" s="609">
        <v>0</v>
      </c>
      <c r="H91" s="609">
        <f>IF('5. E1 KUSTANNUKSET '!F15&lt;12.5,'5. E1 KUSTANNUKSET '!F12*10%,'5. E1 KUSTANNUKSET '!F12*14.4%)+IF('5. E1 KUSTANNUKSET '!F21&lt;12.5,'5. E1 KUSTANNUKSET '!F17*10%,'5. E1 KUSTANNUKSET '!F17*14.4%)+IF('5. E1 KUSTANNUKSET '!F27&lt;12.5,'5. E1 KUSTANNUKSET '!F24*10%,'5. E1 KUSTANNUKSET '!F24*14.4%)</f>
        <v>0</v>
      </c>
      <c r="I91" s="609">
        <f>IF('5. E1 KUSTANNUKSET '!H15&lt;12.5,'5. E1 KUSTANNUKSET '!H12*10%,'5. E1 KUSTANNUKSET '!H12*14.4%)+IF('5. E1 KUSTANNUKSET '!H21&lt;12.5,'5. E1 KUSTANNUKSET '!H17*10%,'5. E1 KUSTANNUKSET '!H17*14.4%)+IF('5. E1 KUSTANNUKSET '!H27&lt;12.5,'5. E1 KUSTANNUKSET '!H24*10%,'5. E1 KUSTANNUKSET '!H24*14.4%)</f>
        <v>0</v>
      </c>
      <c r="J91" s="609">
        <f>IF('5. E1 KUSTANNUKSET '!J15&lt;12.5,'5. E1 KUSTANNUKSET '!J12*10%,'5. E1 KUSTANNUKSET '!J12*14.4%)+IF('5. E1 KUSTANNUKSET '!J21&lt;12.5,'5. E1 KUSTANNUKSET '!J17*10%,'5. E1 KUSTANNUKSET '!J17*14.4%)+IF('5. E1 KUSTANNUKSET '!J27&lt;12.5,'5. E1 KUSTANNUKSET '!J24*10%,'5. E1 KUSTANNUKSET '!J24*14.4%)</f>
        <v>0</v>
      </c>
      <c r="K91" s="610">
        <f>IF('5. E1 KUSTANNUKSET '!L15&lt;12.5,'5. E1 KUSTANNUKSET '!L12*10%,'5. E1 KUSTANNUKSET '!L12*14.4%)+IF('5. E1 KUSTANNUKSET '!L21&lt;12.5,'5. E1 KUSTANNUKSET '!L17*10%,'5. E1 KUSTANNUKSET '!L17*14.4%)+IF('5. E1 KUSTANNUKSET '!L27&lt;12.5,'5. E1 KUSTANNUKSET '!L24*10%,'5. E1 KUSTANNUKSET '!L24*14.4%)</f>
        <v>0</v>
      </c>
      <c r="M91" s="341"/>
      <c r="N91" s="286"/>
      <c r="O91" s="286"/>
      <c r="P91" s="286"/>
      <c r="Q91" s="286"/>
      <c r="R91" s="286"/>
      <c r="S91" s="286"/>
      <c r="T91" s="286"/>
      <c r="U91" s="422"/>
    </row>
    <row r="92" spans="1:21" s="1" customFormat="1" x14ac:dyDescent="0.2">
      <c r="B92" s="328"/>
      <c r="C92" s="1621" t="s">
        <v>731</v>
      </c>
      <c r="D92" s="1621"/>
      <c r="E92" s="1622"/>
      <c r="F92" s="609">
        <v>0</v>
      </c>
      <c r="G92" s="609">
        <v>0</v>
      </c>
      <c r="H92" s="667">
        <f>H91*H93</f>
        <v>0</v>
      </c>
      <c r="I92" s="667">
        <f>I91*I93</f>
        <v>0</v>
      </c>
      <c r="J92" s="667">
        <f>J91*J93</f>
        <v>0</v>
      </c>
      <c r="K92" s="597">
        <f>K91*K93</f>
        <v>0</v>
      </c>
      <c r="M92" s="341"/>
      <c r="N92" s="286"/>
      <c r="O92" s="286"/>
      <c r="P92" s="286"/>
      <c r="Q92" s="286"/>
      <c r="R92" s="286"/>
      <c r="S92" s="286"/>
      <c r="T92" s="286"/>
      <c r="U92" s="422"/>
    </row>
    <row r="93" spans="1:21" s="1" customFormat="1" x14ac:dyDescent="0.2">
      <c r="B93" s="328"/>
      <c r="C93" s="1903" t="s">
        <v>734</v>
      </c>
      <c r="D93" s="1903"/>
      <c r="E93" s="1904"/>
      <c r="F93" s="861">
        <f>IF(F91=0,0,F92/F91)</f>
        <v>0</v>
      </c>
      <c r="G93" s="861">
        <f>IF(G91=0,0,G92/G91)</f>
        <v>0</v>
      </c>
      <c r="H93" s="1444">
        <v>0.19789999999999999</v>
      </c>
      <c r="I93" s="1444">
        <v>0.2</v>
      </c>
      <c r="J93" s="1444">
        <f>I93</f>
        <v>0.2</v>
      </c>
      <c r="K93" s="1445">
        <f>J93</f>
        <v>0.2</v>
      </c>
      <c r="M93" s="341"/>
      <c r="N93" s="286"/>
      <c r="O93" s="286"/>
      <c r="P93" s="286"/>
      <c r="Q93" s="286"/>
      <c r="R93" s="286"/>
      <c r="S93" s="286"/>
      <c r="T93" s="286"/>
      <c r="U93" s="422"/>
    </row>
    <row r="94" spans="1:21" ht="13.5" thickBot="1" x14ac:dyDescent="0.25">
      <c r="B94" s="931"/>
      <c r="C94" s="1916" t="s">
        <v>188</v>
      </c>
      <c r="D94" s="1916"/>
      <c r="E94" s="1917"/>
      <c r="F94" s="855">
        <v>0</v>
      </c>
      <c r="G94" s="855">
        <v>0</v>
      </c>
      <c r="H94" s="855">
        <f>'8. T4 RAHOITUSSUUN. '!H58</f>
        <v>0</v>
      </c>
      <c r="I94" s="855">
        <f>'8. T4 RAHOITUSSUUN. '!I58</f>
        <v>0</v>
      </c>
      <c r="J94" s="990">
        <f>'8. T4 RAHOITUSSUUN. '!J58</f>
        <v>0</v>
      </c>
      <c r="K94" s="856">
        <f>'8. T4 RAHOITUSSUUN. '!K58</f>
        <v>0</v>
      </c>
      <c r="M94" s="497"/>
      <c r="N94" s="423"/>
      <c r="O94" s="423"/>
      <c r="P94" s="423"/>
      <c r="Q94" s="423"/>
      <c r="R94" s="423"/>
      <c r="S94" s="423"/>
      <c r="T94" s="423"/>
      <c r="U94" s="425"/>
    </row>
    <row r="95" spans="1:21" ht="6" customHeight="1" thickBot="1" x14ac:dyDescent="0.25">
      <c r="A95" s="6"/>
      <c r="B95" s="233"/>
      <c r="C95" s="234"/>
      <c r="D95" s="235"/>
      <c r="E95" s="236"/>
      <c r="F95" s="882"/>
      <c r="G95" s="882"/>
      <c r="H95" s="882"/>
      <c r="I95" s="882"/>
      <c r="J95" s="882"/>
      <c r="K95" s="882"/>
      <c r="L95" s="120"/>
      <c r="M95" s="120"/>
      <c r="N95" s="120"/>
      <c r="O95" s="120"/>
      <c r="P95" s="120"/>
      <c r="Q95" s="120"/>
      <c r="R95" s="120"/>
      <c r="S95" s="120"/>
      <c r="T95" s="120"/>
      <c r="U95" s="120"/>
    </row>
    <row r="96" spans="1:21" ht="13.5" thickBot="1" x14ac:dyDescent="0.25">
      <c r="B96" s="237"/>
      <c r="C96" s="1905" t="s">
        <v>346</v>
      </c>
      <c r="D96" s="1905"/>
      <c r="E96" s="1905"/>
      <c r="F96" s="883">
        <f t="shared" ref="F96:K96" si="17">F54+F60+F64+F65+F73</f>
        <v>0</v>
      </c>
      <c r="G96" s="883">
        <f t="shared" si="17"/>
        <v>0</v>
      </c>
      <c r="H96" s="883">
        <f t="shared" si="17"/>
        <v>0</v>
      </c>
      <c r="I96" s="883">
        <f t="shared" si="17"/>
        <v>0</v>
      </c>
      <c r="J96" s="883">
        <f t="shared" si="17"/>
        <v>0</v>
      </c>
      <c r="K96" s="884">
        <f t="shared" si="17"/>
        <v>0</v>
      </c>
      <c r="L96" s="120"/>
      <c r="M96" s="205" t="str">
        <f>IF(F49&lt;&gt;F96,"TARKISTA TASEEN LOPPUSUMMAT",IF(G49&lt;&gt;G96,"TARKISTA TASEEN LOPPUSUMMAT",IF(I49&lt;&gt;I96,"TARKISTA TASEEN LOPPUSUMMAT",IF(H49&lt;&gt;H96,"TARKISTA TASEEN LOPPUSUMMAT",IF(G49&lt;&gt;G96,"TARKISTA TASEEN LOPPUSUMMAT",IF(J49&lt;&gt;J96,"TARKISTA TASEEN LOPPUSUMMAT",IF(F49&lt;&gt;F96,"TARKISTA TASEEN LOPPUSUMMAT",IF(K49&lt;&gt;K96,"TARKISTA TASEEN LOPPUSUMMAT"," "))))))))</f>
        <v xml:space="preserve"> </v>
      </c>
      <c r="N96" s="120"/>
      <c r="O96" s="120"/>
      <c r="P96" s="120"/>
      <c r="Q96" s="120"/>
      <c r="R96" s="120"/>
      <c r="S96" s="120"/>
      <c r="T96" s="120"/>
      <c r="U96" s="120"/>
    </row>
    <row r="97" spans="2:21" x14ac:dyDescent="0.2">
      <c r="B97" s="238"/>
      <c r="C97" s="239"/>
      <c r="D97" s="468"/>
      <c r="E97" s="240"/>
      <c r="F97" s="240"/>
      <c r="G97" s="241"/>
      <c r="H97" s="241"/>
      <c r="I97" s="241"/>
      <c r="J97" s="241"/>
      <c r="K97" s="241"/>
      <c r="L97" s="120"/>
      <c r="N97" s="120"/>
      <c r="O97" s="120"/>
      <c r="P97" s="120"/>
      <c r="Q97" s="120"/>
      <c r="R97" s="120"/>
      <c r="S97" s="120"/>
      <c r="T97" s="120"/>
      <c r="U97" s="120"/>
    </row>
    <row r="98" spans="2:21" x14ac:dyDescent="0.2">
      <c r="B98" s="242">
        <f>'1. T1 INVESTOINTISUUN.'!B66</f>
        <v>0</v>
      </c>
      <c r="C98" s="120"/>
      <c r="D98" s="120"/>
      <c r="E98" s="120"/>
      <c r="F98" s="120"/>
      <c r="G98" s="120"/>
      <c r="H98" s="120"/>
      <c r="I98" s="1883">
        <f>OHJE!I5</f>
        <v>0</v>
      </c>
      <c r="J98" s="1883"/>
      <c r="K98" s="1883"/>
      <c r="L98" s="120"/>
      <c r="M98" s="120"/>
      <c r="N98" s="120"/>
      <c r="O98" s="120"/>
      <c r="P98" s="120"/>
      <c r="Q98" s="120"/>
      <c r="R98" s="120"/>
      <c r="S98" s="120"/>
      <c r="T98" s="120"/>
      <c r="U98" s="120"/>
    </row>
    <row r="99" spans="2:21" x14ac:dyDescent="0.2">
      <c r="B99" s="69" t="str">
        <f>'1. T1 INVESTOINTISUUN.'!B67</f>
        <v>YT22 Toimivan yrityksen tulossuunnitelma</v>
      </c>
      <c r="G99" s="1801" t="str">
        <f>OHJE!I21</f>
        <v>Kehittämisyhtiö Witas Oy</v>
      </c>
      <c r="H99" s="1801"/>
      <c r="I99" s="1801"/>
      <c r="J99" s="1801"/>
      <c r="K99" s="1801"/>
    </row>
    <row r="100" spans="2:21" x14ac:dyDescent="0.2">
      <c r="B100" s="1829"/>
      <c r="C100" s="1829"/>
      <c r="D100" s="1829"/>
      <c r="E100" s="1829"/>
      <c r="G100" s="489"/>
      <c r="H100" s="489"/>
      <c r="I100" s="489"/>
      <c r="J100" s="489"/>
      <c r="K100" s="489"/>
    </row>
    <row r="102" spans="2:21" x14ac:dyDescent="0.2">
      <c r="B102" s="357" t="s">
        <v>248</v>
      </c>
    </row>
    <row r="103" spans="2:21" x14ac:dyDescent="0.2">
      <c r="B103" s="45" t="s">
        <v>249</v>
      </c>
    </row>
    <row r="104" spans="2:21" x14ac:dyDescent="0.2">
      <c r="B104" s="45" t="s">
        <v>250</v>
      </c>
    </row>
  </sheetData>
  <sheetProtection algorithmName="SHA-512" hashValue="J2yAcnOZB5MTRS2V1xYPEG0HyjB5fZMdxEAJe/2PhvrhdH6QMFxmWtBPreVk9zGxPSjrv96b/YSO7f36YmT6KQ==" saltValue="NQpwMB4KETkIZ6Nw3os2mQ==" spinCount="100000" sheet="1" objects="1" scenarios="1"/>
  <mergeCells count="58">
    <mergeCell ref="C33:D33"/>
    <mergeCell ref="C34:D34"/>
    <mergeCell ref="C25:D25"/>
    <mergeCell ref="C29:D29"/>
    <mergeCell ref="C84:E84"/>
    <mergeCell ref="C80:E80"/>
    <mergeCell ref="C43:E43"/>
    <mergeCell ref="C76:E76"/>
    <mergeCell ref="C83:E83"/>
    <mergeCell ref="C59:E59"/>
    <mergeCell ref="M3:N3"/>
    <mergeCell ref="M51:U51"/>
    <mergeCell ref="M13:P13"/>
    <mergeCell ref="C46:D46"/>
    <mergeCell ref="M29:P29"/>
    <mergeCell ref="M25:P25"/>
    <mergeCell ref="M21:P21"/>
    <mergeCell ref="C28:E28"/>
    <mergeCell ref="B5:F5"/>
    <mergeCell ref="M8:U9"/>
    <mergeCell ref="C14:D14"/>
    <mergeCell ref="C19:D19"/>
    <mergeCell ref="C26:D26"/>
    <mergeCell ref="C30:D30"/>
    <mergeCell ref="C22:D22"/>
    <mergeCell ref="C13:D13"/>
    <mergeCell ref="C96:E96"/>
    <mergeCell ref="C73:E73"/>
    <mergeCell ref="B49:E49"/>
    <mergeCell ref="C77:E77"/>
    <mergeCell ref="C86:E86"/>
    <mergeCell ref="C88:E88"/>
    <mergeCell ref="B52:C52"/>
    <mergeCell ref="C64:E64"/>
    <mergeCell ref="C74:E74"/>
    <mergeCell ref="C66:E66"/>
    <mergeCell ref="C67:E67"/>
    <mergeCell ref="C72:E72"/>
    <mergeCell ref="C65:E65"/>
    <mergeCell ref="C57:E57"/>
    <mergeCell ref="C62:E62"/>
    <mergeCell ref="C94:E94"/>
    <mergeCell ref="I98:K98"/>
    <mergeCell ref="G99:K99"/>
    <mergeCell ref="B100:E100"/>
    <mergeCell ref="H6:K6"/>
    <mergeCell ref="C45:D45"/>
    <mergeCell ref="C44:D44"/>
    <mergeCell ref="D10:E10"/>
    <mergeCell ref="C41:E41"/>
    <mergeCell ref="C38:E38"/>
    <mergeCell ref="B8:C10"/>
    <mergeCell ref="C63:E63"/>
    <mergeCell ref="C82:E82"/>
    <mergeCell ref="C91:E91"/>
    <mergeCell ref="C90:E90"/>
    <mergeCell ref="C93:E93"/>
    <mergeCell ref="C87:E8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rowBreaks count="1" manualBreakCount="1">
    <brk id="50" min="1" max="19" man="1"/>
  </rowBreaks>
  <colBreaks count="1" manualBreakCount="1">
    <brk id="11" min="1" max="101" man="1"/>
  </colBreaks>
  <ignoredErrors>
    <ignoredError sqref="H15:K15 H23:I23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71">
    <tabColor rgb="FF0152A1"/>
  </sheetPr>
  <dimension ref="A1:X57"/>
  <sheetViews>
    <sheetView showGridLines="0" showZeros="0" zoomScale="110" zoomScaleNormal="110" workbookViewId="0">
      <selection activeCell="B7" sqref="B7:B9"/>
    </sheetView>
  </sheetViews>
  <sheetFormatPr defaultRowHeight="12.75" x14ac:dyDescent="0.2"/>
  <cols>
    <col min="1" max="1" width="8.28515625" customWidth="1"/>
    <col min="2" max="2" width="30.85546875" customWidth="1"/>
    <col min="3" max="3" width="11.85546875" customWidth="1"/>
    <col min="4" max="4" width="6.7109375" customWidth="1"/>
    <col min="5" max="5" width="8" customWidth="1"/>
    <col min="6" max="17" width="8.85546875" customWidth="1"/>
    <col min="18" max="18" width="6.28515625" customWidth="1"/>
  </cols>
  <sheetData>
    <row r="1" spans="1:17" ht="13.35" customHeight="1" x14ac:dyDescent="0.2">
      <c r="A1" s="350"/>
    </row>
    <row r="2" spans="1:17" ht="15" x14ac:dyDescent="0.2">
      <c r="A2" s="351"/>
      <c r="B2" s="968" t="s">
        <v>343</v>
      </c>
      <c r="C2" s="1"/>
      <c r="D2" s="1"/>
      <c r="E2" s="5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6.95" customHeight="1" x14ac:dyDescent="0.2">
      <c r="A3" s="352"/>
      <c r="B3" s="1"/>
      <c r="C3" s="1"/>
      <c r="D3" s="1"/>
      <c r="E3" s="634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45" customFormat="1" ht="16.5" customHeight="1" x14ac:dyDescent="0.2">
      <c r="A4" s="1367" t="s">
        <v>535</v>
      </c>
      <c r="B4" s="38" t="s">
        <v>537</v>
      </c>
      <c r="C4" s="38"/>
      <c r="D4" s="38"/>
      <c r="E4" s="38"/>
      <c r="F4" s="38"/>
      <c r="G4" s="38"/>
      <c r="H4" s="38" t="s">
        <v>0</v>
      </c>
      <c r="J4" s="38" t="s">
        <v>538</v>
      </c>
      <c r="K4" s="38"/>
      <c r="L4" s="38" t="s">
        <v>0</v>
      </c>
      <c r="M4" s="38"/>
      <c r="N4" s="38"/>
      <c r="O4" s="38"/>
      <c r="P4" s="38"/>
      <c r="Q4" s="38"/>
    </row>
    <row r="5" spans="1:17" x14ac:dyDescent="0.2">
      <c r="B5" s="1923">
        <f>'2. &amp; 7. T2 TULOSSUUN. '!B5</f>
        <v>0</v>
      </c>
      <c r="C5" s="1923"/>
      <c r="D5" s="1923"/>
      <c r="E5" s="37"/>
      <c r="F5" s="503"/>
      <c r="G5" s="502"/>
      <c r="H5" s="502"/>
      <c r="J5" s="503">
        <f>'1. T1 INVESTOINTISUUN.'!B9</f>
        <v>0</v>
      </c>
      <c r="K5" s="502"/>
      <c r="L5" s="502"/>
      <c r="M5" s="502"/>
      <c r="N5" s="508"/>
      <c r="O5" s="1986"/>
      <c r="P5" s="1986"/>
      <c r="Q5" s="633"/>
    </row>
    <row r="6" spans="1:17" ht="9" customHeight="1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21.75" customHeight="1" thickBot="1" x14ac:dyDescent="0.25">
      <c r="B7" s="1971" t="s">
        <v>298</v>
      </c>
      <c r="C7" s="1984" t="s">
        <v>138</v>
      </c>
      <c r="D7" s="1984" t="s">
        <v>520</v>
      </c>
      <c r="E7" s="1985" t="s">
        <v>80</v>
      </c>
      <c r="F7" s="1988" t="s">
        <v>516</v>
      </c>
      <c r="G7" s="1989"/>
      <c r="H7" s="1989"/>
      <c r="I7" s="1989"/>
      <c r="J7" s="1989"/>
      <c r="K7" s="1989"/>
      <c r="L7" s="1989"/>
      <c r="M7" s="1989"/>
      <c r="N7" s="1989"/>
      <c r="O7" s="1989"/>
      <c r="P7" s="1989"/>
      <c r="Q7" s="1990"/>
    </row>
    <row r="8" spans="1:17" ht="10.9" customHeight="1" x14ac:dyDescent="0.2">
      <c r="A8" s="46"/>
      <c r="B8" s="1972"/>
      <c r="C8" s="1974"/>
      <c r="D8" s="1974"/>
      <c r="E8" s="1977"/>
      <c r="F8" s="1942" t="s">
        <v>56</v>
      </c>
      <c r="G8" s="1943"/>
      <c r="H8" s="1987"/>
      <c r="I8" s="1942" t="s">
        <v>55</v>
      </c>
      <c r="J8" s="1943"/>
      <c r="K8" s="1987"/>
      <c r="L8" s="1942" t="s">
        <v>57</v>
      </c>
      <c r="M8" s="1943"/>
      <c r="N8" s="1987"/>
      <c r="O8" s="1942" t="s">
        <v>195</v>
      </c>
      <c r="P8" s="1943"/>
      <c r="Q8" s="1944"/>
    </row>
    <row r="9" spans="1:17" ht="10.9" customHeight="1" x14ac:dyDescent="0.2">
      <c r="B9" s="1972"/>
      <c r="C9" s="1974"/>
      <c r="D9" s="1974"/>
      <c r="E9" s="1977"/>
      <c r="F9" s="1954">
        <f>'2. &amp; 7. T2 TULOSSUUN. '!I8</f>
        <v>2027</v>
      </c>
      <c r="G9" s="1946"/>
      <c r="H9" s="1955"/>
      <c r="I9" s="1954">
        <f>'2. &amp; 7. T2 TULOSSUUN. '!K8</f>
        <v>2028</v>
      </c>
      <c r="J9" s="1946"/>
      <c r="K9" s="1955"/>
      <c r="L9" s="1954">
        <f>'2. &amp; 7. T2 TULOSSUUN. '!M8</f>
        <v>2029</v>
      </c>
      <c r="M9" s="1946"/>
      <c r="N9" s="1955"/>
      <c r="O9" s="1945">
        <f>'2. &amp; 7. T2 TULOSSUUN. '!O8</f>
        <v>2030</v>
      </c>
      <c r="P9" s="1946"/>
      <c r="Q9" s="1947"/>
    </row>
    <row r="10" spans="1:17" ht="18" customHeight="1" thickBot="1" x14ac:dyDescent="0.25">
      <c r="A10" s="46"/>
      <c r="B10" s="1280" t="s">
        <v>81</v>
      </c>
      <c r="C10" s="1975"/>
      <c r="D10" s="1975"/>
      <c r="E10" s="1978"/>
      <c r="F10" s="1948" t="s">
        <v>82</v>
      </c>
      <c r="G10" s="1949"/>
      <c r="H10" s="962" t="s">
        <v>83</v>
      </c>
      <c r="I10" s="1948" t="s">
        <v>82</v>
      </c>
      <c r="J10" s="1949"/>
      <c r="K10" s="962" t="s">
        <v>83</v>
      </c>
      <c r="L10" s="1948" t="s">
        <v>82</v>
      </c>
      <c r="M10" s="1949"/>
      <c r="N10" s="962" t="s">
        <v>83</v>
      </c>
      <c r="O10" s="1948" t="s">
        <v>82</v>
      </c>
      <c r="P10" s="1949"/>
      <c r="Q10" s="1280" t="s">
        <v>83</v>
      </c>
    </row>
    <row r="11" spans="1:17" s="46" customFormat="1" ht="12.95" customHeight="1" x14ac:dyDescent="0.2">
      <c r="A11" s="2"/>
      <c r="B11" s="1281" t="s">
        <v>0</v>
      </c>
      <c r="C11" s="520">
        <v>0</v>
      </c>
      <c r="D11" s="379">
        <v>0</v>
      </c>
      <c r="E11" s="521">
        <v>0</v>
      </c>
      <c r="F11" s="1982">
        <v>0</v>
      </c>
      <c r="G11" s="1983"/>
      <c r="H11" s="515">
        <f t="shared" ref="H11:H17" si="0">IF(C11=0,0,($C11+F11-F11/4)*$E11)</f>
        <v>0</v>
      </c>
      <c r="I11" s="1950">
        <f t="shared" ref="I11:I17" si="1">IF(D11=0,0,IF(D11&lt;2,C11,(C11)/(D11-1)))</f>
        <v>0</v>
      </c>
      <c r="J11" s="1951"/>
      <c r="K11" s="516">
        <f t="shared" ref="K11:K17" si="2">IF(I11=0,0,($C11-I11/4)*$E11)</f>
        <v>0</v>
      </c>
      <c r="L11" s="1950">
        <f t="shared" ref="L11:L17" si="3">IF(D11=0,0,IF($C11-$I11&gt;I11,I11,$C11-$I11))</f>
        <v>0</v>
      </c>
      <c r="M11" s="1951"/>
      <c r="N11" s="516">
        <f t="shared" ref="N11:N17" si="4">IF(L11=0,0,($C11-I11-L11/4)*$E11)</f>
        <v>0</v>
      </c>
      <c r="O11" s="1950" cm="1">
        <f t="array" ref="O11">IF(D11&lt;3,0,F1:Q11JOS($C11-$I11-L11&gt;L11,L11,$C11-$I11-L11))</f>
        <v>0</v>
      </c>
      <c r="P11" s="1951"/>
      <c r="Q11" s="1282">
        <f t="shared" ref="Q11:Q17" si="5">IF(O11=0,0,($C11-I11-L11-O11/4)*$E11)</f>
        <v>0</v>
      </c>
    </row>
    <row r="12" spans="1:17" s="46" customFormat="1" ht="12.95" customHeight="1" x14ac:dyDescent="0.2">
      <c r="B12" s="1283"/>
      <c r="C12" s="522"/>
      <c r="D12" s="380"/>
      <c r="E12" s="523"/>
      <c r="F12" s="1956"/>
      <c r="G12" s="1957"/>
      <c r="H12" s="517">
        <f t="shared" si="0"/>
        <v>0</v>
      </c>
      <c r="I12" s="1952">
        <f t="shared" si="1"/>
        <v>0</v>
      </c>
      <c r="J12" s="1953"/>
      <c r="K12" s="517">
        <f t="shared" si="2"/>
        <v>0</v>
      </c>
      <c r="L12" s="1952">
        <f t="shared" si="3"/>
        <v>0</v>
      </c>
      <c r="M12" s="1953"/>
      <c r="N12" s="517">
        <f t="shared" si="4"/>
        <v>0</v>
      </c>
      <c r="O12" s="1952">
        <f t="shared" ref="O12:O17" si="6">IF(D12=0,0,IF($C12-$I12-L12&gt;L12,L12,$C12-$I12-L12))</f>
        <v>0</v>
      </c>
      <c r="P12" s="1953"/>
      <c r="Q12" s="1060">
        <f t="shared" si="5"/>
        <v>0</v>
      </c>
    </row>
    <row r="13" spans="1:17" s="46" customFormat="1" ht="12.95" customHeight="1" x14ac:dyDescent="0.2">
      <c r="A13"/>
      <c r="B13" s="1283">
        <v>0</v>
      </c>
      <c r="C13" s="522">
        <v>0</v>
      </c>
      <c r="D13" s="380">
        <v>0</v>
      </c>
      <c r="E13" s="523">
        <v>0</v>
      </c>
      <c r="F13" s="1956">
        <v>0</v>
      </c>
      <c r="G13" s="1957"/>
      <c r="H13" s="517">
        <f t="shared" si="0"/>
        <v>0</v>
      </c>
      <c r="I13" s="1952">
        <f t="shared" si="1"/>
        <v>0</v>
      </c>
      <c r="J13" s="1953"/>
      <c r="K13" s="517">
        <f t="shared" si="2"/>
        <v>0</v>
      </c>
      <c r="L13" s="1952">
        <f t="shared" si="3"/>
        <v>0</v>
      </c>
      <c r="M13" s="1953"/>
      <c r="N13" s="517">
        <f t="shared" si="4"/>
        <v>0</v>
      </c>
      <c r="O13" s="1962">
        <f t="shared" si="6"/>
        <v>0</v>
      </c>
      <c r="P13" s="1963"/>
      <c r="Q13" s="1284">
        <f t="shared" si="5"/>
        <v>0</v>
      </c>
    </row>
    <row r="14" spans="1:17" s="46" customFormat="1" ht="12.95" customHeight="1" x14ac:dyDescent="0.2">
      <c r="B14" s="1283">
        <v>0</v>
      </c>
      <c r="C14" s="522">
        <v>0</v>
      </c>
      <c r="D14" s="380">
        <v>0</v>
      </c>
      <c r="E14" s="523">
        <v>0</v>
      </c>
      <c r="F14" s="1956">
        <v>0</v>
      </c>
      <c r="G14" s="1957"/>
      <c r="H14" s="517">
        <f t="shared" si="0"/>
        <v>0</v>
      </c>
      <c r="I14" s="1952">
        <f t="shared" si="1"/>
        <v>0</v>
      </c>
      <c r="J14" s="1953"/>
      <c r="K14" s="517">
        <f t="shared" si="2"/>
        <v>0</v>
      </c>
      <c r="L14" s="1952">
        <f t="shared" si="3"/>
        <v>0</v>
      </c>
      <c r="M14" s="1953"/>
      <c r="N14" s="517">
        <f t="shared" si="4"/>
        <v>0</v>
      </c>
      <c r="O14" s="1962">
        <f t="shared" si="6"/>
        <v>0</v>
      </c>
      <c r="P14" s="1963"/>
      <c r="Q14" s="1284">
        <f t="shared" si="5"/>
        <v>0</v>
      </c>
    </row>
    <row r="15" spans="1:17" s="46" customFormat="1" ht="12.95" customHeight="1" x14ac:dyDescent="0.2">
      <c r="A15"/>
      <c r="B15" s="1283">
        <v>0</v>
      </c>
      <c r="C15" s="522">
        <v>0</v>
      </c>
      <c r="D15" s="380">
        <v>0</v>
      </c>
      <c r="E15" s="523">
        <v>0</v>
      </c>
      <c r="F15" s="1956">
        <v>0</v>
      </c>
      <c r="G15" s="1957"/>
      <c r="H15" s="517">
        <f t="shared" si="0"/>
        <v>0</v>
      </c>
      <c r="I15" s="1952">
        <f t="shared" si="1"/>
        <v>0</v>
      </c>
      <c r="J15" s="1953"/>
      <c r="K15" s="517">
        <f t="shared" si="2"/>
        <v>0</v>
      </c>
      <c r="L15" s="1952">
        <f t="shared" si="3"/>
        <v>0</v>
      </c>
      <c r="M15" s="1953"/>
      <c r="N15" s="517">
        <f t="shared" si="4"/>
        <v>0</v>
      </c>
      <c r="O15" s="1952">
        <f t="shared" si="6"/>
        <v>0</v>
      </c>
      <c r="P15" s="1953"/>
      <c r="Q15" s="1060">
        <f t="shared" si="5"/>
        <v>0</v>
      </c>
    </row>
    <row r="16" spans="1:17" s="46" customFormat="1" ht="12.95" customHeight="1" x14ac:dyDescent="0.2">
      <c r="B16" s="1283">
        <v>0</v>
      </c>
      <c r="C16" s="522">
        <v>0</v>
      </c>
      <c r="D16" s="380">
        <v>0</v>
      </c>
      <c r="E16" s="523">
        <v>0</v>
      </c>
      <c r="F16" s="1956">
        <v>0</v>
      </c>
      <c r="G16" s="1957"/>
      <c r="H16" s="517">
        <f t="shared" si="0"/>
        <v>0</v>
      </c>
      <c r="I16" s="1952">
        <f t="shared" si="1"/>
        <v>0</v>
      </c>
      <c r="J16" s="1953"/>
      <c r="K16" s="517">
        <f t="shared" si="2"/>
        <v>0</v>
      </c>
      <c r="L16" s="1952">
        <f t="shared" si="3"/>
        <v>0</v>
      </c>
      <c r="M16" s="1953"/>
      <c r="N16" s="517">
        <f t="shared" si="4"/>
        <v>0</v>
      </c>
      <c r="O16" s="1952">
        <f t="shared" si="6"/>
        <v>0</v>
      </c>
      <c r="P16" s="1953"/>
      <c r="Q16" s="1060">
        <f t="shared" si="5"/>
        <v>0</v>
      </c>
    </row>
    <row r="17" spans="1:19" s="46" customFormat="1" ht="12.95" customHeight="1" thickBot="1" x14ac:dyDescent="0.25">
      <c r="A17" s="2"/>
      <c r="B17" s="1285" t="s">
        <v>466</v>
      </c>
      <c r="C17" s="524">
        <v>0</v>
      </c>
      <c r="D17" s="381">
        <v>0</v>
      </c>
      <c r="E17" s="525">
        <v>0</v>
      </c>
      <c r="F17" s="1980">
        <v>0</v>
      </c>
      <c r="G17" s="1981"/>
      <c r="H17" s="517">
        <f t="shared" si="0"/>
        <v>0</v>
      </c>
      <c r="I17" s="1938">
        <f t="shared" si="1"/>
        <v>0</v>
      </c>
      <c r="J17" s="1939"/>
      <c r="K17" s="518">
        <f t="shared" si="2"/>
        <v>0</v>
      </c>
      <c r="L17" s="1938">
        <f t="shared" si="3"/>
        <v>0</v>
      </c>
      <c r="M17" s="1939"/>
      <c r="N17" s="518">
        <f t="shared" si="4"/>
        <v>0</v>
      </c>
      <c r="O17" s="1938">
        <f t="shared" si="6"/>
        <v>0</v>
      </c>
      <c r="P17" s="1939"/>
      <c r="Q17" s="1286">
        <f t="shared" si="5"/>
        <v>0</v>
      </c>
      <c r="R17" s="486" t="str">
        <f>IF(C18='3. T3 TASE '!G66,"","TARKISTA, ETTÄ SOLU C18 = 'T3 TASE'!G68!")</f>
        <v/>
      </c>
    </row>
    <row r="18" spans="1:19" s="46" customFormat="1" ht="12.95" customHeight="1" thickTop="1" thickBot="1" x14ac:dyDescent="0.25">
      <c r="A18"/>
      <c r="B18" s="1460" t="s">
        <v>88</v>
      </c>
      <c r="C18" s="1242">
        <f>SUM(C11:C17)</f>
        <v>0</v>
      </c>
      <c r="D18" s="526"/>
      <c r="E18" s="527"/>
      <c r="F18" s="1940">
        <f>SUM(F11:F17)</f>
        <v>0</v>
      </c>
      <c r="G18" s="1941"/>
      <c r="H18" s="519">
        <f>SUM(H11:H17)</f>
        <v>0</v>
      </c>
      <c r="I18" s="1940">
        <f>SUM(I11:I17)</f>
        <v>0</v>
      </c>
      <c r="J18" s="1941"/>
      <c r="K18" s="519">
        <f>SUM(K11:K17)</f>
        <v>0</v>
      </c>
      <c r="L18" s="1940">
        <f>SUM(L11:L17)</f>
        <v>0</v>
      </c>
      <c r="M18" s="1941"/>
      <c r="N18" s="519">
        <f>SUM(N11:N17)</f>
        <v>0</v>
      </c>
      <c r="O18" s="1940">
        <f>SUM(O11:O17)</f>
        <v>0</v>
      </c>
      <c r="P18" s="1941"/>
      <c r="Q18" s="1242">
        <f>SUM(Q11:Q17)</f>
        <v>0</v>
      </c>
      <c r="R18" s="486" t="str">
        <f>IF(F18='3. T3 TASE '!G75,"","TARKISTA, ETTÄ SOLU F18 = 'T3 TASE'!G77!")</f>
        <v/>
      </c>
    </row>
    <row r="19" spans="1:19" s="46" customFormat="1" ht="12.95" customHeight="1" thickBot="1" x14ac:dyDescent="0.25">
      <c r="A19"/>
      <c r="B19" s="1461" t="s">
        <v>170</v>
      </c>
      <c r="C19" s="654">
        <f>'3. T3 TASE '!G71</f>
        <v>0</v>
      </c>
      <c r="D19" s="490">
        <v>0</v>
      </c>
      <c r="E19" s="638">
        <v>0</v>
      </c>
      <c r="F19" s="1979">
        <f>'3. T3 TASE '!G81</f>
        <v>0</v>
      </c>
      <c r="G19" s="1959"/>
      <c r="H19" s="587">
        <f>'AT2 Lainat,sotum., alv-osto'!P40</f>
        <v>0</v>
      </c>
      <c r="I19" s="1958">
        <f>'AT2 Lainat,sotum., alv-osto'!S40</f>
        <v>0</v>
      </c>
      <c r="J19" s="1959"/>
      <c r="K19" s="587">
        <f>'AT2 Lainat,sotum., alv-osto'!V40</f>
        <v>0</v>
      </c>
      <c r="L19" s="1958">
        <f>'AT2 Lainat,sotum., alv-osto'!Y40</f>
        <v>0</v>
      </c>
      <c r="M19" s="1959"/>
      <c r="N19" s="587">
        <f>'AT2 Lainat,sotum., alv-osto'!AB40</f>
        <v>0</v>
      </c>
      <c r="O19" s="1958">
        <f>'AT2 Lainat,sotum., alv-osto'!AE40</f>
        <v>0</v>
      </c>
      <c r="P19" s="1959"/>
      <c r="Q19" s="654">
        <f>'AT2 Lainat,sotum., alv-osto'!AH40</f>
        <v>0</v>
      </c>
      <c r="R19" s="486" t="s">
        <v>0</v>
      </c>
    </row>
    <row r="20" spans="1:19" s="46" customFormat="1" ht="15" customHeight="1" x14ac:dyDescent="0.2">
      <c r="A20"/>
      <c r="B20" s="1966" t="s">
        <v>590</v>
      </c>
      <c r="C20" s="1968" t="s">
        <v>137</v>
      </c>
      <c r="D20" s="1973" t="s">
        <v>758</v>
      </c>
      <c r="E20" s="1976" t="s">
        <v>80</v>
      </c>
      <c r="F20" s="1964" t="str">
        <f>'1. T1 INVESTOINTISUUN.'!D15</f>
        <v>Ennuste 1</v>
      </c>
      <c r="G20" s="1960"/>
      <c r="H20" s="1960"/>
      <c r="I20" s="1964" t="str">
        <f>I8</f>
        <v>Ennuste 2</v>
      </c>
      <c r="J20" s="1960"/>
      <c r="K20" s="1960"/>
      <c r="L20" s="1964" t="str">
        <f>L8</f>
        <v>Ennuste 3</v>
      </c>
      <c r="M20" s="1960"/>
      <c r="N20" s="1965"/>
      <c r="O20" s="1960" t="s">
        <v>195</v>
      </c>
      <c r="P20" s="1960"/>
      <c r="Q20" s="1961"/>
    </row>
    <row r="21" spans="1:19" s="46" customFormat="1" ht="11.65" customHeight="1" x14ac:dyDescent="0.2">
      <c r="B21" s="1967"/>
      <c r="C21" s="1969"/>
      <c r="D21" s="1974"/>
      <c r="E21" s="1977"/>
      <c r="F21" s="1954">
        <f>F9</f>
        <v>2027</v>
      </c>
      <c r="G21" s="1946"/>
      <c r="H21" s="1946"/>
      <c r="I21" s="1954">
        <f>I9</f>
        <v>2028</v>
      </c>
      <c r="J21" s="1946"/>
      <c r="K21" s="1946"/>
      <c r="L21" s="1954">
        <f>L9</f>
        <v>2029</v>
      </c>
      <c r="M21" s="1946"/>
      <c r="N21" s="1955"/>
      <c r="O21" s="1946">
        <f>O9</f>
        <v>2030</v>
      </c>
      <c r="P21" s="1946"/>
      <c r="Q21" s="1947"/>
    </row>
    <row r="22" spans="1:19" s="46" customFormat="1" ht="18" customHeight="1" thickBot="1" x14ac:dyDescent="0.25">
      <c r="A22"/>
      <c r="B22" s="1280" t="s">
        <v>81</v>
      </c>
      <c r="C22" s="1970"/>
      <c r="D22" s="1975"/>
      <c r="E22" s="1978"/>
      <c r="F22" s="478" t="s">
        <v>86</v>
      </c>
      <c r="G22" s="963" t="s">
        <v>82</v>
      </c>
      <c r="H22" s="962" t="s">
        <v>83</v>
      </c>
      <c r="I22" s="478" t="s">
        <v>86</v>
      </c>
      <c r="J22" s="963" t="s">
        <v>82</v>
      </c>
      <c r="K22" s="962" t="s">
        <v>83</v>
      </c>
      <c r="L22" s="478" t="s">
        <v>86</v>
      </c>
      <c r="M22" s="963" t="s">
        <v>82</v>
      </c>
      <c r="N22" s="962" t="s">
        <v>83</v>
      </c>
      <c r="O22" s="478" t="s">
        <v>86</v>
      </c>
      <c r="P22" s="963" t="s">
        <v>82</v>
      </c>
      <c r="Q22" s="1280" t="s">
        <v>83</v>
      </c>
    </row>
    <row r="23" spans="1:19" s="46" customFormat="1" ht="12.95" customHeight="1" x14ac:dyDescent="0.2">
      <c r="B23" s="1287" t="s">
        <v>352</v>
      </c>
      <c r="C23" s="1109"/>
      <c r="D23" s="1110"/>
      <c r="E23" s="1110"/>
      <c r="F23" s="1111"/>
      <c r="G23" s="1111"/>
      <c r="H23" s="1111"/>
      <c r="I23" s="1111"/>
      <c r="J23" s="1111"/>
      <c r="K23" s="1111"/>
      <c r="L23" s="1111"/>
      <c r="M23" s="1111"/>
      <c r="N23" s="1111"/>
      <c r="O23" s="1111"/>
      <c r="P23" s="1111"/>
      <c r="Q23" s="1288"/>
    </row>
    <row r="24" spans="1:19" s="46" customFormat="1" ht="12.95" customHeight="1" x14ac:dyDescent="0.2">
      <c r="B24" s="1281" t="s">
        <v>465</v>
      </c>
      <c r="C24" s="520">
        <v>0</v>
      </c>
      <c r="D24" s="382">
        <v>0</v>
      </c>
      <c r="E24" s="589">
        <v>0</v>
      </c>
      <c r="F24" s="528">
        <f>C24</f>
        <v>0</v>
      </c>
      <c r="G24" s="529">
        <f>IF($D24=0,0,$C24/$D24)</f>
        <v>0</v>
      </c>
      <c r="H24" s="530">
        <f>'AT2 Lainat,sotum., alv-osto'!P16</f>
        <v>0</v>
      </c>
      <c r="I24" s="531">
        <v>0</v>
      </c>
      <c r="J24" s="529">
        <f>G24</f>
        <v>0</v>
      </c>
      <c r="K24" s="530">
        <f>'AT2 Lainat,sotum., alv-osto'!V16</f>
        <v>0</v>
      </c>
      <c r="L24" s="531">
        <v>0</v>
      </c>
      <c r="M24" s="529">
        <f>IF($D24&lt;3,0,J24)</f>
        <v>0</v>
      </c>
      <c r="N24" s="532">
        <f>'AT2 Lainat,sotum., alv-osto'!AB16</f>
        <v>0</v>
      </c>
      <c r="O24" s="531">
        <v>0</v>
      </c>
      <c r="P24" s="529">
        <f>IF($D24&lt;4,0,M24)</f>
        <v>0</v>
      </c>
      <c r="Q24" s="683">
        <f>'AT2 Lainat,sotum., alv-osto'!AH16</f>
        <v>0</v>
      </c>
      <c r="R24" s="1389"/>
      <c r="S24" s="90"/>
    </row>
    <row r="25" spans="1:19" s="46" customFormat="1" ht="12.95" customHeight="1" x14ac:dyDescent="0.2">
      <c r="A25" s="2"/>
      <c r="B25" s="1281">
        <v>0</v>
      </c>
      <c r="C25" s="520">
        <v>0</v>
      </c>
      <c r="D25" s="382">
        <v>0</v>
      </c>
      <c r="E25" s="589">
        <v>0</v>
      </c>
      <c r="F25" s="528">
        <f>C25</f>
        <v>0</v>
      </c>
      <c r="G25" s="529">
        <f>IF($D25=0,0,$C25/$D25)</f>
        <v>0</v>
      </c>
      <c r="H25" s="530">
        <f>'AT2 Lainat,sotum., alv-osto'!P17</f>
        <v>0</v>
      </c>
      <c r="I25" s="531"/>
      <c r="J25" s="529">
        <f>G25</f>
        <v>0</v>
      </c>
      <c r="K25" s="530">
        <f>'AT2 Lainat,sotum., alv-osto'!V17</f>
        <v>0</v>
      </c>
      <c r="L25" s="531"/>
      <c r="M25" s="529">
        <f>IF($D25&lt;3,0,J25)</f>
        <v>0</v>
      </c>
      <c r="N25" s="532">
        <f>'AT2 Lainat,sotum., alv-osto'!AB17</f>
        <v>0</v>
      </c>
      <c r="O25" s="531"/>
      <c r="P25" s="529">
        <f>IF($D25&lt;4,0,M25)</f>
        <v>0</v>
      </c>
      <c r="Q25" s="683">
        <f>'AT2 Lainat,sotum., alv-osto'!AH17</f>
        <v>0</v>
      </c>
      <c r="R25" s="1389"/>
      <c r="S25" s="90"/>
    </row>
    <row r="26" spans="1:19" s="46" customFormat="1" ht="12.95" customHeight="1" thickBot="1" x14ac:dyDescent="0.25">
      <c r="B26" s="1289">
        <v>0</v>
      </c>
      <c r="C26" s="590">
        <v>0</v>
      </c>
      <c r="D26" s="488">
        <v>0</v>
      </c>
      <c r="E26" s="591">
        <v>0</v>
      </c>
      <c r="F26" s="533">
        <f>C26</f>
        <v>0</v>
      </c>
      <c r="G26" s="529">
        <f>IF($D26=0,0,$C26/$D26)</f>
        <v>0</v>
      </c>
      <c r="H26" s="534">
        <f>'AT2 Lainat,sotum., alv-osto'!P18</f>
        <v>0</v>
      </c>
      <c r="I26" s="535"/>
      <c r="J26" s="1290">
        <f>G26</f>
        <v>0</v>
      </c>
      <c r="K26" s="534">
        <f>'AT2 Lainat,sotum., alv-osto'!V18</f>
        <v>0</v>
      </c>
      <c r="L26" s="535"/>
      <c r="M26" s="529">
        <f>IF($D26&lt;3,0,J26)</f>
        <v>0</v>
      </c>
      <c r="N26" s="516">
        <f>'AT2 Lainat,sotum., alv-osto'!AB18</f>
        <v>0</v>
      </c>
      <c r="O26" s="535"/>
      <c r="P26" s="529">
        <f>IF($D26&lt;4,0,M26)</f>
        <v>0</v>
      </c>
      <c r="Q26" s="1291">
        <f>'AT2 Lainat,sotum., alv-osto'!AH18</f>
        <v>0</v>
      </c>
      <c r="R26" s="1389"/>
      <c r="S26" s="90"/>
    </row>
    <row r="27" spans="1:19" s="46" customFormat="1" ht="12.95" customHeight="1" x14ac:dyDescent="0.2">
      <c r="A27"/>
      <c r="B27" s="1287" t="s">
        <v>353</v>
      </c>
      <c r="C27" s="1112"/>
      <c r="D27" s="1113"/>
      <c r="E27" s="1114"/>
      <c r="F27" s="1112">
        <v>0</v>
      </c>
      <c r="G27" s="1112"/>
      <c r="H27" s="1115"/>
      <c r="I27" s="1115"/>
      <c r="J27" s="1112"/>
      <c r="K27" s="1115"/>
      <c r="L27" s="1115"/>
      <c r="M27" s="1112"/>
      <c r="N27" s="1115"/>
      <c r="O27" s="1115"/>
      <c r="P27" s="1112"/>
      <c r="Q27" s="1292"/>
      <c r="S27" s="90"/>
    </row>
    <row r="28" spans="1:19" s="46" customFormat="1" ht="12.95" customHeight="1" x14ac:dyDescent="0.2">
      <c r="B28" s="1293" t="s">
        <v>465</v>
      </c>
      <c r="C28" s="520">
        <v>0</v>
      </c>
      <c r="D28" s="382">
        <v>0</v>
      </c>
      <c r="E28" s="589">
        <v>0</v>
      </c>
      <c r="F28" s="531"/>
      <c r="G28" s="536"/>
      <c r="H28" s="530"/>
      <c r="I28" s="528">
        <f>C28</f>
        <v>0</v>
      </c>
      <c r="J28" s="529">
        <f>IF($D28=0,0,$C28/$D28)</f>
        <v>0</v>
      </c>
      <c r="K28" s="530">
        <f>'AT2 Lainat,sotum., alv-osto'!V19</f>
        <v>0</v>
      </c>
      <c r="L28" s="531"/>
      <c r="M28" s="529">
        <f t="shared" ref="M28:M30" si="7">J28</f>
        <v>0</v>
      </c>
      <c r="N28" s="532">
        <f>'AT2 Lainat,sotum., alv-osto'!AB19</f>
        <v>0</v>
      </c>
      <c r="O28" s="531"/>
      <c r="P28" s="529">
        <f>IF($D28&lt;3,0,M28)</f>
        <v>0</v>
      </c>
      <c r="Q28" s="683">
        <f>'AT2 Lainat,sotum., alv-osto'!AH19</f>
        <v>0</v>
      </c>
      <c r="R28" s="1389"/>
      <c r="S28" s="90"/>
    </row>
    <row r="29" spans="1:19" s="46" customFormat="1" ht="12.95" customHeight="1" x14ac:dyDescent="0.2">
      <c r="A29"/>
      <c r="B29" s="1293">
        <v>0</v>
      </c>
      <c r="C29" s="520">
        <v>0</v>
      </c>
      <c r="D29" s="382">
        <v>0</v>
      </c>
      <c r="E29" s="589">
        <v>0</v>
      </c>
      <c r="F29" s="531"/>
      <c r="G29" s="536"/>
      <c r="H29" s="530"/>
      <c r="I29" s="528">
        <f>C29</f>
        <v>0</v>
      </c>
      <c r="J29" s="529">
        <f>IF($D29=0,0,$C29/$D29)</f>
        <v>0</v>
      </c>
      <c r="K29" s="530">
        <f>'AT2 Lainat,sotum., alv-osto'!V20</f>
        <v>0</v>
      </c>
      <c r="L29" s="531"/>
      <c r="M29" s="529">
        <f t="shared" si="7"/>
        <v>0</v>
      </c>
      <c r="N29" s="532">
        <f>'AT2 Lainat,sotum., alv-osto'!AB20</f>
        <v>0</v>
      </c>
      <c r="O29" s="531"/>
      <c r="P29" s="529">
        <f t="shared" ref="P29:P34" si="8">M29</f>
        <v>0</v>
      </c>
      <c r="Q29" s="683">
        <f>'AT2 Lainat,sotum., alv-osto'!AH20</f>
        <v>0</v>
      </c>
      <c r="R29" s="1389"/>
      <c r="S29" s="90"/>
    </row>
    <row r="30" spans="1:19" s="46" customFormat="1" ht="12.95" customHeight="1" thickBot="1" x14ac:dyDescent="0.25">
      <c r="B30" s="1294">
        <v>0</v>
      </c>
      <c r="C30" s="590">
        <v>0</v>
      </c>
      <c r="D30" s="488">
        <v>0</v>
      </c>
      <c r="E30" s="591">
        <v>0</v>
      </c>
      <c r="F30" s="535"/>
      <c r="G30" s="1295"/>
      <c r="H30" s="534"/>
      <c r="I30" s="533">
        <f>C30</f>
        <v>0</v>
      </c>
      <c r="J30" s="529">
        <f>IF($D30=0,0,$C30/$D30)</f>
        <v>0</v>
      </c>
      <c r="K30" s="534">
        <f>'AT2 Lainat,sotum., alv-osto'!V21</f>
        <v>0</v>
      </c>
      <c r="L30" s="535"/>
      <c r="M30" s="1290">
        <f t="shared" si="7"/>
        <v>0</v>
      </c>
      <c r="N30" s="516">
        <f>'AT2 Lainat,sotum., alv-osto'!AB21</f>
        <v>0</v>
      </c>
      <c r="O30" s="535"/>
      <c r="P30" s="1290">
        <f t="shared" si="8"/>
        <v>0</v>
      </c>
      <c r="Q30" s="1291">
        <f>'AT2 Lainat,sotum., alv-osto'!AH21</f>
        <v>0</v>
      </c>
      <c r="R30" s="1389"/>
      <c r="S30" s="90"/>
    </row>
    <row r="31" spans="1:19" s="46" customFormat="1" ht="12.95" customHeight="1" x14ac:dyDescent="0.2">
      <c r="A31" s="2"/>
      <c r="B31" s="1396" t="s">
        <v>502</v>
      </c>
      <c r="C31" s="1112"/>
      <c r="D31" s="1113"/>
      <c r="E31" s="1114"/>
      <c r="F31" s="1115"/>
      <c r="G31" s="1115"/>
      <c r="H31" s="1115"/>
      <c r="I31" s="1112">
        <v>0</v>
      </c>
      <c r="J31" s="1112"/>
      <c r="K31" s="1115"/>
      <c r="L31" s="1115"/>
      <c r="M31" s="1112"/>
      <c r="N31" s="1115"/>
      <c r="O31" s="1115"/>
      <c r="P31" s="1112"/>
      <c r="Q31" s="1292"/>
      <c r="S31" s="90"/>
    </row>
    <row r="32" spans="1:19" s="46" customFormat="1" ht="12.95" customHeight="1" x14ac:dyDescent="0.2">
      <c r="B32" s="1293" t="s">
        <v>465</v>
      </c>
      <c r="C32" s="520">
        <v>0</v>
      </c>
      <c r="D32" s="382">
        <v>0</v>
      </c>
      <c r="E32" s="589">
        <v>0</v>
      </c>
      <c r="F32" s="531"/>
      <c r="G32" s="536"/>
      <c r="H32" s="530"/>
      <c r="I32" s="531"/>
      <c r="J32" s="536"/>
      <c r="K32" s="530"/>
      <c r="L32" s="528">
        <f>C32</f>
        <v>0</v>
      </c>
      <c r="M32" s="529">
        <f>IF($D32=0,0,$C32/$D32)</f>
        <v>0</v>
      </c>
      <c r="N32" s="532">
        <f>'AT2 Lainat,sotum., alv-osto'!AB22</f>
        <v>0</v>
      </c>
      <c r="O32" s="531"/>
      <c r="P32" s="529">
        <f t="shared" si="8"/>
        <v>0</v>
      </c>
      <c r="Q32" s="683">
        <f>'AT2 Lainat,sotum., alv-osto'!AH22</f>
        <v>0</v>
      </c>
      <c r="R32" s="1389"/>
      <c r="S32" s="90"/>
    </row>
    <row r="33" spans="1:24" s="46" customFormat="1" ht="12.95" customHeight="1" x14ac:dyDescent="0.2">
      <c r="A33"/>
      <c r="B33" s="1281">
        <v>0</v>
      </c>
      <c r="C33" s="520">
        <v>0</v>
      </c>
      <c r="D33" s="382">
        <v>0</v>
      </c>
      <c r="E33" s="589">
        <v>0</v>
      </c>
      <c r="F33" s="531"/>
      <c r="G33" s="536"/>
      <c r="H33" s="530"/>
      <c r="I33" s="531"/>
      <c r="J33" s="536"/>
      <c r="K33" s="530"/>
      <c r="L33" s="528">
        <f>C33</f>
        <v>0</v>
      </c>
      <c r="M33" s="529">
        <f>IF($D33=0,0,$C33/$D33)</f>
        <v>0</v>
      </c>
      <c r="N33" s="532">
        <f>'AT2 Lainat,sotum., alv-osto'!AB23</f>
        <v>0</v>
      </c>
      <c r="O33" s="531"/>
      <c r="P33" s="529">
        <f t="shared" si="8"/>
        <v>0</v>
      </c>
      <c r="Q33" s="683">
        <f>'AT2 Lainat,sotum., alv-osto'!AH23</f>
        <v>0</v>
      </c>
      <c r="R33" s="1389"/>
      <c r="S33" s="90"/>
    </row>
    <row r="34" spans="1:24" s="46" customFormat="1" ht="12.95" customHeight="1" thickBot="1" x14ac:dyDescent="0.25">
      <c r="B34" s="1296">
        <v>0</v>
      </c>
      <c r="C34" s="592">
        <v>0</v>
      </c>
      <c r="D34" s="491">
        <v>0</v>
      </c>
      <c r="E34" s="593">
        <v>0</v>
      </c>
      <c r="F34" s="537">
        <v>0</v>
      </c>
      <c r="G34" s="538"/>
      <c r="H34" s="539"/>
      <c r="I34" s="537"/>
      <c r="J34" s="540"/>
      <c r="K34" s="541"/>
      <c r="L34" s="542">
        <f>C34</f>
        <v>0</v>
      </c>
      <c r="M34" s="592">
        <f>IF($D34=0,0,$C34/$D34)</f>
        <v>0</v>
      </c>
      <c r="N34" s="544">
        <f>'AT2 Lainat,sotum., alv-osto'!AB24</f>
        <v>0</v>
      </c>
      <c r="O34" s="537">
        <v>0</v>
      </c>
      <c r="P34" s="543">
        <f t="shared" si="8"/>
        <v>0</v>
      </c>
      <c r="Q34" s="688">
        <f>'AT2 Lainat,sotum., alv-osto'!AH24</f>
        <v>0</v>
      </c>
      <c r="R34" s="1389"/>
      <c r="S34" s="90"/>
    </row>
    <row r="35" spans="1:24" s="46" customFormat="1" ht="12.95" customHeight="1" x14ac:dyDescent="0.2">
      <c r="A35"/>
      <c r="B35" s="1397" t="s">
        <v>503</v>
      </c>
      <c r="C35" s="1116"/>
      <c r="D35" s="1117"/>
      <c r="E35" s="1118"/>
      <c r="F35" s="1119"/>
      <c r="G35" s="1120"/>
      <c r="H35" s="1121"/>
      <c r="I35" s="1119"/>
      <c r="J35" s="1122"/>
      <c r="K35" s="1123"/>
      <c r="L35" s="1124"/>
      <c r="M35" s="1125"/>
      <c r="N35" s="1126"/>
      <c r="O35" s="1119"/>
      <c r="P35" s="1125"/>
      <c r="Q35" s="1297"/>
      <c r="S35" s="90"/>
    </row>
    <row r="36" spans="1:24" s="46" customFormat="1" ht="12.95" customHeight="1" x14ac:dyDescent="0.2">
      <c r="B36" s="1293" t="s">
        <v>465</v>
      </c>
      <c r="C36" s="520">
        <v>0</v>
      </c>
      <c r="D36" s="382">
        <v>0</v>
      </c>
      <c r="E36" s="594">
        <v>0</v>
      </c>
      <c r="F36" s="531">
        <v>0</v>
      </c>
      <c r="G36" s="546"/>
      <c r="H36" s="547">
        <v>0</v>
      </c>
      <c r="I36" s="531">
        <v>0</v>
      </c>
      <c r="J36" s="546">
        <v>0</v>
      </c>
      <c r="K36" s="530"/>
      <c r="L36" s="531">
        <v>0</v>
      </c>
      <c r="M36" s="536"/>
      <c r="N36" s="532">
        <v>0</v>
      </c>
      <c r="O36" s="548">
        <f>C36</f>
        <v>0</v>
      </c>
      <c r="P36" s="529">
        <f>IF($D36=0,0,$C36/$D36)</f>
        <v>0</v>
      </c>
      <c r="Q36" s="683">
        <f>'AT2 Lainat,sotum., alv-osto'!AH25</f>
        <v>0</v>
      </c>
      <c r="R36" s="1389"/>
      <c r="S36" s="90"/>
    </row>
    <row r="37" spans="1:24" s="46" customFormat="1" ht="12.95" customHeight="1" x14ac:dyDescent="0.2">
      <c r="A37" s="2"/>
      <c r="B37" s="1293">
        <v>0</v>
      </c>
      <c r="C37" s="520">
        <v>0</v>
      </c>
      <c r="D37" s="382">
        <v>0</v>
      </c>
      <c r="E37" s="589">
        <v>0</v>
      </c>
      <c r="F37" s="535"/>
      <c r="G37" s="1298"/>
      <c r="H37" s="549"/>
      <c r="I37" s="535"/>
      <c r="J37" s="1298"/>
      <c r="K37" s="534"/>
      <c r="L37" s="535"/>
      <c r="M37" s="1295"/>
      <c r="N37" s="516"/>
      <c r="O37" s="548">
        <f>C37</f>
        <v>0</v>
      </c>
      <c r="P37" s="529">
        <f>IF($D37=0,0,$C37/$D37)</f>
        <v>0</v>
      </c>
      <c r="Q37" s="683">
        <f>'AT2 Lainat,sotum., alv-osto'!AH26</f>
        <v>0</v>
      </c>
      <c r="R37" s="1389"/>
      <c r="S37" s="90"/>
    </row>
    <row r="38" spans="1:24" s="46" customFormat="1" ht="12.95" customHeight="1" thickBot="1" x14ac:dyDescent="0.25">
      <c r="B38" s="1299">
        <v>0</v>
      </c>
      <c r="C38" s="524">
        <v>0</v>
      </c>
      <c r="D38" s="384">
        <v>0</v>
      </c>
      <c r="E38" s="595">
        <v>0</v>
      </c>
      <c r="F38" s="552">
        <v>0</v>
      </c>
      <c r="G38" s="553"/>
      <c r="H38" s="554"/>
      <c r="I38" s="552">
        <v>0</v>
      </c>
      <c r="J38" s="553"/>
      <c r="K38" s="555"/>
      <c r="L38" s="552">
        <v>0</v>
      </c>
      <c r="M38" s="553"/>
      <c r="N38" s="518"/>
      <c r="O38" s="556">
        <f>C38</f>
        <v>0</v>
      </c>
      <c r="P38" s="524">
        <f>IF($D38=0,0,$C38/$D38)</f>
        <v>0</v>
      </c>
      <c r="Q38" s="1286">
        <f>'AT2 Lainat,sotum., alv-osto'!AH27</f>
        <v>0</v>
      </c>
      <c r="R38" s="1389"/>
      <c r="S38" s="90"/>
    </row>
    <row r="39" spans="1:24" s="46" customFormat="1" ht="12.95" customHeight="1" thickTop="1" thickBot="1" x14ac:dyDescent="0.25">
      <c r="A39"/>
      <c r="B39" s="1300" t="s">
        <v>385</v>
      </c>
      <c r="C39" s="558">
        <f>SUM(C24:C38)</f>
        <v>0</v>
      </c>
      <c r="D39" s="492"/>
      <c r="E39" s="1018">
        <v>0</v>
      </c>
      <c r="F39" s="557">
        <f t="shared" ref="F39:N39" si="9">SUM(F24:F38)</f>
        <v>0</v>
      </c>
      <c r="G39" s="558">
        <f t="shared" si="9"/>
        <v>0</v>
      </c>
      <c r="H39" s="560">
        <f t="shared" si="9"/>
        <v>0</v>
      </c>
      <c r="I39" s="557">
        <f t="shared" si="9"/>
        <v>0</v>
      </c>
      <c r="J39" s="560">
        <f t="shared" si="9"/>
        <v>0</v>
      </c>
      <c r="K39" s="559">
        <f>SUM(K24:K38)</f>
        <v>0</v>
      </c>
      <c r="L39" s="557">
        <f t="shared" si="9"/>
        <v>0</v>
      </c>
      <c r="M39" s="558">
        <f t="shared" si="9"/>
        <v>0</v>
      </c>
      <c r="N39" s="559">
        <f t="shared" si="9"/>
        <v>0</v>
      </c>
      <c r="O39" s="561">
        <f>SUM(O24:O38)</f>
        <v>0</v>
      </c>
      <c r="P39" s="558">
        <f>SUM(P24:P38)</f>
        <v>0</v>
      </c>
      <c r="Q39" s="558">
        <f>SUM(Q24:Q38)</f>
        <v>0</v>
      </c>
    </row>
    <row r="40" spans="1:24" s="46" customFormat="1" ht="18" customHeight="1" thickBot="1" x14ac:dyDescent="0.25">
      <c r="B40" s="1301" t="s">
        <v>432</v>
      </c>
      <c r="C40" s="1127"/>
      <c r="D40" s="1128"/>
      <c r="E40" s="1129"/>
      <c r="F40" s="1130" t="s">
        <v>86</v>
      </c>
      <c r="G40" s="1131" t="s">
        <v>82</v>
      </c>
      <c r="H40" s="1132" t="s">
        <v>83</v>
      </c>
      <c r="I40" s="1130" t="s">
        <v>86</v>
      </c>
      <c r="J40" s="1131" t="s">
        <v>82</v>
      </c>
      <c r="K40" s="1132" t="s">
        <v>83</v>
      </c>
      <c r="L40" s="1130" t="s">
        <v>86</v>
      </c>
      <c r="M40" s="1131" t="s">
        <v>82</v>
      </c>
      <c r="N40" s="1132" t="s">
        <v>83</v>
      </c>
      <c r="O40" s="1130" t="s">
        <v>86</v>
      </c>
      <c r="P40" s="1131" t="s">
        <v>82</v>
      </c>
      <c r="Q40" s="1302" t="s">
        <v>83</v>
      </c>
    </row>
    <row r="41" spans="1:24" s="46" customFormat="1" ht="12.95" customHeight="1" x14ac:dyDescent="0.2">
      <c r="A41"/>
      <c r="B41" s="1281" t="s">
        <v>500</v>
      </c>
      <c r="C41" s="520">
        <v>0</v>
      </c>
      <c r="D41" s="382">
        <v>0</v>
      </c>
      <c r="E41" s="589">
        <v>0</v>
      </c>
      <c r="F41" s="528">
        <f>C41</f>
        <v>0</v>
      </c>
      <c r="G41" s="562">
        <f>'AT2 Lainat,sotum., alv-osto'!M44</f>
        <v>0</v>
      </c>
      <c r="H41" s="530">
        <f>'AT2 Lainat,sotum., alv-osto'!P44</f>
        <v>0</v>
      </c>
      <c r="I41" s="1398"/>
      <c r="J41" s="562">
        <f>'AT2 Lainat,sotum., alv-osto'!S44</f>
        <v>0</v>
      </c>
      <c r="K41" s="563">
        <f>'AT2 Lainat,sotum., alv-osto'!V44</f>
        <v>0</v>
      </c>
      <c r="L41" s="564"/>
      <c r="M41" s="562">
        <f>'AT2 Lainat,sotum., alv-osto'!Y44</f>
        <v>0</v>
      </c>
      <c r="N41" s="532">
        <f>'AT2 Lainat,sotum., alv-osto'!AB44</f>
        <v>0</v>
      </c>
      <c r="O41" s="565"/>
      <c r="P41" s="562">
        <f>'AT2 Lainat,sotum., alv-osto'!AE44</f>
        <v>0</v>
      </c>
      <c r="Q41" s="683">
        <f>'AT2 Lainat,sotum., alv-osto'!AH44</f>
        <v>0</v>
      </c>
      <c r="S41" s="90"/>
    </row>
    <row r="42" spans="1:24" s="46" customFormat="1" ht="12.95" customHeight="1" x14ac:dyDescent="0.2">
      <c r="B42" s="1283" t="s">
        <v>499</v>
      </c>
      <c r="C42" s="522">
        <v>0</v>
      </c>
      <c r="D42" s="383">
        <v>0</v>
      </c>
      <c r="E42" s="594">
        <v>0</v>
      </c>
      <c r="F42" s="566"/>
      <c r="G42" s="567"/>
      <c r="H42" s="568"/>
      <c r="I42" s="528">
        <f>C42</f>
        <v>0</v>
      </c>
      <c r="J42" s="562">
        <f>'AT2 Lainat,sotum., alv-osto'!S47</f>
        <v>0</v>
      </c>
      <c r="K42" s="532">
        <f>'AT2 Lainat,sotum., alv-osto'!V47</f>
        <v>0</v>
      </c>
      <c r="L42" s="564">
        <v>0</v>
      </c>
      <c r="M42" s="562">
        <f>'AT2 Lainat,sotum., alv-osto'!Y47</f>
        <v>0</v>
      </c>
      <c r="N42" s="532">
        <f>'AT2 Lainat,sotum., alv-osto'!AB47</f>
        <v>0</v>
      </c>
      <c r="O42" s="565">
        <v>0</v>
      </c>
      <c r="P42" s="562">
        <f>IF(I42=0,0,'AT2 Lainat,sotum., alv-osto'!AE47)</f>
        <v>0</v>
      </c>
      <c r="Q42" s="683">
        <f>'AT2 Lainat,sotum., alv-osto'!AH47</f>
        <v>0</v>
      </c>
      <c r="S42" s="90"/>
    </row>
    <row r="43" spans="1:24" s="46" customFormat="1" ht="12.95" customHeight="1" x14ac:dyDescent="0.2">
      <c r="A43" s="2"/>
      <c r="B43" s="1283" t="s">
        <v>498</v>
      </c>
      <c r="C43" s="522">
        <v>0</v>
      </c>
      <c r="D43" s="383">
        <v>0</v>
      </c>
      <c r="E43" s="594">
        <v>0</v>
      </c>
      <c r="F43" s="545"/>
      <c r="G43" s="569"/>
      <c r="H43" s="570"/>
      <c r="I43" s="545"/>
      <c r="J43" s="571"/>
      <c r="K43" s="572"/>
      <c r="L43" s="1243">
        <f>C43</f>
        <v>0</v>
      </c>
      <c r="M43" s="573">
        <f>'AT2 Lainat,sotum., alv-osto'!Y50</f>
        <v>0</v>
      </c>
      <c r="N43" s="517">
        <f>'AT2 Lainat,sotum., alv-osto'!AB50</f>
        <v>0</v>
      </c>
      <c r="O43" s="574">
        <v>0</v>
      </c>
      <c r="P43" s="562">
        <f>IF(L43=0,0,'AT2 Lainat,sotum., alv-osto'!AE50)</f>
        <v>0</v>
      </c>
      <c r="Q43" s="683">
        <f>'AT2 Lainat,sotum., alv-osto'!AH50</f>
        <v>0</v>
      </c>
      <c r="S43" s="90"/>
    </row>
    <row r="44" spans="1:24" s="46" customFormat="1" ht="12.95" customHeight="1" thickBot="1" x14ac:dyDescent="0.25">
      <c r="B44" s="1285" t="s">
        <v>478</v>
      </c>
      <c r="C44" s="524">
        <v>0</v>
      </c>
      <c r="D44" s="384">
        <v>0</v>
      </c>
      <c r="E44" s="899">
        <v>0</v>
      </c>
      <c r="F44" s="575"/>
      <c r="G44" s="551"/>
      <c r="H44" s="576"/>
      <c r="I44" s="550"/>
      <c r="J44" s="577"/>
      <c r="K44" s="578"/>
      <c r="L44" s="579"/>
      <c r="M44" s="580"/>
      <c r="N44" s="518"/>
      <c r="O44" s="556">
        <f>C44</f>
        <v>0</v>
      </c>
      <c r="P44" s="580">
        <f>IF(O44=0,0,'AT2 Lainat,sotum., alv-osto'!AE53)</f>
        <v>0</v>
      </c>
      <c r="Q44" s="1286">
        <f>'AT2 Lainat,sotum., alv-osto'!AH53</f>
        <v>0</v>
      </c>
      <c r="S44" s="90"/>
      <c r="X44" s="46">
        <v>0</v>
      </c>
    </row>
    <row r="45" spans="1:24" s="46" customFormat="1" ht="12.95" customHeight="1" thickTop="1" thickBot="1" x14ac:dyDescent="0.25">
      <c r="A45"/>
      <c r="B45" s="1303" t="s">
        <v>504</v>
      </c>
      <c r="C45" s="583">
        <f>SUM(C41:C44)</f>
        <v>0</v>
      </c>
      <c r="D45" s="385"/>
      <c r="E45" s="1019"/>
      <c r="F45" s="581">
        <f t="shared" ref="F45:Q45" si="10">SUM(F41:F44)</f>
        <v>0</v>
      </c>
      <c r="G45" s="583">
        <f t="shared" si="10"/>
        <v>0</v>
      </c>
      <c r="H45" s="582">
        <f t="shared" si="10"/>
        <v>0</v>
      </c>
      <c r="I45" s="581">
        <f t="shared" si="10"/>
        <v>0</v>
      </c>
      <c r="J45" s="583">
        <f t="shared" si="10"/>
        <v>0</v>
      </c>
      <c r="K45" s="582">
        <f t="shared" si="10"/>
        <v>0</v>
      </c>
      <c r="L45" s="581">
        <f t="shared" si="10"/>
        <v>0</v>
      </c>
      <c r="M45" s="583">
        <f t="shared" si="10"/>
        <v>0</v>
      </c>
      <c r="N45" s="582">
        <f t="shared" si="10"/>
        <v>0</v>
      </c>
      <c r="O45" s="581">
        <f t="shared" si="10"/>
        <v>0</v>
      </c>
      <c r="P45" s="584">
        <f t="shared" si="10"/>
        <v>0</v>
      </c>
      <c r="Q45" s="584">
        <f t="shared" si="10"/>
        <v>0</v>
      </c>
    </row>
    <row r="46" spans="1:24" s="68" customFormat="1" ht="12.95" customHeight="1" thickBot="1" x14ac:dyDescent="0.25">
      <c r="A46"/>
      <c r="B46" s="1304" t="s">
        <v>505</v>
      </c>
      <c r="C46" s="1363">
        <f>'3. T3 TASE '!$H$76</f>
        <v>0</v>
      </c>
      <c r="D46" s="386"/>
      <c r="E46" s="1020">
        <v>0.1</v>
      </c>
      <c r="F46" s="585"/>
      <c r="G46" s="586"/>
      <c r="H46" s="1364">
        <f>$E46*C46</f>
        <v>0</v>
      </c>
      <c r="I46" s="585"/>
      <c r="J46" s="586"/>
      <c r="K46" s="1364">
        <f>$E46*'3. T3 TASE '!H76</f>
        <v>0</v>
      </c>
      <c r="L46" s="585"/>
      <c r="M46" s="586"/>
      <c r="N46" s="1364">
        <f>$E46*'3. T3 TASE '!I76</f>
        <v>0</v>
      </c>
      <c r="O46" s="585"/>
      <c r="P46" s="586"/>
      <c r="Q46" s="1363">
        <f>$E46*'3. T3 TASE '!J76</f>
        <v>0</v>
      </c>
    </row>
    <row r="47" spans="1:24" s="1349" customFormat="1" ht="12.95" customHeight="1" thickBot="1" x14ac:dyDescent="0.25">
      <c r="B47" s="1543" t="s">
        <v>534</v>
      </c>
      <c r="C47" s="1353">
        <f>'3. T3 TASE '!G67+'3. T3 TASE '!G77</f>
        <v>0</v>
      </c>
      <c r="D47" s="1350"/>
      <c r="E47" s="1020">
        <v>0.1</v>
      </c>
      <c r="F47" s="1351"/>
      <c r="G47" s="1352"/>
      <c r="H47" s="1364">
        <f>$E47*C47</f>
        <v>0</v>
      </c>
      <c r="I47" s="1351"/>
      <c r="J47" s="1352"/>
      <c r="K47" s="1364">
        <f>E47*('3. T3 TASE '!H67+'3. T3 TASE '!H77)</f>
        <v>0</v>
      </c>
      <c r="L47" s="1351"/>
      <c r="M47" s="1352"/>
      <c r="N47" s="1364">
        <f>E47*('3. T3 TASE '!I67+'3. T3 TASE '!I77)</f>
        <v>0</v>
      </c>
      <c r="O47" s="1351"/>
      <c r="P47" s="1352"/>
      <c r="Q47" s="1363">
        <f>E47*('3. T3 TASE '!J67+'3. T3 TASE '!J77)</f>
        <v>0</v>
      </c>
    </row>
    <row r="48" spans="1:24" s="68" customFormat="1" ht="24.75" customHeight="1" thickBot="1" x14ac:dyDescent="0.25">
      <c r="A48" s="46"/>
      <c r="B48" s="1305" t="s">
        <v>589</v>
      </c>
      <c r="C48" s="969">
        <f>'3. T3 TASE '!G72</f>
        <v>0</v>
      </c>
      <c r="D48" s="386"/>
      <c r="E48" s="1020">
        <v>0.1</v>
      </c>
      <c r="F48" s="585"/>
      <c r="G48" s="586"/>
      <c r="H48" s="1364">
        <f>$E48*C48</f>
        <v>0</v>
      </c>
      <c r="I48" s="585"/>
      <c r="J48" s="586"/>
      <c r="K48" s="1364">
        <f>$E48*'3. T3 TASE '!H72</f>
        <v>0</v>
      </c>
      <c r="L48" s="585"/>
      <c r="M48" s="586"/>
      <c r="N48" s="1364">
        <f>$E48*'3. T3 TASE '!I72</f>
        <v>0</v>
      </c>
      <c r="O48" s="585"/>
      <c r="P48" s="586"/>
      <c r="Q48" s="1363">
        <f>$E48*'3. T3 TASE '!J72</f>
        <v>0</v>
      </c>
    </row>
    <row r="49" spans="1:17" s="68" customFormat="1" ht="13.15" customHeight="1" thickBot="1" x14ac:dyDescent="0.25">
      <c r="A49" s="2"/>
      <c r="B49" s="1306" t="s">
        <v>506</v>
      </c>
      <c r="C49" s="387"/>
      <c r="D49" s="629"/>
      <c r="E49" s="630"/>
      <c r="F49" s="936"/>
      <c r="G49" s="937"/>
      <c r="H49" s="1498">
        <f>2%*F39</f>
        <v>0</v>
      </c>
      <c r="I49" s="936"/>
      <c r="J49" s="937"/>
      <c r="K49" s="1498">
        <f>2%*I39</f>
        <v>0</v>
      </c>
      <c r="L49" s="936"/>
      <c r="M49" s="937"/>
      <c r="N49" s="1498">
        <f>2%*L39</f>
        <v>0</v>
      </c>
      <c r="O49" s="936"/>
      <c r="P49" s="937"/>
      <c r="Q49" s="1499">
        <f>2%*O39</f>
        <v>0</v>
      </c>
    </row>
    <row r="50" spans="1:17" s="46" customFormat="1" ht="17.25" customHeight="1" thickTop="1" thickBot="1" x14ac:dyDescent="0.25">
      <c r="B50" s="1307" t="s">
        <v>507</v>
      </c>
      <c r="C50" s="938">
        <f>C39+C18+C45+C46+C19+C48</f>
        <v>0</v>
      </c>
      <c r="D50" s="939"/>
      <c r="E50" s="1021"/>
      <c r="F50" s="938">
        <f>F39+F45</f>
        <v>0</v>
      </c>
      <c r="G50" s="938">
        <f>G39+F18+G45+F19</f>
        <v>0</v>
      </c>
      <c r="H50" s="938">
        <f>H39+H18+H45+H46+H49+H19+H48+H47</f>
        <v>0</v>
      </c>
      <c r="I50" s="938">
        <f>I39+I45</f>
        <v>0</v>
      </c>
      <c r="J50" s="938">
        <f>J39+I18+J45+I19</f>
        <v>0</v>
      </c>
      <c r="K50" s="938">
        <f>K39+K18+K45+K46+K49+K19+K48+K47</f>
        <v>0</v>
      </c>
      <c r="L50" s="938">
        <f>L39+L45</f>
        <v>0</v>
      </c>
      <c r="M50" s="938">
        <f>M39+L18+M45+L19</f>
        <v>0</v>
      </c>
      <c r="N50" s="938">
        <f>N39+N18+N45+N46+N49+N19+N48+N47</f>
        <v>0</v>
      </c>
      <c r="O50" s="938">
        <f>O39+O45</f>
        <v>0</v>
      </c>
      <c r="P50" s="938">
        <f>P39+O18+P45+O19</f>
        <v>0</v>
      </c>
      <c r="Q50" s="938">
        <f>Q39+Q18+Q45+Q46+Q49+Q19+Q48+Q47</f>
        <v>0</v>
      </c>
    </row>
    <row r="51" spans="1:17" ht="13.5" thickTop="1" x14ac:dyDescent="0.2">
      <c r="C51" s="45"/>
      <c r="D51" s="45"/>
      <c r="E51" s="388"/>
      <c r="F51" s="388"/>
      <c r="G51" s="388"/>
      <c r="H51" s="388"/>
      <c r="I51" s="388"/>
      <c r="J51" s="388"/>
      <c r="K51" s="45"/>
      <c r="L51" s="45"/>
      <c r="M51" s="45"/>
      <c r="N51" s="1794">
        <f>OHJE!I5</f>
        <v>0</v>
      </c>
      <c r="O51" s="1794"/>
      <c r="P51" s="1794"/>
      <c r="Q51" s="1794"/>
    </row>
    <row r="52" spans="1:17" ht="12.75" customHeight="1" x14ac:dyDescent="0.2">
      <c r="B52" s="69" t="str">
        <f>OHJE!G24</f>
        <v>YT22 Toimivan yrityksen tulossuunnitelma</v>
      </c>
      <c r="C52" s="69"/>
      <c r="D52" s="69"/>
      <c r="E52" s="69"/>
      <c r="F52" s="81"/>
      <c r="G52" s="81"/>
      <c r="H52" s="45"/>
      <c r="I52" s="81"/>
      <c r="J52" s="1801" t="str">
        <f>OHJE!I21</f>
        <v>Kehittämisyhtiö Witas Oy</v>
      </c>
      <c r="K52" s="1801"/>
      <c r="L52" s="1801"/>
      <c r="M52" s="1801"/>
      <c r="N52" s="1801"/>
      <c r="O52" s="1801"/>
      <c r="P52" s="1801"/>
      <c r="Q52" s="1801"/>
    </row>
    <row r="53" spans="1:17" x14ac:dyDescent="0.2">
      <c r="L53" s="489"/>
      <c r="M53" s="489"/>
      <c r="N53" s="489"/>
      <c r="O53" s="489"/>
      <c r="P53" s="489"/>
      <c r="Q53" s="489"/>
    </row>
    <row r="55" spans="1:17" x14ac:dyDescent="0.2">
      <c r="B55" s="357" t="s">
        <v>248</v>
      </c>
    </row>
    <row r="56" spans="1:17" x14ac:dyDescent="0.2">
      <c r="B56" s="45" t="s">
        <v>249</v>
      </c>
    </row>
    <row r="57" spans="1:17" x14ac:dyDescent="0.2">
      <c r="B57" s="45" t="s">
        <v>250</v>
      </c>
    </row>
  </sheetData>
  <sheetProtection algorithmName="SHA-512" hashValue="Uu1Fj8YvsyZluIDzrP3gkgb6SAx5uqo5FZzUGFITUDxi4DaqyGOw+2hTWvtYRHmR8z/H56d+Vw+zvbsFIxFTww==" saltValue="Q6SaaKZ3ACfy/VnCNN60NA==" spinCount="100000" sheet="1" objects="1" scenarios="1"/>
  <mergeCells count="69">
    <mergeCell ref="O5:P5"/>
    <mergeCell ref="F8:H8"/>
    <mergeCell ref="F10:G10"/>
    <mergeCell ref="L8:N8"/>
    <mergeCell ref="I10:J10"/>
    <mergeCell ref="I8:K8"/>
    <mergeCell ref="L9:N9"/>
    <mergeCell ref="L10:M10"/>
    <mergeCell ref="I9:K9"/>
    <mergeCell ref="F7:Q7"/>
    <mergeCell ref="B7:B9"/>
    <mergeCell ref="D20:D22"/>
    <mergeCell ref="E20:E22"/>
    <mergeCell ref="F21:H21"/>
    <mergeCell ref="F16:G16"/>
    <mergeCell ref="F14:G14"/>
    <mergeCell ref="F20:H20"/>
    <mergeCell ref="F18:G18"/>
    <mergeCell ref="F19:G19"/>
    <mergeCell ref="F13:G13"/>
    <mergeCell ref="F17:G17"/>
    <mergeCell ref="F11:G11"/>
    <mergeCell ref="F12:G12"/>
    <mergeCell ref="C7:C10"/>
    <mergeCell ref="D7:D10"/>
    <mergeCell ref="E7:E10"/>
    <mergeCell ref="B20:B21"/>
    <mergeCell ref="I12:J12"/>
    <mergeCell ref="I16:J16"/>
    <mergeCell ref="I15:J15"/>
    <mergeCell ref="I11:J11"/>
    <mergeCell ref="I13:J13"/>
    <mergeCell ref="C20:C22"/>
    <mergeCell ref="I20:K20"/>
    <mergeCell ref="I21:K21"/>
    <mergeCell ref="L11:M11"/>
    <mergeCell ref="L16:M16"/>
    <mergeCell ref="I14:J14"/>
    <mergeCell ref="I17:J17"/>
    <mergeCell ref="L20:N20"/>
    <mergeCell ref="I18:J18"/>
    <mergeCell ref="I19:J19"/>
    <mergeCell ref="L19:M19"/>
    <mergeCell ref="L18:M18"/>
    <mergeCell ref="L17:M17"/>
    <mergeCell ref="L13:M13"/>
    <mergeCell ref="L14:M14"/>
    <mergeCell ref="O13:P13"/>
    <mergeCell ref="O14:P14"/>
    <mergeCell ref="O15:P15"/>
    <mergeCell ref="O16:P16"/>
    <mergeCell ref="L21:N21"/>
    <mergeCell ref="L15:M15"/>
    <mergeCell ref="N51:Q51"/>
    <mergeCell ref="J52:Q52"/>
    <mergeCell ref="B5:D5"/>
    <mergeCell ref="O17:P17"/>
    <mergeCell ref="O18:P18"/>
    <mergeCell ref="O8:Q8"/>
    <mergeCell ref="O9:Q9"/>
    <mergeCell ref="O10:P10"/>
    <mergeCell ref="O11:P11"/>
    <mergeCell ref="O12:P12"/>
    <mergeCell ref="L12:M12"/>
    <mergeCell ref="F9:H9"/>
    <mergeCell ref="F15:G15"/>
    <mergeCell ref="O19:P19"/>
    <mergeCell ref="O20:Q20"/>
    <mergeCell ref="O21:Q2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5" orientation="landscape" verticalDpi="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31">
    <tabColor rgb="FF0152A1"/>
  </sheetPr>
  <dimension ref="A2:AB235"/>
  <sheetViews>
    <sheetView showGridLines="0" showZeros="0" workbookViewId="0">
      <selection activeCell="AA24" sqref="AA24"/>
    </sheetView>
  </sheetViews>
  <sheetFormatPr defaultRowHeight="12.75" x14ac:dyDescent="0.2"/>
  <cols>
    <col min="1" max="1" width="10" customWidth="1"/>
    <col min="2" max="2" width="2.85546875" customWidth="1"/>
    <col min="3" max="3" width="37.7109375" customWidth="1"/>
    <col min="4" max="4" width="10.140625" customWidth="1"/>
    <col min="5" max="5" width="6.140625" customWidth="1"/>
    <col min="6" max="6" width="10.140625" customWidth="1"/>
    <col min="7" max="7" width="6" customWidth="1"/>
    <col min="8" max="8" width="10.140625" customWidth="1"/>
    <col min="9" max="9" width="6" customWidth="1"/>
    <col min="10" max="10" width="10.140625" customWidth="1"/>
    <col min="11" max="11" width="6" customWidth="1"/>
    <col min="12" max="12" width="10.140625" customWidth="1"/>
    <col min="13" max="13" width="6" customWidth="1"/>
    <col min="14" max="14" width="2.5703125" customWidth="1"/>
    <col min="15" max="17" width="7" customWidth="1"/>
    <col min="18" max="18" width="7.28515625" customWidth="1"/>
    <col min="25" max="27" width="9" customWidth="1"/>
  </cols>
  <sheetData>
    <row r="2" spans="1:28" ht="15.75" x14ac:dyDescent="0.25">
      <c r="B2" s="19" t="s">
        <v>62</v>
      </c>
      <c r="E2" s="2009"/>
      <c r="F2" s="2009"/>
      <c r="H2" s="19"/>
      <c r="O2" s="19" t="s">
        <v>62</v>
      </c>
      <c r="P2" s="1"/>
    </row>
    <row r="3" spans="1:28" ht="14.25" customHeight="1" x14ac:dyDescent="0.2">
      <c r="A3" s="1368" t="s">
        <v>535</v>
      </c>
      <c r="E3" s="1998"/>
      <c r="F3" s="1998"/>
      <c r="O3" s="1997"/>
      <c r="P3" s="1997"/>
      <c r="Q3" s="1997"/>
    </row>
    <row r="4" spans="1:28" ht="20.25" customHeight="1" x14ac:dyDescent="0.2">
      <c r="B4" s="41" t="s">
        <v>537</v>
      </c>
      <c r="C4" s="38"/>
      <c r="D4" s="38"/>
      <c r="E4" s="38" t="s">
        <v>538</v>
      </c>
      <c r="F4" s="51"/>
      <c r="G4" s="57"/>
      <c r="H4" s="33"/>
      <c r="I4" s="51" t="s">
        <v>0</v>
      </c>
      <c r="J4" s="51"/>
      <c r="K4" s="2010" t="s">
        <v>51</v>
      </c>
      <c r="L4" s="2010"/>
      <c r="M4" s="39"/>
      <c r="N4" s="14"/>
      <c r="O4" s="348"/>
      <c r="S4" s="349"/>
      <c r="T4" s="132"/>
      <c r="U4" s="132"/>
      <c r="V4" s="132"/>
      <c r="W4" s="132"/>
      <c r="X4" s="132"/>
    </row>
    <row r="5" spans="1:28" ht="12.75" customHeight="1" x14ac:dyDescent="0.25">
      <c r="B5" s="503">
        <f>'2. &amp; 7. T2 TULOSSUUN. '!B5:D5</f>
        <v>0</v>
      </c>
      <c r="C5" s="503"/>
      <c r="D5" s="506"/>
      <c r="E5" s="1923">
        <f>'2. &amp; 7. T2 TULOSSUUN. '!G5</f>
        <v>0</v>
      </c>
      <c r="F5" s="1923"/>
      <c r="G5" s="1923"/>
      <c r="H5" s="1923"/>
      <c r="I5" s="1923"/>
      <c r="J5" s="509"/>
      <c r="K5" s="2011">
        <f>'1. T1 INVESTOINTISUUN.'!E4</f>
        <v>0</v>
      </c>
      <c r="L5" s="1923"/>
      <c r="M5" s="68"/>
      <c r="N5" s="68"/>
      <c r="O5" s="349"/>
      <c r="P5" s="19"/>
      <c r="S5" s="132"/>
      <c r="T5" s="132"/>
      <c r="U5" s="132"/>
      <c r="V5" s="132"/>
      <c r="W5" s="132"/>
      <c r="X5" s="132"/>
      <c r="Z5" s="8"/>
      <c r="AA5" s="8"/>
    </row>
    <row r="6" spans="1:28" ht="10.5" customHeight="1" thickBot="1" x14ac:dyDescent="0.25">
      <c r="D6" s="261"/>
      <c r="E6" s="261"/>
      <c r="F6" s="13"/>
      <c r="K6" t="s">
        <v>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8"/>
      <c r="AA6" s="8"/>
    </row>
    <row r="7" spans="1:28" ht="15.6" customHeight="1" x14ac:dyDescent="0.2">
      <c r="B7" s="1991" t="s">
        <v>342</v>
      </c>
      <c r="C7" s="1992"/>
      <c r="D7" s="2004" t="str">
        <f>'8. T4 RAHOITUSSUUN. '!G10</f>
        <v>Tot. tilikausi</v>
      </c>
      <c r="E7" s="2005"/>
      <c r="F7" s="2004" t="str">
        <f>'1. T1 INVESTOINTISUUN.'!D15</f>
        <v>Ennuste 1</v>
      </c>
      <c r="G7" s="2005"/>
      <c r="H7" s="2004" t="s">
        <v>55</v>
      </c>
      <c r="I7" s="2005"/>
      <c r="J7" s="2004" t="s">
        <v>57</v>
      </c>
      <c r="K7" s="2005"/>
      <c r="L7" s="2004" t="s">
        <v>195</v>
      </c>
      <c r="M7" s="2005"/>
      <c r="N7" s="20"/>
      <c r="O7" s="266" t="s">
        <v>592</v>
      </c>
      <c r="P7" s="267"/>
      <c r="Q7" s="267"/>
      <c r="R7" s="268"/>
      <c r="S7" s="417"/>
      <c r="T7" s="417"/>
      <c r="U7" s="417"/>
      <c r="V7" s="417"/>
      <c r="W7" s="417"/>
      <c r="X7" s="417"/>
      <c r="Y7" s="418"/>
      <c r="Z7" s="419"/>
      <c r="AA7" s="419"/>
      <c r="AB7" s="420"/>
    </row>
    <row r="8" spans="1:28" ht="18.600000000000001" customHeight="1" x14ac:dyDescent="0.2">
      <c r="B8" s="1993"/>
      <c r="C8" s="1994"/>
      <c r="D8" s="2006">
        <f>'2. &amp; 7. T2 TULOSSUUN. '!G8</f>
        <v>2025</v>
      </c>
      <c r="E8" s="2007"/>
      <c r="F8" s="2006">
        <f>'2. &amp; 7. T2 TULOSSUUN. '!I8</f>
        <v>2027</v>
      </c>
      <c r="G8" s="2007"/>
      <c r="H8" s="2006">
        <f>'2. &amp; 7. T2 TULOSSUUN. '!K8</f>
        <v>2028</v>
      </c>
      <c r="I8" s="2007"/>
      <c r="J8" s="2006">
        <f>'2. &amp; 7. T2 TULOSSUUN. '!M8</f>
        <v>2029</v>
      </c>
      <c r="K8" s="2007"/>
      <c r="L8" s="2006">
        <f>'2. &amp; 7. T2 TULOSSUUN. '!O8</f>
        <v>2030</v>
      </c>
      <c r="M8" s="2007"/>
      <c r="N8" s="21"/>
      <c r="O8" s="481"/>
      <c r="P8" s="482"/>
      <c r="Q8" s="482"/>
      <c r="R8" s="482"/>
      <c r="S8" s="156"/>
      <c r="T8" s="156"/>
      <c r="U8" s="156"/>
      <c r="V8" s="156"/>
      <c r="W8" s="156"/>
      <c r="X8" s="156"/>
      <c r="Y8" s="156"/>
      <c r="Z8" s="483"/>
      <c r="AA8" s="483"/>
      <c r="AB8" s="307"/>
    </row>
    <row r="9" spans="1:28" ht="18.600000000000001" customHeight="1" x14ac:dyDescent="0.2">
      <c r="B9" s="1995"/>
      <c r="C9" s="1996"/>
      <c r="D9" s="1133" t="s">
        <v>16</v>
      </c>
      <c r="E9" s="1134" t="s">
        <v>14</v>
      </c>
      <c r="F9" s="1133" t="s">
        <v>16</v>
      </c>
      <c r="G9" s="1134" t="s">
        <v>14</v>
      </c>
      <c r="H9" s="1133" t="str">
        <f>F9</f>
        <v>Euroa</v>
      </c>
      <c r="I9" s="1134" t="s">
        <v>14</v>
      </c>
      <c r="J9" s="1133" t="str">
        <f>H9</f>
        <v>Euroa</v>
      </c>
      <c r="K9" s="1134" t="s">
        <v>14</v>
      </c>
      <c r="L9" s="1133" t="str">
        <f>J9</f>
        <v>Euroa</v>
      </c>
      <c r="M9" s="1134" t="s">
        <v>14</v>
      </c>
      <c r="N9" s="21"/>
      <c r="O9" s="481"/>
      <c r="P9" s="482"/>
      <c r="Q9" s="482"/>
      <c r="R9" s="482"/>
      <c r="S9" s="156"/>
      <c r="T9" s="156"/>
      <c r="U9" s="156"/>
      <c r="V9" s="156"/>
      <c r="W9" s="156"/>
      <c r="X9" s="156"/>
      <c r="Y9" s="156"/>
      <c r="Z9" s="483"/>
      <c r="AA9" s="483"/>
      <c r="AB9" s="307"/>
    </row>
    <row r="10" spans="1:28" ht="17.649999999999999" customHeight="1" thickBot="1" x14ac:dyDescent="0.25">
      <c r="B10" s="1135"/>
      <c r="C10" s="1574" t="s">
        <v>299</v>
      </c>
      <c r="D10" s="2000" t="str">
        <f>'2. &amp; 7. T2 TULOSSUUN. '!G10</f>
        <v>12</v>
      </c>
      <c r="E10" s="2001"/>
      <c r="F10" s="2000">
        <f>'2. &amp; 7. T2 TULOSSUUN. '!I10</f>
        <v>12</v>
      </c>
      <c r="G10" s="2001"/>
      <c r="H10" s="2000" t="str">
        <f>'2. &amp; 7. T2 TULOSSUUN. '!K10</f>
        <v>12</v>
      </c>
      <c r="I10" s="2001"/>
      <c r="J10" s="2000" t="str">
        <f>'2. &amp; 7. T2 TULOSSUUN. '!M10</f>
        <v>12</v>
      </c>
      <c r="K10" s="2001"/>
      <c r="L10" s="2000" t="str">
        <f>'2. &amp; 7. T2 TULOSSUUN. '!O10</f>
        <v>12</v>
      </c>
      <c r="M10" s="2001"/>
      <c r="N10" s="21"/>
      <c r="O10" s="481"/>
      <c r="P10" s="482"/>
      <c r="Q10" s="482"/>
      <c r="R10" s="482"/>
      <c r="S10" s="156"/>
      <c r="T10" s="156"/>
      <c r="U10" s="156"/>
      <c r="V10" s="156"/>
      <c r="W10" s="156"/>
      <c r="X10" s="156"/>
      <c r="Y10" s="156"/>
      <c r="Z10" s="483"/>
      <c r="AA10" s="483"/>
      <c r="AB10" s="307"/>
    </row>
    <row r="11" spans="1:28" s="1" customFormat="1" ht="13.9" customHeight="1" x14ac:dyDescent="0.2">
      <c r="A11"/>
      <c r="B11" s="995" t="s">
        <v>2</v>
      </c>
      <c r="C11" s="981" t="s">
        <v>19</v>
      </c>
      <c r="D11" s="216"/>
      <c r="E11" s="217"/>
      <c r="F11" s="798">
        <f>F12+F17+F24-F30</f>
        <v>0</v>
      </c>
      <c r="G11" s="799">
        <f>IF(F$44=0,0,F11/F$44*100)</f>
        <v>0</v>
      </c>
      <c r="H11" s="798">
        <f>H12+H17+H24-H30</f>
        <v>0</v>
      </c>
      <c r="I11" s="799">
        <f>IF(H$44=0,0,H11/H$44*100)</f>
        <v>0</v>
      </c>
      <c r="J11" s="798">
        <f>J12+J17+J24-J30</f>
        <v>0</v>
      </c>
      <c r="K11" s="799">
        <f>IF(J$44=0,0,J11/J$44*100)</f>
        <v>0</v>
      </c>
      <c r="L11" s="798">
        <f>L12+L17+L24-L30</f>
        <v>0</v>
      </c>
      <c r="M11" s="799">
        <f>IF(L$44=0,0,L11/L$44*100)</f>
        <v>0</v>
      </c>
      <c r="N11" s="3"/>
      <c r="O11" s="2002" t="s">
        <v>381</v>
      </c>
      <c r="P11" s="2003"/>
      <c r="Q11" s="2003"/>
      <c r="R11" s="2003"/>
      <c r="S11" s="286"/>
      <c r="T11" s="286"/>
      <c r="U11" s="286"/>
      <c r="V11" s="286"/>
      <c r="W11" s="286"/>
      <c r="X11" s="286"/>
      <c r="Y11" s="286"/>
      <c r="Z11" s="421"/>
      <c r="AA11" s="421"/>
      <c r="AB11" s="422"/>
    </row>
    <row r="12" spans="1:28" s="4" customFormat="1" ht="13.9" customHeight="1" x14ac:dyDescent="0.2">
      <c r="B12" s="378"/>
      <c r="C12" s="977" t="s">
        <v>25</v>
      </c>
      <c r="D12" s="218"/>
      <c r="E12" s="342"/>
      <c r="F12" s="800">
        <f>(F13+F14)*F15</f>
        <v>0</v>
      </c>
      <c r="G12" s="801"/>
      <c r="H12" s="800">
        <f>(H13+H14)*H15</f>
        <v>0</v>
      </c>
      <c r="I12" s="801"/>
      <c r="J12" s="800">
        <f>(J13+J14)*J15</f>
        <v>0</v>
      </c>
      <c r="K12" s="801"/>
      <c r="L12" s="800">
        <f>(L13+L14)*L15</f>
        <v>0</v>
      </c>
      <c r="M12" s="801"/>
      <c r="N12" s="26"/>
      <c r="O12" s="270">
        <f>F$8</f>
        <v>2027</v>
      </c>
      <c r="P12" s="270">
        <f>H$8</f>
        <v>2028</v>
      </c>
      <c r="Q12" s="270">
        <f>J8</f>
        <v>2029</v>
      </c>
      <c r="R12" s="270">
        <f>L$8</f>
        <v>2030</v>
      </c>
      <c r="S12" s="286">
        <v>0</v>
      </c>
      <c r="T12" s="286"/>
      <c r="U12" s="286"/>
      <c r="V12" s="286"/>
      <c r="W12" s="286"/>
      <c r="X12" s="286"/>
      <c r="Y12" s="286"/>
      <c r="Z12" s="421"/>
      <c r="AA12" s="421"/>
      <c r="AB12" s="422"/>
    </row>
    <row r="13" spans="1:28" s="45" customFormat="1" ht="13.9" customHeight="1" x14ac:dyDescent="0.2">
      <c r="B13" s="226"/>
      <c r="C13" s="973" t="s">
        <v>641</v>
      </c>
      <c r="D13" s="218"/>
      <c r="E13" s="262"/>
      <c r="F13" s="548">
        <v>0</v>
      </c>
      <c r="G13" s="802"/>
      <c r="H13" s="548">
        <f>F13+F13*P13</f>
        <v>0</v>
      </c>
      <c r="I13" s="802"/>
      <c r="J13" s="548">
        <f>H13+H13*Q13</f>
        <v>0</v>
      </c>
      <c r="K13" s="802"/>
      <c r="L13" s="548">
        <f>J13+J13*R13</f>
        <v>0</v>
      </c>
      <c r="M13" s="802"/>
      <c r="N13" s="50"/>
      <c r="O13" s="311"/>
      <c r="P13" s="344">
        <v>0</v>
      </c>
      <c r="Q13" s="344">
        <f>P13</f>
        <v>0</v>
      </c>
      <c r="R13" s="344">
        <f>Q13</f>
        <v>0</v>
      </c>
      <c r="S13" s="286"/>
      <c r="T13" s="286"/>
      <c r="U13" s="286"/>
      <c r="V13" s="286"/>
      <c r="W13" s="286"/>
      <c r="X13" s="286"/>
      <c r="Y13" s="286"/>
      <c r="Z13" s="421"/>
      <c r="AA13" s="421"/>
      <c r="AB13" s="422"/>
    </row>
    <row r="14" spans="1:28" s="45" customFormat="1" ht="13.9" customHeight="1" x14ac:dyDescent="0.2">
      <c r="B14" s="226"/>
      <c r="C14" s="973" t="s">
        <v>642</v>
      </c>
      <c r="D14" s="218"/>
      <c r="E14" s="262"/>
      <c r="F14" s="548">
        <v>0</v>
      </c>
      <c r="G14" s="802"/>
      <c r="H14" s="548">
        <f>F14+F14*P14</f>
        <v>0</v>
      </c>
      <c r="I14" s="802"/>
      <c r="J14" s="548">
        <f>H14+H14*Q14</f>
        <v>0</v>
      </c>
      <c r="K14" s="802"/>
      <c r="L14" s="548">
        <f>J14+J14*R14</f>
        <v>0</v>
      </c>
      <c r="M14" s="802"/>
      <c r="N14" s="50"/>
      <c r="O14" s="311"/>
      <c r="P14" s="344">
        <v>0</v>
      </c>
      <c r="Q14" s="344">
        <f>P14</f>
        <v>0</v>
      </c>
      <c r="R14" s="344">
        <f>Q14</f>
        <v>0</v>
      </c>
      <c r="S14" s="286"/>
      <c r="T14" s="286"/>
      <c r="U14" s="286"/>
      <c r="V14" s="286"/>
      <c r="W14" s="286"/>
      <c r="X14" s="286"/>
      <c r="Y14" s="286"/>
      <c r="Z14" s="421"/>
      <c r="AA14" s="421"/>
      <c r="AB14" s="422"/>
    </row>
    <row r="15" spans="1:28" s="45" customFormat="1" ht="13.9" customHeight="1" x14ac:dyDescent="0.2">
      <c r="B15" s="226"/>
      <c r="C15" s="973" t="s">
        <v>643</v>
      </c>
      <c r="D15" s="218"/>
      <c r="E15" s="262"/>
      <c r="F15" s="803">
        <v>12.5</v>
      </c>
      <c r="G15" s="802"/>
      <c r="H15" s="803">
        <v>12.5</v>
      </c>
      <c r="I15" s="802"/>
      <c r="J15" s="803">
        <f>H15</f>
        <v>12.5</v>
      </c>
      <c r="K15" s="802"/>
      <c r="L15" s="803">
        <f>J15</f>
        <v>12.5</v>
      </c>
      <c r="M15" s="802"/>
      <c r="N15" s="50"/>
      <c r="O15" s="1426" t="s">
        <v>350</v>
      </c>
      <c r="P15" s="281"/>
      <c r="Q15" s="281"/>
      <c r="R15" s="281"/>
      <c r="S15" s="143"/>
      <c r="T15" s="143"/>
      <c r="U15" s="143"/>
      <c r="V15" s="143"/>
      <c r="W15" s="143"/>
      <c r="X15" s="143"/>
      <c r="Y15" s="143"/>
      <c r="Z15" s="466"/>
      <c r="AA15" s="466"/>
      <c r="AB15" s="467"/>
    </row>
    <row r="16" spans="1:28" s="45" customFormat="1" ht="13.9" customHeight="1" x14ac:dyDescent="0.2">
      <c r="B16" s="226"/>
      <c r="C16" s="1073" t="s">
        <v>644</v>
      </c>
      <c r="D16" s="218"/>
      <c r="E16" s="996"/>
      <c r="F16" s="997">
        <v>0.28999999999999998</v>
      </c>
      <c r="G16" s="802"/>
      <c r="H16" s="997">
        <f>F16</f>
        <v>0.28999999999999998</v>
      </c>
      <c r="I16" s="802"/>
      <c r="J16" s="997">
        <f>H16</f>
        <v>0.28999999999999998</v>
      </c>
      <c r="K16" s="802"/>
      <c r="L16" s="997">
        <f>J16</f>
        <v>0.28999999999999998</v>
      </c>
      <c r="M16" s="802"/>
      <c r="N16" s="50"/>
      <c r="O16" s="998"/>
      <c r="P16" s="286"/>
      <c r="Q16" s="286"/>
      <c r="R16" s="286"/>
      <c r="S16" s="286"/>
      <c r="T16" s="286"/>
      <c r="U16" s="286"/>
      <c r="V16" s="286"/>
      <c r="W16" s="286"/>
      <c r="X16" s="286"/>
      <c r="Y16" s="286"/>
      <c r="Z16" s="421"/>
      <c r="AA16" s="421"/>
      <c r="AB16" s="422"/>
    </row>
    <row r="17" spans="1:28" s="4" customFormat="1" ht="13.9" customHeight="1" x14ac:dyDescent="0.2">
      <c r="A17"/>
      <c r="B17" s="378"/>
      <c r="C17" s="1429" t="s">
        <v>245</v>
      </c>
      <c r="D17" s="218"/>
      <c r="E17" s="342"/>
      <c r="F17" s="820">
        <f>F18*F19*F20*F21+F22</f>
        <v>0</v>
      </c>
      <c r="G17" s="801"/>
      <c r="H17" s="820">
        <f>H18*H19*H20*H21+H22</f>
        <v>0</v>
      </c>
      <c r="I17" s="801"/>
      <c r="J17" s="820">
        <f>J18*J19*J20*J21+J22</f>
        <v>0</v>
      </c>
      <c r="K17" s="801"/>
      <c r="L17" s="820">
        <f>L18*L19*L20*L21+L22</f>
        <v>0</v>
      </c>
      <c r="M17" s="801"/>
      <c r="N17" s="26"/>
      <c r="O17" s="270">
        <f>F$8</f>
        <v>2027</v>
      </c>
      <c r="P17" s="270">
        <f>H$8</f>
        <v>2028</v>
      </c>
      <c r="Q17" s="270">
        <f>J$8</f>
        <v>2029</v>
      </c>
      <c r="R17" s="270">
        <f>L$8</f>
        <v>2030</v>
      </c>
      <c r="S17" s="286"/>
      <c r="T17" s="286"/>
      <c r="U17" s="286"/>
      <c r="V17" s="286"/>
      <c r="W17" s="286"/>
      <c r="X17" s="286"/>
      <c r="Y17" s="286"/>
      <c r="Z17" s="421"/>
      <c r="AA17" s="421"/>
      <c r="AB17" s="422"/>
    </row>
    <row r="18" spans="1:28" s="45" customFormat="1" ht="13.9" customHeight="1" x14ac:dyDescent="0.2">
      <c r="A18" s="46"/>
      <c r="B18" s="226"/>
      <c r="C18" s="973" t="s">
        <v>645</v>
      </c>
      <c r="D18" s="220"/>
      <c r="E18" s="262"/>
      <c r="F18" s="1541">
        <v>0</v>
      </c>
      <c r="G18" s="1463"/>
      <c r="H18" s="1541">
        <f>F18+F18*P18</f>
        <v>0</v>
      </c>
      <c r="I18" s="1463"/>
      <c r="J18" s="1541">
        <f>H18+H18*Q18</f>
        <v>0</v>
      </c>
      <c r="K18" s="1463"/>
      <c r="L18" s="1541">
        <f>J18+J18*R18</f>
        <v>0</v>
      </c>
      <c r="M18" s="802"/>
      <c r="N18" s="48"/>
      <c r="O18" s="311"/>
      <c r="P18" s="344">
        <v>0.03</v>
      </c>
      <c r="Q18" s="344">
        <f>P18</f>
        <v>0.03</v>
      </c>
      <c r="R18" s="344">
        <f>Q18</f>
        <v>0.03</v>
      </c>
      <c r="S18" s="286" t="s">
        <v>0</v>
      </c>
      <c r="T18" s="286"/>
      <c r="U18" s="286"/>
      <c r="V18" s="286"/>
      <c r="W18" s="286"/>
      <c r="X18" s="286"/>
      <c r="Y18" s="286"/>
      <c r="Z18" s="421"/>
      <c r="AA18" s="421"/>
      <c r="AB18" s="422"/>
    </row>
    <row r="19" spans="1:28" s="45" customFormat="1" ht="13.9" customHeight="1" x14ac:dyDescent="0.2">
      <c r="A19" s="2"/>
      <c r="B19" s="226"/>
      <c r="C19" s="973" t="s">
        <v>646</v>
      </c>
      <c r="D19" s="220"/>
      <c r="E19" s="262"/>
      <c r="F19" s="548">
        <v>0</v>
      </c>
      <c r="G19" s="802"/>
      <c r="H19" s="548">
        <f>F19</f>
        <v>0</v>
      </c>
      <c r="I19" s="802"/>
      <c r="J19" s="548">
        <f>H19</f>
        <v>0</v>
      </c>
      <c r="K19" s="802"/>
      <c r="L19" s="548">
        <f>J19</f>
        <v>0</v>
      </c>
      <c r="M19" s="802"/>
      <c r="N19" s="48"/>
      <c r="O19" s="341"/>
      <c r="P19" s="286"/>
      <c r="Q19" s="286"/>
      <c r="R19" s="286"/>
      <c r="S19" s="286"/>
      <c r="T19" s="286"/>
      <c r="U19" s="286"/>
      <c r="V19" s="286"/>
      <c r="W19" s="286"/>
      <c r="X19" s="286"/>
      <c r="Y19" s="286"/>
      <c r="Z19" s="421"/>
      <c r="AA19" s="421"/>
      <c r="AB19" s="422"/>
    </row>
    <row r="20" spans="1:28" s="45" customFormat="1" ht="13.9" customHeight="1" x14ac:dyDescent="0.2">
      <c r="A20"/>
      <c r="B20" s="226"/>
      <c r="C20" s="973" t="s">
        <v>647</v>
      </c>
      <c r="D20" s="218"/>
      <c r="E20" s="219"/>
      <c r="F20" s="803">
        <v>0</v>
      </c>
      <c r="G20" s="802"/>
      <c r="H20" s="803">
        <f>F20</f>
        <v>0</v>
      </c>
      <c r="I20" s="802"/>
      <c r="J20" s="803">
        <f>H20</f>
        <v>0</v>
      </c>
      <c r="K20" s="802"/>
      <c r="L20" s="803">
        <f>J20</f>
        <v>0</v>
      </c>
      <c r="M20" s="802"/>
      <c r="N20" s="48"/>
      <c r="O20" s="341"/>
      <c r="P20" s="286"/>
      <c r="Q20" s="286"/>
      <c r="R20" s="286"/>
      <c r="S20" s="286"/>
      <c r="T20" s="286"/>
      <c r="U20" s="286"/>
      <c r="V20" s="286"/>
      <c r="W20" s="286"/>
      <c r="X20" s="286"/>
      <c r="Y20" s="286"/>
      <c r="Z20" s="421"/>
      <c r="AA20" s="421"/>
      <c r="AB20" s="422"/>
    </row>
    <row r="21" spans="1:28" s="45" customFormat="1" ht="13.9" customHeight="1" x14ac:dyDescent="0.2">
      <c r="A21"/>
      <c r="B21" s="226"/>
      <c r="C21" s="973" t="s">
        <v>643</v>
      </c>
      <c r="D21" s="218"/>
      <c r="E21" s="219"/>
      <c r="F21" s="803">
        <v>12.5</v>
      </c>
      <c r="G21" s="802"/>
      <c r="H21" s="803">
        <v>12.5</v>
      </c>
      <c r="I21" s="802"/>
      <c r="J21" s="803">
        <f>H21</f>
        <v>12.5</v>
      </c>
      <c r="K21" s="802"/>
      <c r="L21" s="803">
        <f>J21</f>
        <v>12.5</v>
      </c>
      <c r="M21" s="802"/>
      <c r="N21" s="48"/>
      <c r="O21" s="1427" t="s">
        <v>350</v>
      </c>
      <c r="P21" s="143"/>
      <c r="Q21" s="143"/>
      <c r="R21" s="143"/>
      <c r="S21" s="143"/>
      <c r="T21" s="143"/>
      <c r="Y21" s="143"/>
      <c r="Z21" s="466"/>
      <c r="AA21" s="466"/>
      <c r="AB21" s="467"/>
    </row>
    <row r="22" spans="1:28" s="45" customFormat="1" ht="13.9" customHeight="1" x14ac:dyDescent="0.2">
      <c r="A22"/>
      <c r="B22" s="226"/>
      <c r="C22" s="973" t="s">
        <v>648</v>
      </c>
      <c r="D22" s="218"/>
      <c r="E22" s="219"/>
      <c r="F22" s="548">
        <v>0</v>
      </c>
      <c r="G22" s="802"/>
      <c r="H22" s="548">
        <f>F22+F22*P22</f>
        <v>0</v>
      </c>
      <c r="I22" s="802"/>
      <c r="J22" s="548">
        <f>H22+H22*Q22</f>
        <v>0</v>
      </c>
      <c r="K22" s="802"/>
      <c r="L22" s="548">
        <f>J22+J22*R22</f>
        <v>0</v>
      </c>
      <c r="M22" s="802"/>
      <c r="N22" s="48"/>
      <c r="O22" s="1326"/>
      <c r="P22" s="1327">
        <v>0.03</v>
      </c>
      <c r="Q22" s="1327">
        <f>P22</f>
        <v>0.03</v>
      </c>
      <c r="R22" s="1327">
        <f>Q22</f>
        <v>0.03</v>
      </c>
      <c r="S22" s="286"/>
      <c r="T22" s="286"/>
      <c r="U22" s="286"/>
      <c r="V22" s="286"/>
      <c r="W22" s="286"/>
      <c r="X22" s="286"/>
      <c r="Y22" s="286"/>
      <c r="Z22" s="421"/>
      <c r="AA22" s="421"/>
      <c r="AB22" s="422"/>
    </row>
    <row r="23" spans="1:28" s="45" customFormat="1" ht="13.9" customHeight="1" x14ac:dyDescent="0.2">
      <c r="A23"/>
      <c r="B23" s="226"/>
      <c r="C23" s="1073" t="s">
        <v>649</v>
      </c>
      <c r="D23" s="218"/>
      <c r="E23" s="996"/>
      <c r="F23" s="997">
        <v>0.2</v>
      </c>
      <c r="G23" s="802"/>
      <c r="H23" s="997">
        <f>F23</f>
        <v>0.2</v>
      </c>
      <c r="I23" s="802"/>
      <c r="J23" s="997">
        <f>H23</f>
        <v>0.2</v>
      </c>
      <c r="K23" s="802"/>
      <c r="L23" s="997">
        <f>J23</f>
        <v>0.2</v>
      </c>
      <c r="M23" s="802"/>
      <c r="N23" s="48"/>
      <c r="O23" s="341"/>
      <c r="P23" s="286"/>
      <c r="Q23" s="286"/>
      <c r="R23" s="286"/>
      <c r="S23" s="286"/>
      <c r="T23" s="286"/>
      <c r="U23" s="286"/>
      <c r="V23" s="286"/>
      <c r="W23" s="286"/>
      <c r="X23" s="286"/>
      <c r="Y23" s="286"/>
      <c r="Z23" s="421"/>
      <c r="AA23" s="421"/>
      <c r="AB23" s="422"/>
    </row>
    <row r="24" spans="1:28" s="4" customFormat="1" ht="13.9" customHeight="1" x14ac:dyDescent="0.2">
      <c r="A24"/>
      <c r="B24" s="378"/>
      <c r="C24" s="1429" t="s">
        <v>246</v>
      </c>
      <c r="D24" s="218"/>
      <c r="E24" s="342"/>
      <c r="F24" s="804">
        <f>F25*F26*F27+F28</f>
        <v>0</v>
      </c>
      <c r="G24" s="801"/>
      <c r="H24" s="804">
        <f>H25*H26*H27+H28</f>
        <v>0</v>
      </c>
      <c r="I24" s="801"/>
      <c r="J24" s="804">
        <f>J25*J26*J27+J28</f>
        <v>0</v>
      </c>
      <c r="K24" s="801"/>
      <c r="L24" s="804">
        <f>L25*L26*L27+L28</f>
        <v>0</v>
      </c>
      <c r="M24" s="801"/>
      <c r="N24" s="26"/>
      <c r="O24" s="1330"/>
      <c r="S24" s="286"/>
      <c r="T24" s="286"/>
      <c r="U24" s="286"/>
      <c r="V24" s="286"/>
      <c r="W24" s="286"/>
      <c r="X24" s="286"/>
      <c r="Y24" s="286"/>
      <c r="Z24" s="421"/>
      <c r="AA24" s="421"/>
      <c r="AB24" s="422"/>
    </row>
    <row r="25" spans="1:28" s="45" customFormat="1" ht="13.9" customHeight="1" x14ac:dyDescent="0.2">
      <c r="A25"/>
      <c r="B25" s="226"/>
      <c r="C25" s="973" t="s">
        <v>650</v>
      </c>
      <c r="D25" s="220"/>
      <c r="E25" s="262"/>
      <c r="F25" s="548">
        <v>0</v>
      </c>
      <c r="G25" s="802"/>
      <c r="H25" s="548">
        <f>F25+F25*P25</f>
        <v>0</v>
      </c>
      <c r="I25" s="802"/>
      <c r="J25" s="548">
        <f>H25+H25*Q25</f>
        <v>0</v>
      </c>
      <c r="K25" s="802"/>
      <c r="L25" s="548">
        <f>J25+J25*R25</f>
        <v>0</v>
      </c>
      <c r="M25" s="802"/>
      <c r="N25" s="48"/>
      <c r="O25" s="311"/>
      <c r="P25" s="344">
        <v>0.03</v>
      </c>
      <c r="Q25" s="344">
        <f>P25</f>
        <v>0.03</v>
      </c>
      <c r="R25" s="344">
        <f>Q25</f>
        <v>0.03</v>
      </c>
      <c r="S25" s="286"/>
      <c r="T25" s="286"/>
      <c r="U25" s="286"/>
      <c r="V25" s="286"/>
      <c r="W25" s="286"/>
      <c r="X25" s="286"/>
      <c r="Y25" s="286"/>
      <c r="Z25" s="421"/>
      <c r="AA25" s="421"/>
      <c r="AB25" s="422"/>
    </row>
    <row r="26" spans="1:28" s="45" customFormat="1" ht="13.9" customHeight="1" x14ac:dyDescent="0.2">
      <c r="A26"/>
      <c r="B26" s="226"/>
      <c r="C26" s="973" t="s">
        <v>651</v>
      </c>
      <c r="D26" s="218"/>
      <c r="E26" s="219"/>
      <c r="F26" s="803">
        <v>0</v>
      </c>
      <c r="G26" s="802"/>
      <c r="H26" s="803">
        <f>F26</f>
        <v>0</v>
      </c>
      <c r="I26" s="802"/>
      <c r="J26" s="803">
        <f>H26</f>
        <v>0</v>
      </c>
      <c r="K26" s="802"/>
      <c r="L26" s="803">
        <f>J26</f>
        <v>0</v>
      </c>
      <c r="M26" s="802"/>
      <c r="N26" s="48"/>
      <c r="O26" s="341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421"/>
      <c r="AA26" s="421"/>
      <c r="AB26" s="422"/>
    </row>
    <row r="27" spans="1:28" s="45" customFormat="1" ht="13.9" customHeight="1" x14ac:dyDescent="0.2">
      <c r="A27"/>
      <c r="B27" s="226"/>
      <c r="C27" s="973" t="s">
        <v>643</v>
      </c>
      <c r="D27" s="218"/>
      <c r="E27" s="219"/>
      <c r="F27" s="803">
        <v>12.5</v>
      </c>
      <c r="G27" s="802"/>
      <c r="H27" s="803">
        <v>12.5</v>
      </c>
      <c r="I27" s="802"/>
      <c r="J27" s="803">
        <f>H27</f>
        <v>12.5</v>
      </c>
      <c r="K27" s="802"/>
      <c r="L27" s="803">
        <f>J27</f>
        <v>12.5</v>
      </c>
      <c r="M27" s="802"/>
      <c r="N27" s="48"/>
      <c r="O27" s="1428" t="s">
        <v>350</v>
      </c>
      <c r="P27" s="143"/>
      <c r="Q27" s="143"/>
      <c r="R27" s="143"/>
      <c r="S27" s="143"/>
      <c r="T27" s="143"/>
      <c r="Y27" s="143"/>
      <c r="Z27" s="466"/>
      <c r="AA27" s="466"/>
      <c r="AB27" s="467"/>
    </row>
    <row r="28" spans="1:28" s="45" customFormat="1" ht="13.9" customHeight="1" x14ac:dyDescent="0.2">
      <c r="A28"/>
      <c r="B28" s="226"/>
      <c r="C28" s="973" t="s">
        <v>648</v>
      </c>
      <c r="D28" s="218"/>
      <c r="E28" s="219"/>
      <c r="F28" s="548">
        <v>0</v>
      </c>
      <c r="G28" s="802"/>
      <c r="H28" s="548">
        <f>F28+F28*P28</f>
        <v>0</v>
      </c>
      <c r="I28" s="802"/>
      <c r="J28" s="548">
        <f>H28+H28*Q28</f>
        <v>0</v>
      </c>
      <c r="K28" s="802"/>
      <c r="L28" s="548">
        <f>J28+J28*R28</f>
        <v>0</v>
      </c>
      <c r="M28" s="802"/>
      <c r="N28" s="48"/>
      <c r="O28" s="311"/>
      <c r="P28" s="344">
        <v>0.03</v>
      </c>
      <c r="Q28" s="344">
        <f>P28</f>
        <v>0.03</v>
      </c>
      <c r="R28" s="344">
        <f>Q28</f>
        <v>0.03</v>
      </c>
      <c r="S28" s="286"/>
      <c r="T28" s="286"/>
      <c r="U28" s="286"/>
      <c r="V28" s="286"/>
      <c r="W28" s="286"/>
      <c r="X28" s="286"/>
      <c r="Y28" s="286"/>
      <c r="Z28" s="421"/>
      <c r="AA28" s="421"/>
      <c r="AB28" s="422"/>
    </row>
    <row r="29" spans="1:28" s="45" customFormat="1" ht="13.9" customHeight="1" x14ac:dyDescent="0.2">
      <c r="A29"/>
      <c r="B29" s="226"/>
      <c r="C29" s="1073" t="s">
        <v>652</v>
      </c>
      <c r="D29" s="218"/>
      <c r="E29" s="232"/>
      <c r="F29" s="997">
        <v>0.25</v>
      </c>
      <c r="G29" s="807"/>
      <c r="H29" s="997">
        <f>F29</f>
        <v>0.25</v>
      </c>
      <c r="I29" s="802"/>
      <c r="J29" s="997">
        <f>H29</f>
        <v>0.25</v>
      </c>
      <c r="K29" s="802"/>
      <c r="L29" s="997">
        <f>J29</f>
        <v>0.25</v>
      </c>
      <c r="M29" s="802"/>
      <c r="N29" s="48"/>
      <c r="O29" s="341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421"/>
      <c r="AA29" s="421"/>
      <c r="AB29" s="422"/>
    </row>
    <row r="30" spans="1:28" s="45" customFormat="1" ht="13.9" customHeight="1" thickBot="1" x14ac:dyDescent="0.25">
      <c r="A30"/>
      <c r="B30" s="226"/>
      <c r="C30" s="374" t="s">
        <v>265</v>
      </c>
      <c r="D30" s="218"/>
      <c r="E30" s="232"/>
      <c r="F30" s="805">
        <v>0</v>
      </c>
      <c r="G30" s="806"/>
      <c r="H30" s="805">
        <v>0</v>
      </c>
      <c r="I30" s="806"/>
      <c r="J30" s="805">
        <v>0</v>
      </c>
      <c r="K30" s="806"/>
      <c r="L30" s="805">
        <v>0</v>
      </c>
      <c r="M30" s="807"/>
      <c r="N30" s="48"/>
      <c r="O30" s="341"/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421"/>
      <c r="AA30" s="421"/>
      <c r="AB30" s="422"/>
    </row>
    <row r="31" spans="1:28" s="1" customFormat="1" ht="13.9" customHeight="1" x14ac:dyDescent="0.2">
      <c r="A31"/>
      <c r="B31" s="994" t="s">
        <v>3</v>
      </c>
      <c r="C31" s="101" t="s">
        <v>18</v>
      </c>
      <c r="D31" s="221"/>
      <c r="E31" s="217"/>
      <c r="F31" s="808">
        <f>F32+F39+F41+F43+F42</f>
        <v>0</v>
      </c>
      <c r="G31" s="809">
        <f>IF(F$44=0,0,F31/F$44*100)</f>
        <v>0</v>
      </c>
      <c r="H31" s="808">
        <f>H32+H39+H41+H43+H42</f>
        <v>0</v>
      </c>
      <c r="I31" s="809">
        <f>IF(H$44=0,0,H31/H$44*100)</f>
        <v>0</v>
      </c>
      <c r="J31" s="808">
        <f>J32+J39+J41+J43+J42</f>
        <v>0</v>
      </c>
      <c r="K31" s="809">
        <f>IF(J$44=0,0,J31/J$44*100)</f>
        <v>0</v>
      </c>
      <c r="L31" s="808">
        <f>L32+L39+L41+L43+L42</f>
        <v>0</v>
      </c>
      <c r="M31" s="809">
        <f>IF(L$44=0,0,L31/L$44*100)</f>
        <v>0</v>
      </c>
      <c r="N31" s="3"/>
      <c r="O31" s="341"/>
      <c r="P31" s="286"/>
      <c r="Q31" s="286"/>
      <c r="R31" s="286"/>
      <c r="S31" s="286"/>
      <c r="T31" s="286"/>
      <c r="U31" s="286"/>
      <c r="V31" s="286"/>
      <c r="W31" s="286"/>
      <c r="X31" s="286"/>
      <c r="Y31" s="286"/>
      <c r="Z31" s="421"/>
      <c r="AA31" s="421"/>
      <c r="AB31" s="422"/>
    </row>
    <row r="32" spans="1:28" s="4" customFormat="1" ht="13.9" customHeight="1" x14ac:dyDescent="0.2">
      <c r="A32" s="46"/>
      <c r="B32" s="378"/>
      <c r="C32" s="1267" t="s">
        <v>20</v>
      </c>
      <c r="D32" s="223"/>
      <c r="E32" s="222"/>
      <c r="F32" s="804">
        <f>F34+F37+F38</f>
        <v>0</v>
      </c>
      <c r="G32" s="810"/>
      <c r="H32" s="804">
        <f>H34+H37+H38</f>
        <v>0</v>
      </c>
      <c r="I32" s="810"/>
      <c r="J32" s="804">
        <f>J34+J37+J38</f>
        <v>0</v>
      </c>
      <c r="K32" s="810"/>
      <c r="L32" s="804">
        <f>L34+L37+L38</f>
        <v>0</v>
      </c>
      <c r="M32" s="810"/>
      <c r="N32" s="27"/>
      <c r="O32" s="341"/>
      <c r="P32" s="286"/>
      <c r="Q32" s="286"/>
      <c r="R32" s="286"/>
      <c r="S32" s="286"/>
      <c r="T32" s="286"/>
      <c r="U32" s="286"/>
      <c r="V32" s="286"/>
      <c r="W32" s="286"/>
      <c r="X32" s="286"/>
      <c r="Y32" s="286"/>
      <c r="Z32" s="421"/>
      <c r="AA32" s="421"/>
      <c r="AB32" s="422"/>
    </row>
    <row r="33" spans="1:28" s="45" customFormat="1" ht="13.9" customHeight="1" x14ac:dyDescent="0.2">
      <c r="A33" s="2"/>
      <c r="B33" s="226"/>
      <c r="C33" s="973" t="s">
        <v>653</v>
      </c>
      <c r="D33" s="223"/>
      <c r="E33" s="224"/>
      <c r="F33" s="811">
        <v>0.17100000000000001</v>
      </c>
      <c r="G33" s="812"/>
      <c r="H33" s="813">
        <f>F33</f>
        <v>0.17100000000000001</v>
      </c>
      <c r="I33" s="814"/>
      <c r="J33" s="813">
        <f>H33</f>
        <v>0.17100000000000001</v>
      </c>
      <c r="K33" s="812"/>
      <c r="L33" s="813">
        <f>J33</f>
        <v>0.17100000000000001</v>
      </c>
      <c r="M33" s="812"/>
      <c r="N33" s="48"/>
      <c r="O33" s="341"/>
      <c r="P33" s="286"/>
      <c r="Q33" s="286"/>
      <c r="R33" s="286"/>
      <c r="S33" s="286"/>
      <c r="T33" s="286"/>
      <c r="U33" s="286"/>
      <c r="V33" s="286"/>
      <c r="W33" s="286"/>
      <c r="X33" s="286"/>
      <c r="Y33" s="286"/>
      <c r="Z33" s="421"/>
      <c r="AA33" s="421"/>
      <c r="AB33" s="422"/>
    </row>
    <row r="34" spans="1:28" s="45" customFormat="1" ht="13.9" customHeight="1" x14ac:dyDescent="0.2">
      <c r="A34"/>
      <c r="B34" s="226"/>
      <c r="C34" s="973" t="s">
        <v>654</v>
      </c>
      <c r="D34" s="223"/>
      <c r="E34" s="219"/>
      <c r="F34" s="815">
        <f>(F33)*(F17+F24+F22+F28)</f>
        <v>0</v>
      </c>
      <c r="G34" s="816"/>
      <c r="H34" s="815">
        <f>(H33)*(H17+H24+H22+H28)</f>
        <v>0</v>
      </c>
      <c r="I34" s="817"/>
      <c r="J34" s="815">
        <f>(J33)*(J17+J24+J22+J28)</f>
        <v>0</v>
      </c>
      <c r="K34" s="816"/>
      <c r="L34" s="815">
        <f>(L33)*(L17+L24+L22+L28)</f>
        <v>0</v>
      </c>
      <c r="M34" s="802"/>
      <c r="N34" s="48"/>
      <c r="O34" s="1340"/>
      <c r="P34" s="1070"/>
      <c r="Q34" s="1070"/>
      <c r="R34" s="1070"/>
      <c r="S34" s="286"/>
      <c r="T34" s="286"/>
      <c r="U34" s="286"/>
      <c r="V34" s="286"/>
      <c r="W34" s="286"/>
      <c r="X34" s="286"/>
      <c r="Y34" s="286"/>
      <c r="Z34" s="421"/>
      <c r="AA34" s="421"/>
      <c r="AB34" s="422"/>
    </row>
    <row r="35" spans="1:28" s="45" customFormat="1" ht="13.9" customHeight="1" x14ac:dyDescent="0.2">
      <c r="A35"/>
      <c r="B35" s="226"/>
      <c r="C35" s="973" t="s">
        <v>655</v>
      </c>
      <c r="D35" s="218"/>
      <c r="E35" s="219"/>
      <c r="F35" s="818">
        <f>(F13+F14)*F15</f>
        <v>0</v>
      </c>
      <c r="G35" s="802"/>
      <c r="H35" s="818">
        <f>F35+F35*P35</f>
        <v>0</v>
      </c>
      <c r="I35" s="819"/>
      <c r="J35" s="818">
        <f>H35+H35*Q35</f>
        <v>0</v>
      </c>
      <c r="K35" s="802"/>
      <c r="L35" s="818">
        <f>J35+J35*R35</f>
        <v>0</v>
      </c>
      <c r="M35" s="802"/>
      <c r="N35" s="48"/>
      <c r="O35" s="311"/>
      <c r="P35" s="344">
        <v>0.03</v>
      </c>
      <c r="Q35" s="344">
        <f>P35</f>
        <v>0.03</v>
      </c>
      <c r="R35" s="344">
        <f>Q35</f>
        <v>0.03</v>
      </c>
      <c r="S35" s="286"/>
      <c r="T35" s="286"/>
      <c r="U35" s="286"/>
      <c r="V35" s="286"/>
      <c r="W35" s="286"/>
      <c r="X35" s="286"/>
      <c r="Y35" s="286"/>
      <c r="Z35" s="421"/>
      <c r="AA35" s="421"/>
      <c r="AB35" s="422"/>
    </row>
    <row r="36" spans="1:28" s="45" customFormat="1" ht="13.9" customHeight="1" x14ac:dyDescent="0.2">
      <c r="A36"/>
      <c r="B36" s="226"/>
      <c r="C36" s="973" t="s">
        <v>656</v>
      </c>
      <c r="D36" s="223"/>
      <c r="E36" s="224"/>
      <c r="F36" s="811">
        <v>0.24399999999999999</v>
      </c>
      <c r="G36" s="812"/>
      <c r="H36" s="813">
        <f>F36</f>
        <v>0.24399999999999999</v>
      </c>
      <c r="I36" s="814"/>
      <c r="J36" s="813">
        <f>H36</f>
        <v>0.24399999999999999</v>
      </c>
      <c r="K36" s="812"/>
      <c r="L36" s="813">
        <f>J36</f>
        <v>0.24399999999999999</v>
      </c>
      <c r="M36" s="812"/>
      <c r="N36" s="48"/>
      <c r="O36" s="341"/>
      <c r="P36" s="286"/>
      <c r="Q36" s="286"/>
      <c r="R36" s="286"/>
      <c r="S36" s="286"/>
      <c r="T36" s="286"/>
      <c r="U36" s="286"/>
      <c r="V36" s="286"/>
      <c r="W36" s="286"/>
      <c r="X36" s="286"/>
      <c r="Y36" s="286"/>
      <c r="Z36" s="421"/>
      <c r="AA36" s="421"/>
      <c r="AB36" s="422"/>
    </row>
    <row r="37" spans="1:28" s="45" customFormat="1" ht="13.9" customHeight="1" x14ac:dyDescent="0.2">
      <c r="A37"/>
      <c r="B37" s="226"/>
      <c r="C37" s="973" t="s">
        <v>657</v>
      </c>
      <c r="D37" s="223"/>
      <c r="E37" s="219"/>
      <c r="F37" s="574">
        <f>F35*F36</f>
        <v>0</v>
      </c>
      <c r="G37" s="802"/>
      <c r="H37" s="574">
        <f>H35*H36</f>
        <v>0</v>
      </c>
      <c r="I37" s="819"/>
      <c r="J37" s="574">
        <f>J35*J36</f>
        <v>0</v>
      </c>
      <c r="K37" s="802"/>
      <c r="L37" s="574">
        <f>L35*L36</f>
        <v>0</v>
      </c>
      <c r="M37" s="802"/>
      <c r="N37" s="48"/>
      <c r="O37" s="341"/>
      <c r="P37" s="286"/>
      <c r="Q37" s="286"/>
      <c r="R37" s="286"/>
      <c r="S37" s="286"/>
      <c r="T37" s="286"/>
      <c r="U37" s="286"/>
      <c r="V37" s="286"/>
      <c r="W37" s="286"/>
      <c r="X37" s="286"/>
      <c r="Y37" s="286"/>
      <c r="Z37" s="421"/>
      <c r="AA37" s="421"/>
      <c r="AB37" s="422"/>
    </row>
    <row r="38" spans="1:28" s="45" customFormat="1" ht="13.9" customHeight="1" x14ac:dyDescent="0.2">
      <c r="A38"/>
      <c r="B38" s="226"/>
      <c r="C38" s="973" t="s">
        <v>658</v>
      </c>
      <c r="D38" s="223"/>
      <c r="E38" s="219"/>
      <c r="F38" s="548">
        <v>0</v>
      </c>
      <c r="G38" s="802"/>
      <c r="H38" s="548">
        <f>F38</f>
        <v>0</v>
      </c>
      <c r="I38" s="819"/>
      <c r="J38" s="548">
        <f>H38</f>
        <v>0</v>
      </c>
      <c r="K38" s="802"/>
      <c r="L38" s="548">
        <f>J38</f>
        <v>0</v>
      </c>
      <c r="M38" s="802"/>
      <c r="N38" s="48"/>
      <c r="O38" s="341" t="s">
        <v>0</v>
      </c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421"/>
      <c r="AA38" s="421"/>
      <c r="AB38" s="422"/>
    </row>
    <row r="39" spans="1:28" s="4" customFormat="1" ht="13.9" customHeight="1" x14ac:dyDescent="0.2">
      <c r="A39"/>
      <c r="B39" s="378"/>
      <c r="C39" s="1267" t="s">
        <v>21</v>
      </c>
      <c r="D39" s="450"/>
      <c r="E39" s="222"/>
      <c r="F39" s="820">
        <f>(F40)*(F17+F24+F22+F28)</f>
        <v>0</v>
      </c>
      <c r="G39" s="821"/>
      <c r="H39" s="820">
        <f>(H40)*(H17+H24+H22+H28)</f>
        <v>0</v>
      </c>
      <c r="I39" s="822"/>
      <c r="J39" s="820">
        <f>(J40)*(J17+J24+J22+J28)</f>
        <v>0</v>
      </c>
      <c r="K39" s="821"/>
      <c r="L39" s="820">
        <f>(L40)*(L17+L24+L22+L28)</f>
        <v>0</v>
      </c>
      <c r="M39" s="810"/>
      <c r="N39" s="27"/>
      <c r="O39" s="341"/>
      <c r="P39" s="286"/>
      <c r="Q39" s="286"/>
      <c r="R39" s="286"/>
      <c r="S39" s="286"/>
      <c r="T39" s="286"/>
      <c r="U39" s="286"/>
      <c r="V39" s="286"/>
      <c r="W39" s="286"/>
      <c r="X39" s="286"/>
      <c r="Y39" s="286"/>
      <c r="Z39" s="421"/>
      <c r="AA39" s="421"/>
      <c r="AB39" s="422"/>
    </row>
    <row r="40" spans="1:28" s="45" customFormat="1" ht="13.9" customHeight="1" x14ac:dyDescent="0.2">
      <c r="A40"/>
      <c r="B40" s="226"/>
      <c r="C40" s="973" t="s">
        <v>659</v>
      </c>
      <c r="D40" s="225"/>
      <c r="E40" s="224"/>
      <c r="F40" s="811">
        <v>2.7900000000000001E-2</v>
      </c>
      <c r="G40" s="812"/>
      <c r="H40" s="813">
        <f>F40</f>
        <v>2.7900000000000001E-2</v>
      </c>
      <c r="I40" s="814"/>
      <c r="J40" s="813">
        <f>H40</f>
        <v>2.7900000000000001E-2</v>
      </c>
      <c r="K40" s="812"/>
      <c r="L40" s="813">
        <f>J40</f>
        <v>2.7900000000000001E-2</v>
      </c>
      <c r="M40" s="812"/>
      <c r="N40" s="48"/>
      <c r="O40" s="341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421"/>
      <c r="AA40" s="421"/>
      <c r="AB40" s="422"/>
    </row>
    <row r="41" spans="1:28" s="45" customFormat="1" ht="13.9" customHeight="1" x14ac:dyDescent="0.2">
      <c r="A41"/>
      <c r="B41" s="226"/>
      <c r="C41" s="1430" t="s">
        <v>552</v>
      </c>
      <c r="D41" s="223"/>
      <c r="E41" s="219"/>
      <c r="F41" s="820">
        <f>1.7 %*F35+1.91%*(F12+F14*F15)</f>
        <v>0</v>
      </c>
      <c r="G41" s="821"/>
      <c r="H41" s="820">
        <f>1.7%*H35+1.91%*(H12+H14*H15)</f>
        <v>0</v>
      </c>
      <c r="I41" s="823"/>
      <c r="J41" s="820">
        <f>1.7%*J35+1.91%*(J12+J14*J15)</f>
        <v>0</v>
      </c>
      <c r="K41" s="821"/>
      <c r="L41" s="820">
        <f>1.7%*L35+1.91%*(L12+L14*L15)</f>
        <v>0</v>
      </c>
      <c r="M41" s="802"/>
      <c r="N41" s="48"/>
      <c r="O41" s="1341"/>
      <c r="P41" s="1342"/>
      <c r="Q41" s="1342"/>
      <c r="R41" s="1342"/>
      <c r="S41" s="286"/>
      <c r="T41" s="286"/>
      <c r="U41" s="286"/>
      <c r="V41" s="286"/>
      <c r="W41" s="286"/>
      <c r="X41" s="286"/>
      <c r="Y41" s="286"/>
      <c r="Z41" s="421"/>
      <c r="AA41" s="421"/>
      <c r="AB41" s="422"/>
    </row>
    <row r="42" spans="1:28" s="45" customFormat="1" ht="13.9" customHeight="1" x14ac:dyDescent="0.2">
      <c r="A42"/>
      <c r="B42" s="226"/>
      <c r="C42" s="1430" t="s">
        <v>517</v>
      </c>
      <c r="D42" s="223"/>
      <c r="E42" s="219"/>
      <c r="F42" s="1542">
        <v>0</v>
      </c>
      <c r="G42" s="810"/>
      <c r="H42" s="1542">
        <f>F42+F42*P42</f>
        <v>0</v>
      </c>
      <c r="I42" s="824"/>
      <c r="J42" s="1542">
        <f>H42+H42*Q42</f>
        <v>0</v>
      </c>
      <c r="K42" s="810"/>
      <c r="L42" s="1542">
        <f>J42+J42*R42</f>
        <v>0</v>
      </c>
      <c r="M42" s="802"/>
      <c r="N42" s="48"/>
      <c r="O42" s="311"/>
      <c r="P42" s="344">
        <v>0.03</v>
      </c>
      <c r="Q42" s="344">
        <f>P42</f>
        <v>0.03</v>
      </c>
      <c r="R42" s="344">
        <f>Q42</f>
        <v>0.03</v>
      </c>
      <c r="S42" s="286"/>
      <c r="T42" s="286"/>
      <c r="U42" s="286"/>
      <c r="V42" s="286"/>
      <c r="W42" s="286"/>
      <c r="X42" s="286"/>
      <c r="Y42" s="286"/>
      <c r="Z42" s="421"/>
      <c r="AA42" s="421"/>
      <c r="AB42" s="422"/>
    </row>
    <row r="43" spans="1:28" s="45" customFormat="1" ht="13.9" customHeight="1" x14ac:dyDescent="0.2">
      <c r="A43"/>
      <c r="B43" s="226"/>
      <c r="C43" s="1267" t="s">
        <v>276</v>
      </c>
      <c r="D43" s="223"/>
      <c r="E43" s="219"/>
      <c r="F43" s="825">
        <v>0</v>
      </c>
      <c r="G43" s="810"/>
      <c r="H43" s="825">
        <f>F43+F43*P43</f>
        <v>0</v>
      </c>
      <c r="I43" s="810"/>
      <c r="J43" s="825">
        <f>H43+H43*Q43</f>
        <v>0</v>
      </c>
      <c r="K43" s="810"/>
      <c r="L43" s="825">
        <f>J43+J43*R43</f>
        <v>0</v>
      </c>
      <c r="M43" s="810"/>
      <c r="N43" s="48"/>
      <c r="O43" s="311"/>
      <c r="P43" s="344">
        <v>0.03</v>
      </c>
      <c r="Q43" s="344">
        <f>P43</f>
        <v>0.03</v>
      </c>
      <c r="R43" s="344">
        <f>Q43</f>
        <v>0.03</v>
      </c>
      <c r="S43" s="286"/>
      <c r="T43" s="286"/>
      <c r="U43" s="286"/>
      <c r="V43" s="286"/>
      <c r="W43" s="286"/>
      <c r="X43" s="286"/>
      <c r="Y43" s="286"/>
      <c r="Z43" s="421"/>
      <c r="AA43" s="421"/>
      <c r="AB43" s="422"/>
    </row>
    <row r="44" spans="1:28" s="45" customFormat="1" ht="13.9" customHeight="1" thickBot="1" x14ac:dyDescent="0.25">
      <c r="A44"/>
      <c r="B44" s="226"/>
      <c r="C44" s="42" t="s">
        <v>36</v>
      </c>
      <c r="D44" s="227"/>
      <c r="E44" s="228"/>
      <c r="F44" s="826">
        <f>F31+F11</f>
        <v>0</v>
      </c>
      <c r="G44" s="827">
        <v>100</v>
      </c>
      <c r="H44" s="826">
        <f>H31+H11</f>
        <v>0</v>
      </c>
      <c r="I44" s="827">
        <v>100</v>
      </c>
      <c r="J44" s="826">
        <f>J31+J11</f>
        <v>0</v>
      </c>
      <c r="K44" s="827">
        <v>100</v>
      </c>
      <c r="L44" s="826">
        <f>L31+L11</f>
        <v>0</v>
      </c>
      <c r="M44" s="827">
        <v>100</v>
      </c>
      <c r="N44" s="48"/>
      <c r="O44" s="341"/>
      <c r="P44" s="286"/>
      <c r="Q44" s="286"/>
      <c r="R44" s="286"/>
      <c r="S44" s="286"/>
      <c r="T44" s="286"/>
      <c r="U44" s="286"/>
      <c r="V44" s="286"/>
      <c r="W44" s="286"/>
      <c r="X44" s="286"/>
      <c r="Y44" s="286"/>
      <c r="Z44" s="421"/>
      <c r="AA44" s="421"/>
      <c r="AB44" s="422"/>
    </row>
    <row r="45" spans="1:28" s="1" customFormat="1" ht="13.9" customHeight="1" x14ac:dyDescent="0.2">
      <c r="A45"/>
      <c r="B45" s="994" t="s">
        <v>4</v>
      </c>
      <c r="C45" s="1000" t="s">
        <v>22</v>
      </c>
      <c r="D45" s="1001">
        <f>D46+D52+D63+D69+D74+D79+D83+D86+D87+D88+D94+D99+D104+D108+D113+D117+D118+D119+D122+D120+D121+D123+D124</f>
        <v>0</v>
      </c>
      <c r="E45" s="809">
        <v>100</v>
      </c>
      <c r="F45" s="798">
        <f>F46+F52+F63+F69+F74+F79+F83+F86+F87+F88+F94+F99+F104+F108+F113+F117+F118+F119+F122+F120+F121+F123+F124</f>
        <v>0</v>
      </c>
      <c r="G45" s="799">
        <v>100</v>
      </c>
      <c r="H45" s="798">
        <f>H46+H52+H63+H69+H74+H79+H83+H86+H87+H88+H94+H99+H104+H108+H113+H117+H118+H119+H122+H120+H121+H123+H124</f>
        <v>0</v>
      </c>
      <c r="I45" s="799">
        <v>100</v>
      </c>
      <c r="J45" s="798">
        <f>J46+J52+J63+J69+J74+J79+J83+J86+J87+J88+J94+J99+J104+J108+J113+J117+J118+J119+J122+J120+J121+J123+J124</f>
        <v>0</v>
      </c>
      <c r="K45" s="799">
        <v>100</v>
      </c>
      <c r="L45" s="798">
        <f>L46+L52+L63+L69+L74+L79+L83+L86+L87+L88+L94+L99+L104+L108+L113+L117+L118+L119+L122+L120+L121+L123+L124</f>
        <v>0</v>
      </c>
      <c r="M45" s="799">
        <v>100</v>
      </c>
      <c r="N45" s="3"/>
      <c r="O45" s="341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421"/>
      <c r="AA45" s="421"/>
      <c r="AB45" s="422"/>
    </row>
    <row r="46" spans="1:28" s="4" customFormat="1" ht="13.9" customHeight="1" x14ac:dyDescent="0.2">
      <c r="A46"/>
      <c r="B46" s="378" t="s">
        <v>0</v>
      </c>
      <c r="C46" s="977" t="s">
        <v>23</v>
      </c>
      <c r="D46" s="999">
        <f>SUM(D47:D51)</f>
        <v>0</v>
      </c>
      <c r="E46" s="839">
        <f>IF(D$45=0,0,100*D46/D$45)</f>
        <v>0</v>
      </c>
      <c r="F46" s="838">
        <f>SUM(F47:F51)</f>
        <v>0</v>
      </c>
      <c r="G46" s="839">
        <f>IF(F$45=0,0,100*F46/F$45)</f>
        <v>0</v>
      </c>
      <c r="H46" s="838">
        <f>SUM(H47:H51)</f>
        <v>0</v>
      </c>
      <c r="I46" s="839">
        <f>IF(H$45=0,0,100*H46/H$45)</f>
        <v>0</v>
      </c>
      <c r="J46" s="838">
        <f>SUM(J47:J51)</f>
        <v>0</v>
      </c>
      <c r="K46" s="839">
        <f>IF(J$45=0,0,100*J46/J$45)</f>
        <v>0</v>
      </c>
      <c r="L46" s="838">
        <f>SUM(L47:L51)</f>
        <v>0</v>
      </c>
      <c r="M46" s="839">
        <f>IF(L$45=0,0,100*L46/L$45)</f>
        <v>0</v>
      </c>
      <c r="N46" s="43"/>
      <c r="O46" s="1343"/>
      <c r="P46" s="282"/>
      <c r="Q46" s="282"/>
      <c r="R46" s="282"/>
      <c r="S46" s="286"/>
      <c r="T46" s="286"/>
      <c r="U46" s="286"/>
      <c r="V46" s="286"/>
      <c r="W46" s="286"/>
      <c r="X46" s="286"/>
      <c r="Y46" s="286"/>
      <c r="Z46" s="421"/>
      <c r="AA46" s="421"/>
      <c r="AB46" s="422"/>
    </row>
    <row r="47" spans="1:28" s="45" customFormat="1" ht="13.9" customHeight="1" x14ac:dyDescent="0.2">
      <c r="A47"/>
      <c r="B47" s="226"/>
      <c r="C47" s="973" t="s">
        <v>660</v>
      </c>
      <c r="D47" s="972"/>
      <c r="E47" s="816"/>
      <c r="F47" s="548">
        <f>D47+D47*O47</f>
        <v>0</v>
      </c>
      <c r="G47" s="816"/>
      <c r="H47" s="548">
        <f>F47+F47*P47</f>
        <v>0</v>
      </c>
      <c r="I47" s="816"/>
      <c r="J47" s="548">
        <f>H47+H47*Q47</f>
        <v>0</v>
      </c>
      <c r="K47" s="816"/>
      <c r="L47" s="548">
        <f>J47+J47*R47</f>
        <v>0</v>
      </c>
      <c r="M47" s="816"/>
      <c r="N47" s="49"/>
      <c r="O47" s="344">
        <v>0.03</v>
      </c>
      <c r="P47" s="344">
        <f t="shared" ref="P47:R61" si="0">O47</f>
        <v>0.03</v>
      </c>
      <c r="Q47" s="344">
        <f t="shared" si="0"/>
        <v>0.03</v>
      </c>
      <c r="R47" s="344">
        <f t="shared" si="0"/>
        <v>0.03</v>
      </c>
      <c r="S47" s="286"/>
      <c r="T47" s="286"/>
      <c r="U47" s="286"/>
      <c r="V47" s="286"/>
      <c r="W47" s="286"/>
      <c r="X47" s="286"/>
      <c r="Y47" s="286"/>
      <c r="Z47" s="421"/>
      <c r="AA47" s="421"/>
      <c r="AB47" s="422"/>
    </row>
    <row r="48" spans="1:28" s="45" customFormat="1" ht="13.9" customHeight="1" x14ac:dyDescent="0.2">
      <c r="A48"/>
      <c r="B48" s="226"/>
      <c r="C48" s="973" t="s">
        <v>661</v>
      </c>
      <c r="D48" s="972"/>
      <c r="E48" s="816"/>
      <c r="F48" s="548">
        <f>D48+D48*O48</f>
        <v>0</v>
      </c>
      <c r="G48" s="816"/>
      <c r="H48" s="548">
        <f>F48+F48*P48</f>
        <v>0</v>
      </c>
      <c r="I48" s="816"/>
      <c r="J48" s="548">
        <f>H48+H48*Q48</f>
        <v>0</v>
      </c>
      <c r="K48" s="816"/>
      <c r="L48" s="548">
        <f>J48+J48*R48</f>
        <v>0</v>
      </c>
      <c r="M48" s="816"/>
      <c r="N48" s="48"/>
      <c r="O48" s="344">
        <v>0.03</v>
      </c>
      <c r="P48" s="344">
        <f t="shared" ref="P48:R49" si="1">O48</f>
        <v>0.03</v>
      </c>
      <c r="Q48" s="344">
        <f t="shared" si="1"/>
        <v>0.03</v>
      </c>
      <c r="R48" s="344">
        <f t="shared" si="1"/>
        <v>0.03</v>
      </c>
      <c r="S48" s="286"/>
      <c r="T48" s="286"/>
      <c r="U48" s="286"/>
      <c r="V48" s="286"/>
      <c r="W48" s="286"/>
      <c r="X48" s="286"/>
      <c r="Y48" s="286"/>
      <c r="Z48" s="421"/>
      <c r="AA48" s="421"/>
      <c r="AB48" s="422"/>
    </row>
    <row r="49" spans="1:28" s="45" customFormat="1" ht="13.9" customHeight="1" x14ac:dyDescent="0.2">
      <c r="A49"/>
      <c r="B49" s="226"/>
      <c r="C49" s="973" t="s">
        <v>662</v>
      </c>
      <c r="D49" s="972"/>
      <c r="E49" s="816"/>
      <c r="F49" s="548">
        <f>D49+D49*O49</f>
        <v>0</v>
      </c>
      <c r="G49" s="816"/>
      <c r="H49" s="548">
        <f>F49+F49*P49</f>
        <v>0</v>
      </c>
      <c r="I49" s="816"/>
      <c r="J49" s="548">
        <f>H49+H49*Q49</f>
        <v>0</v>
      </c>
      <c r="K49" s="816"/>
      <c r="L49" s="548">
        <f>J49+J49*R49</f>
        <v>0</v>
      </c>
      <c r="M49" s="816"/>
      <c r="N49" s="48"/>
      <c r="O49" s="344">
        <v>0.03</v>
      </c>
      <c r="P49" s="344">
        <f t="shared" si="1"/>
        <v>0.03</v>
      </c>
      <c r="Q49" s="344">
        <f t="shared" si="1"/>
        <v>0.03</v>
      </c>
      <c r="R49" s="344">
        <f t="shared" si="1"/>
        <v>0.03</v>
      </c>
      <c r="S49" s="286"/>
      <c r="T49" s="286" t="s">
        <v>475</v>
      </c>
      <c r="U49" s="286"/>
      <c r="V49" s="286"/>
      <c r="W49" s="286"/>
      <c r="X49" s="286"/>
      <c r="Y49" s="286"/>
      <c r="Z49" s="421"/>
      <c r="AA49" s="421"/>
      <c r="AB49" s="422"/>
    </row>
    <row r="50" spans="1:28" s="45" customFormat="1" ht="13.9" customHeight="1" x14ac:dyDescent="0.2">
      <c r="A50"/>
      <c r="B50" s="226"/>
      <c r="C50" s="973" t="s">
        <v>663</v>
      </c>
      <c r="D50" s="972"/>
      <c r="E50" s="816"/>
      <c r="F50" s="548">
        <f>D50+D50*O50</f>
        <v>0</v>
      </c>
      <c r="G50" s="816"/>
      <c r="H50" s="548">
        <f>F50+F50*P50</f>
        <v>0</v>
      </c>
      <c r="I50" s="816"/>
      <c r="J50" s="548">
        <f>H50+H50*Q50</f>
        <v>0</v>
      </c>
      <c r="K50" s="816"/>
      <c r="L50" s="548">
        <f>J50+J50*R50</f>
        <v>0</v>
      </c>
      <c r="M50" s="816"/>
      <c r="N50" s="48"/>
      <c r="O50" s="344">
        <v>0.03</v>
      </c>
      <c r="P50" s="344">
        <f t="shared" si="0"/>
        <v>0.03</v>
      </c>
      <c r="Q50" s="344">
        <f t="shared" si="0"/>
        <v>0.03</v>
      </c>
      <c r="R50" s="344">
        <f t="shared" si="0"/>
        <v>0.03</v>
      </c>
      <c r="S50" s="286"/>
      <c r="T50" s="286"/>
      <c r="U50" s="286"/>
      <c r="V50" s="286"/>
      <c r="W50" s="286"/>
      <c r="X50" s="286"/>
      <c r="Y50" s="286"/>
      <c r="Z50" s="421"/>
      <c r="AA50" s="421"/>
      <c r="AB50" s="422"/>
    </row>
    <row r="51" spans="1:28" s="45" customFormat="1" ht="13.9" customHeight="1" thickBot="1" x14ac:dyDescent="0.25">
      <c r="A51"/>
      <c r="B51" s="226"/>
      <c r="C51" s="975" t="s">
        <v>735</v>
      </c>
      <c r="D51" s="972"/>
      <c r="E51" s="830"/>
      <c r="F51" s="548">
        <f>D51+D51*O51</f>
        <v>0</v>
      </c>
      <c r="G51" s="830"/>
      <c r="H51" s="548">
        <f>F51+F51*P51</f>
        <v>0</v>
      </c>
      <c r="I51" s="830"/>
      <c r="J51" s="831">
        <f>H51+H51*Q51</f>
        <v>0</v>
      </c>
      <c r="K51" s="830"/>
      <c r="L51" s="831">
        <f>J51+J51*R51</f>
        <v>0</v>
      </c>
      <c r="M51" s="830"/>
      <c r="N51" s="48"/>
      <c r="O51" s="344">
        <v>0.03</v>
      </c>
      <c r="P51" s="344">
        <f t="shared" si="0"/>
        <v>0.03</v>
      </c>
      <c r="Q51" s="344">
        <f t="shared" si="0"/>
        <v>0.03</v>
      </c>
      <c r="R51" s="344">
        <f t="shared" si="0"/>
        <v>0.03</v>
      </c>
      <c r="S51" s="286"/>
      <c r="T51" s="286"/>
      <c r="U51" s="286"/>
      <c r="V51" s="286"/>
      <c r="W51" s="286"/>
      <c r="X51" s="286"/>
      <c r="Y51" s="286"/>
      <c r="Z51" s="421"/>
      <c r="AA51" s="421"/>
      <c r="AB51" s="422"/>
    </row>
    <row r="52" spans="1:28" s="4" customFormat="1" ht="13.9" customHeight="1" x14ac:dyDescent="0.2">
      <c r="A52"/>
      <c r="B52" s="982" t="s">
        <v>0</v>
      </c>
      <c r="C52" s="974" t="s">
        <v>24</v>
      </c>
      <c r="D52" s="828">
        <f>SUM(D53:D62)</f>
        <v>0</v>
      </c>
      <c r="E52" s="829">
        <f>IF(D$45=0,0,100*D52/D$45)</f>
        <v>0</v>
      </c>
      <c r="F52" s="828">
        <f>SUM(F53:F62)</f>
        <v>0</v>
      </c>
      <c r="G52" s="829">
        <f>IF(F$45=0,0,100*F52/F$45)</f>
        <v>0</v>
      </c>
      <c r="H52" s="828">
        <f>SUM(H53:H62)</f>
        <v>0</v>
      </c>
      <c r="I52" s="829">
        <f>IF(H$45=0,0,100*H52/H$45)</f>
        <v>0</v>
      </c>
      <c r="J52" s="828">
        <f>SUM(J53:J62)</f>
        <v>0</v>
      </c>
      <c r="K52" s="829">
        <f>IF(J$45=0,0,100*J52/J$45)</f>
        <v>0</v>
      </c>
      <c r="L52" s="828">
        <f>SUM(L53:L62)</f>
        <v>0</v>
      </c>
      <c r="M52" s="829">
        <f>IF(L$45=0,0,100*L52/L$45)</f>
        <v>0</v>
      </c>
      <c r="N52" s="43"/>
      <c r="O52" s="1344"/>
      <c r="P52" s="282"/>
      <c r="Q52" s="282"/>
      <c r="R52" s="282"/>
      <c r="S52" s="286"/>
      <c r="T52" s="286"/>
      <c r="U52" s="286"/>
      <c r="V52" s="286"/>
      <c r="W52" s="286"/>
      <c r="X52" s="286"/>
      <c r="Y52" s="286"/>
      <c r="Z52" s="421"/>
      <c r="AA52" s="421"/>
      <c r="AB52" s="422"/>
    </row>
    <row r="53" spans="1:28" s="45" customFormat="1" ht="13.9" customHeight="1" x14ac:dyDescent="0.2">
      <c r="A53"/>
      <c r="B53" s="983"/>
      <c r="C53" s="973" t="s">
        <v>664</v>
      </c>
      <c r="D53" s="548"/>
      <c r="E53" s="816"/>
      <c r="F53" s="548">
        <f>D53+D53*O53</f>
        <v>0</v>
      </c>
      <c r="G53" s="816"/>
      <c r="H53" s="548">
        <f>F53+F53*P53</f>
        <v>0</v>
      </c>
      <c r="I53" s="816"/>
      <c r="J53" s="548">
        <f>H53+H53*Q53</f>
        <v>0</v>
      </c>
      <c r="K53" s="816"/>
      <c r="L53" s="548">
        <f t="shared" ref="L53:L62" si="2">J53+J53*R53</f>
        <v>0</v>
      </c>
      <c r="M53" s="816"/>
      <c r="N53" s="49"/>
      <c r="O53" s="344">
        <v>0.03</v>
      </c>
      <c r="P53" s="344">
        <f t="shared" si="0"/>
        <v>0.03</v>
      </c>
      <c r="Q53" s="344">
        <f t="shared" ref="Q53:R62" si="3">P53</f>
        <v>0.03</v>
      </c>
      <c r="R53" s="344">
        <f t="shared" si="3"/>
        <v>0.03</v>
      </c>
      <c r="S53" s="286"/>
      <c r="T53" s="286"/>
      <c r="U53" s="286"/>
      <c r="V53" s="286"/>
      <c r="W53" s="286"/>
      <c r="X53" s="286"/>
      <c r="Y53" s="286"/>
      <c r="Z53" s="421"/>
      <c r="AA53" s="421"/>
      <c r="AB53" s="422"/>
    </row>
    <row r="54" spans="1:28" s="45" customFormat="1" ht="13.9" customHeight="1" x14ac:dyDescent="0.2">
      <c r="A54" s="46"/>
      <c r="B54" s="226"/>
      <c r="C54" s="973" t="s">
        <v>665</v>
      </c>
      <c r="D54" s="548"/>
      <c r="E54" s="816"/>
      <c r="F54" s="548">
        <f t="shared" ref="F54:F62" si="4">D54+D54*O54</f>
        <v>0</v>
      </c>
      <c r="G54" s="816"/>
      <c r="H54" s="548">
        <f t="shared" ref="H54:H62" si="5">F54+F54*P54</f>
        <v>0</v>
      </c>
      <c r="I54" s="816"/>
      <c r="J54" s="548">
        <f t="shared" ref="J54:J62" si="6">H54+H54*Q54</f>
        <v>0</v>
      </c>
      <c r="K54" s="816"/>
      <c r="L54" s="548">
        <f t="shared" si="2"/>
        <v>0</v>
      </c>
      <c r="M54" s="816"/>
      <c r="N54" s="50"/>
      <c r="O54" s="344">
        <v>0.03</v>
      </c>
      <c r="P54" s="344">
        <f>O54</f>
        <v>0.03</v>
      </c>
      <c r="Q54" s="344">
        <f t="shared" si="3"/>
        <v>0.03</v>
      </c>
      <c r="R54" s="344">
        <f t="shared" si="3"/>
        <v>0.03</v>
      </c>
      <c r="S54" s="286"/>
      <c r="T54" s="286"/>
      <c r="U54" s="286"/>
      <c r="V54" s="286"/>
      <c r="W54" s="286"/>
      <c r="X54" s="286"/>
      <c r="Y54" s="286"/>
      <c r="Z54" s="421"/>
      <c r="AA54" s="421"/>
      <c r="AB54" s="422"/>
    </row>
    <row r="55" spans="1:28" s="45" customFormat="1" ht="13.9" customHeight="1" x14ac:dyDescent="0.2">
      <c r="A55" s="2"/>
      <c r="B55" s="226"/>
      <c r="C55" s="973" t="s">
        <v>666</v>
      </c>
      <c r="D55" s="548"/>
      <c r="E55" s="816"/>
      <c r="F55" s="548">
        <f t="shared" si="4"/>
        <v>0</v>
      </c>
      <c r="G55" s="816"/>
      <c r="H55" s="548">
        <f t="shared" si="5"/>
        <v>0</v>
      </c>
      <c r="I55" s="816"/>
      <c r="J55" s="548">
        <f t="shared" si="6"/>
        <v>0</v>
      </c>
      <c r="K55" s="816"/>
      <c r="L55" s="548">
        <f t="shared" si="2"/>
        <v>0</v>
      </c>
      <c r="M55" s="816"/>
      <c r="N55" s="50"/>
      <c r="O55" s="344">
        <v>0.03</v>
      </c>
      <c r="P55" s="344">
        <f t="shared" si="0"/>
        <v>0.03</v>
      </c>
      <c r="Q55" s="344">
        <f t="shared" si="3"/>
        <v>0.03</v>
      </c>
      <c r="R55" s="344">
        <f t="shared" si="3"/>
        <v>0.03</v>
      </c>
      <c r="S55" s="286"/>
      <c r="T55" s="286"/>
      <c r="U55" s="286"/>
      <c r="V55" s="286"/>
      <c r="W55" s="286"/>
      <c r="X55" s="286"/>
      <c r="Y55" s="286"/>
      <c r="Z55" s="421"/>
      <c r="AA55" s="421"/>
      <c r="AB55" s="422"/>
    </row>
    <row r="56" spans="1:28" s="45" customFormat="1" ht="13.9" customHeight="1" x14ac:dyDescent="0.2">
      <c r="A56"/>
      <c r="B56" s="226"/>
      <c r="C56" s="973" t="s">
        <v>667</v>
      </c>
      <c r="D56" s="548"/>
      <c r="E56" s="816"/>
      <c r="F56" s="548">
        <f t="shared" si="4"/>
        <v>0</v>
      </c>
      <c r="G56" s="816"/>
      <c r="H56" s="548">
        <f t="shared" si="5"/>
        <v>0</v>
      </c>
      <c r="I56" s="816"/>
      <c r="J56" s="548">
        <f t="shared" si="6"/>
        <v>0</v>
      </c>
      <c r="K56" s="816"/>
      <c r="L56" s="548">
        <f t="shared" si="2"/>
        <v>0</v>
      </c>
      <c r="M56" s="816"/>
      <c r="N56" s="50"/>
      <c r="O56" s="344">
        <v>0.03</v>
      </c>
      <c r="P56" s="344">
        <f>O56</f>
        <v>0.03</v>
      </c>
      <c r="Q56" s="344">
        <f t="shared" si="3"/>
        <v>0.03</v>
      </c>
      <c r="R56" s="344">
        <f t="shared" si="3"/>
        <v>0.03</v>
      </c>
      <c r="S56" s="286"/>
      <c r="T56" s="286"/>
      <c r="U56" s="286" t="s">
        <v>474</v>
      </c>
      <c r="V56" s="286"/>
      <c r="W56" s="286"/>
      <c r="X56" s="286"/>
      <c r="Y56" s="286"/>
      <c r="Z56" s="421"/>
      <c r="AA56" s="421"/>
      <c r="AB56" s="422"/>
    </row>
    <row r="57" spans="1:28" s="45" customFormat="1" ht="13.9" customHeight="1" x14ac:dyDescent="0.2">
      <c r="A57"/>
      <c r="B57" s="226"/>
      <c r="C57" s="973" t="s">
        <v>668</v>
      </c>
      <c r="D57" s="548"/>
      <c r="E57" s="816"/>
      <c r="F57" s="548">
        <f>D57+D57*O57</f>
        <v>0</v>
      </c>
      <c r="G57" s="816"/>
      <c r="H57" s="548">
        <f>F57+F57*P57</f>
        <v>0</v>
      </c>
      <c r="I57" s="816"/>
      <c r="J57" s="548">
        <f t="shared" si="6"/>
        <v>0</v>
      </c>
      <c r="K57" s="816"/>
      <c r="L57" s="548">
        <f t="shared" si="2"/>
        <v>0</v>
      </c>
      <c r="M57" s="816"/>
      <c r="N57" s="50"/>
      <c r="O57" s="344">
        <v>0.03</v>
      </c>
      <c r="P57" s="344">
        <f t="shared" si="0"/>
        <v>0.03</v>
      </c>
      <c r="Q57" s="344">
        <f t="shared" si="3"/>
        <v>0.03</v>
      </c>
      <c r="R57" s="344">
        <f t="shared" si="3"/>
        <v>0.03</v>
      </c>
      <c r="S57" s="286"/>
      <c r="T57" s="286"/>
      <c r="U57" s="286"/>
      <c r="V57" s="286"/>
      <c r="W57" s="286"/>
      <c r="X57" s="286"/>
      <c r="Y57" s="286"/>
      <c r="Z57" s="421"/>
      <c r="AA57" s="421"/>
      <c r="AB57" s="422"/>
    </row>
    <row r="58" spans="1:28" s="45" customFormat="1" ht="13.9" customHeight="1" x14ac:dyDescent="0.2">
      <c r="B58" s="226"/>
      <c r="C58" s="973" t="s">
        <v>669</v>
      </c>
      <c r="D58" s="548"/>
      <c r="E58" s="816"/>
      <c r="F58" s="548">
        <f>D58+D58*O58</f>
        <v>0</v>
      </c>
      <c r="G58" s="816"/>
      <c r="H58" s="548">
        <f t="shared" si="5"/>
        <v>0</v>
      </c>
      <c r="I58" s="816"/>
      <c r="J58" s="548">
        <f t="shared" si="6"/>
        <v>0</v>
      </c>
      <c r="K58" s="816"/>
      <c r="L58" s="548">
        <f t="shared" si="2"/>
        <v>0</v>
      </c>
      <c r="M58" s="816"/>
      <c r="N58" s="50"/>
      <c r="O58" s="344">
        <v>0.03</v>
      </c>
      <c r="P58" s="344">
        <f>O58</f>
        <v>0.03</v>
      </c>
      <c r="Q58" s="344">
        <f t="shared" si="3"/>
        <v>0.03</v>
      </c>
      <c r="R58" s="344">
        <f t="shared" si="3"/>
        <v>0.03</v>
      </c>
      <c r="S58" s="286"/>
      <c r="T58" s="286"/>
      <c r="U58" s="286"/>
      <c r="V58" s="286"/>
      <c r="W58" s="286"/>
      <c r="X58" s="286"/>
      <c r="Y58" s="286"/>
      <c r="Z58" s="421"/>
      <c r="AA58" s="421"/>
      <c r="AB58" s="422"/>
    </row>
    <row r="59" spans="1:28" s="45" customFormat="1" ht="13.9" customHeight="1" x14ac:dyDescent="0.2">
      <c r="A59" s="4"/>
      <c r="B59" s="226"/>
      <c r="C59" s="973" t="s">
        <v>670</v>
      </c>
      <c r="D59" s="548"/>
      <c r="E59" s="816"/>
      <c r="F59" s="548">
        <f t="shared" si="4"/>
        <v>0</v>
      </c>
      <c r="G59" s="816"/>
      <c r="H59" s="548">
        <f t="shared" si="5"/>
        <v>0</v>
      </c>
      <c r="I59" s="816"/>
      <c r="J59" s="548">
        <f t="shared" si="6"/>
        <v>0</v>
      </c>
      <c r="K59" s="816"/>
      <c r="L59" s="548">
        <f t="shared" si="2"/>
        <v>0</v>
      </c>
      <c r="M59" s="816"/>
      <c r="N59" s="50"/>
      <c r="O59" s="344">
        <v>0.03</v>
      </c>
      <c r="P59" s="344">
        <f t="shared" si="0"/>
        <v>0.03</v>
      </c>
      <c r="Q59" s="344">
        <f t="shared" si="3"/>
        <v>0.03</v>
      </c>
      <c r="R59" s="344">
        <f t="shared" si="3"/>
        <v>0.03</v>
      </c>
      <c r="S59" s="286"/>
      <c r="T59" s="286"/>
      <c r="U59" s="286"/>
      <c r="V59" s="286"/>
      <c r="W59" s="286"/>
      <c r="X59" s="286"/>
      <c r="Y59" s="286"/>
      <c r="Z59" s="421"/>
      <c r="AA59" s="421"/>
      <c r="AB59" s="422"/>
    </row>
    <row r="60" spans="1:28" s="45" customFormat="1" ht="13.9" customHeight="1" x14ac:dyDescent="0.2">
      <c r="A60" s="4"/>
      <c r="B60" s="226"/>
      <c r="C60" s="973" t="s">
        <v>671</v>
      </c>
      <c r="D60" s="548"/>
      <c r="E60" s="816"/>
      <c r="F60" s="548">
        <f>D60+D60*O60</f>
        <v>0</v>
      </c>
      <c r="G60" s="816"/>
      <c r="H60" s="548">
        <f>F60+F60*P60</f>
        <v>0</v>
      </c>
      <c r="I60" s="816"/>
      <c r="J60" s="548">
        <f>H60+H60*Q60</f>
        <v>0</v>
      </c>
      <c r="K60" s="816"/>
      <c r="L60" s="548">
        <f>J60+J60*R60</f>
        <v>0</v>
      </c>
      <c r="M60" s="816"/>
      <c r="N60" s="50"/>
      <c r="O60" s="344">
        <v>0.03</v>
      </c>
      <c r="P60" s="344">
        <f>O60</f>
        <v>0.03</v>
      </c>
      <c r="Q60" s="344">
        <f t="shared" si="3"/>
        <v>0.03</v>
      </c>
      <c r="R60" s="344">
        <f t="shared" si="3"/>
        <v>0.03</v>
      </c>
      <c r="S60" s="286"/>
      <c r="T60" s="286"/>
      <c r="U60" s="286"/>
      <c r="V60" s="286"/>
      <c r="W60" s="286"/>
      <c r="X60" s="286"/>
      <c r="Y60" s="286"/>
      <c r="Z60" s="421"/>
      <c r="AA60" s="421"/>
      <c r="AB60" s="422"/>
    </row>
    <row r="61" spans="1:28" s="45" customFormat="1" ht="13.9" customHeight="1" x14ac:dyDescent="0.2">
      <c r="A61" s="2"/>
      <c r="B61" s="226"/>
      <c r="C61" s="973" t="s">
        <v>672</v>
      </c>
      <c r="D61" s="548"/>
      <c r="E61" s="816"/>
      <c r="F61" s="548">
        <f>D61+D61*O61</f>
        <v>0</v>
      </c>
      <c r="G61" s="816"/>
      <c r="H61" s="548">
        <f t="shared" si="5"/>
        <v>0</v>
      </c>
      <c r="I61" s="816">
        <v>0</v>
      </c>
      <c r="J61" s="548">
        <f t="shared" si="6"/>
        <v>0</v>
      </c>
      <c r="K61" s="816"/>
      <c r="L61" s="548">
        <f t="shared" si="2"/>
        <v>0</v>
      </c>
      <c r="M61" s="816"/>
      <c r="N61" s="50"/>
      <c r="O61" s="344">
        <v>0.03</v>
      </c>
      <c r="P61" s="344">
        <f t="shared" si="0"/>
        <v>0.03</v>
      </c>
      <c r="Q61" s="344">
        <f t="shared" si="3"/>
        <v>0.03</v>
      </c>
      <c r="R61" s="344">
        <f t="shared" si="3"/>
        <v>0.03</v>
      </c>
      <c r="S61" s="286"/>
      <c r="T61" s="286"/>
      <c r="U61" s="286"/>
      <c r="V61" s="286"/>
      <c r="W61" s="286"/>
      <c r="X61" s="286"/>
      <c r="Y61" s="286"/>
      <c r="Z61" s="421"/>
      <c r="AA61" s="421"/>
      <c r="AB61" s="422"/>
    </row>
    <row r="62" spans="1:28" s="45" customFormat="1" ht="13.9" customHeight="1" thickBot="1" x14ac:dyDescent="0.25">
      <c r="A62" s="46"/>
      <c r="B62" s="226"/>
      <c r="C62" s="976" t="s">
        <v>673</v>
      </c>
      <c r="D62" s="548"/>
      <c r="E62" s="832"/>
      <c r="F62" s="548">
        <f t="shared" si="4"/>
        <v>0</v>
      </c>
      <c r="G62" s="832"/>
      <c r="H62" s="548">
        <f t="shared" si="5"/>
        <v>0</v>
      </c>
      <c r="I62" s="832"/>
      <c r="J62" s="548">
        <f t="shared" si="6"/>
        <v>0</v>
      </c>
      <c r="K62" s="832"/>
      <c r="L62" s="548">
        <f t="shared" si="2"/>
        <v>0</v>
      </c>
      <c r="M62" s="832"/>
      <c r="N62" s="50"/>
      <c r="O62" s="344">
        <v>0.03</v>
      </c>
      <c r="P62" s="344">
        <f>O62</f>
        <v>0.03</v>
      </c>
      <c r="Q62" s="344">
        <f t="shared" si="3"/>
        <v>0.03</v>
      </c>
      <c r="R62" s="344">
        <f t="shared" si="3"/>
        <v>0.03</v>
      </c>
      <c r="S62" s="286"/>
      <c r="T62" s="286"/>
      <c r="U62" s="286"/>
      <c r="V62" s="286"/>
      <c r="W62" s="286"/>
      <c r="X62" s="286"/>
      <c r="Y62" s="286"/>
      <c r="Z62" s="421"/>
      <c r="AA62" s="421"/>
      <c r="AB62" s="422"/>
    </row>
    <row r="63" spans="1:28" s="4" customFormat="1" ht="13.9" customHeight="1" x14ac:dyDescent="0.2">
      <c r="A63"/>
      <c r="B63" s="378"/>
      <c r="C63" s="974" t="s">
        <v>371</v>
      </c>
      <c r="D63" s="828">
        <f>SUM(D64:D68)</f>
        <v>0</v>
      </c>
      <c r="E63" s="829">
        <f>IF(D$45=0,0,100*D63/D$45)</f>
        <v>0</v>
      </c>
      <c r="F63" s="828">
        <f>SUM(F64:F68)</f>
        <v>0</v>
      </c>
      <c r="G63" s="829">
        <f>IF(F$45=0,0,100*F63/F$45)</f>
        <v>0</v>
      </c>
      <c r="H63" s="828">
        <f>SUM(H64:H68)</f>
        <v>0</v>
      </c>
      <c r="I63" s="829">
        <f>IF(H$45=0,0,100*H63/H$45)</f>
        <v>0</v>
      </c>
      <c r="J63" s="828">
        <f>SUM(J64:J68)</f>
        <v>0</v>
      </c>
      <c r="K63" s="829">
        <f>IF(J$45=0,0,100*J63/J$45)</f>
        <v>0</v>
      </c>
      <c r="L63" s="828">
        <f>SUM(L64:L68)</f>
        <v>0</v>
      </c>
      <c r="M63" s="829">
        <f>IF(L$45=0,0,100*L63/L$45)</f>
        <v>0</v>
      </c>
      <c r="N63" s="27"/>
      <c r="O63" s="1344"/>
      <c r="P63" s="282"/>
      <c r="Q63" s="282"/>
      <c r="R63" s="282"/>
      <c r="S63" s="286"/>
      <c r="T63" s="286"/>
      <c r="U63" s="286"/>
      <c r="V63" s="286"/>
      <c r="W63" s="286"/>
      <c r="X63" s="286"/>
      <c r="Y63" s="286"/>
      <c r="Z63" s="421"/>
      <c r="AA63" s="421"/>
      <c r="AB63" s="422"/>
    </row>
    <row r="64" spans="1:28" s="45" customFormat="1" ht="13.9" customHeight="1" x14ac:dyDescent="0.2">
      <c r="A64" s="46"/>
      <c r="B64" s="226"/>
      <c r="C64" s="973" t="s">
        <v>741</v>
      </c>
      <c r="D64" s="548"/>
      <c r="E64" s="816"/>
      <c r="F64" s="548">
        <f>D64+D64*O64</f>
        <v>0</v>
      </c>
      <c r="G64" s="816"/>
      <c r="H64" s="548">
        <f>F64+F64*Q64</f>
        <v>0</v>
      </c>
      <c r="I64" s="816"/>
      <c r="J64" s="548">
        <f>H64+H64*Q64</f>
        <v>0</v>
      </c>
      <c r="K64" s="816"/>
      <c r="L64" s="548">
        <f>J64+J64*R64</f>
        <v>0</v>
      </c>
      <c r="M64" s="816"/>
      <c r="N64" s="48"/>
      <c r="O64" s="344">
        <v>0.03</v>
      </c>
      <c r="P64" s="344">
        <f t="shared" ref="P64" si="7">O64</f>
        <v>0.03</v>
      </c>
      <c r="Q64" s="344">
        <f t="shared" ref="Q64:R68" si="8">P64</f>
        <v>0.03</v>
      </c>
      <c r="R64" s="344">
        <f t="shared" si="8"/>
        <v>0.03</v>
      </c>
      <c r="S64" s="286"/>
      <c r="T64" s="286"/>
      <c r="U64" s="286"/>
      <c r="V64" s="286"/>
      <c r="W64" s="286"/>
      <c r="X64" s="286"/>
      <c r="Y64" s="286"/>
      <c r="Z64" s="421"/>
      <c r="AA64" s="421"/>
      <c r="AB64" s="422"/>
    </row>
    <row r="65" spans="2:28" s="45" customFormat="1" ht="13.9" customHeight="1" x14ac:dyDescent="0.2">
      <c r="B65" s="226"/>
      <c r="C65" s="973" t="s">
        <v>674</v>
      </c>
      <c r="D65" s="548"/>
      <c r="E65" s="816"/>
      <c r="F65" s="548">
        <f>D65+D65*O65</f>
        <v>0</v>
      </c>
      <c r="G65" s="816"/>
      <c r="H65" s="548">
        <f>F65+F65*P65</f>
        <v>0</v>
      </c>
      <c r="I65" s="816"/>
      <c r="J65" s="548">
        <f>H65+H65*Q65</f>
        <v>0</v>
      </c>
      <c r="K65" s="816"/>
      <c r="L65" s="548">
        <f>J65+J65*R65</f>
        <v>0</v>
      </c>
      <c r="M65" s="816"/>
      <c r="N65" s="48"/>
      <c r="O65" s="344">
        <v>0.03</v>
      </c>
      <c r="P65" s="344">
        <f>O65</f>
        <v>0.03</v>
      </c>
      <c r="Q65" s="344">
        <f t="shared" si="8"/>
        <v>0.03</v>
      </c>
      <c r="R65" s="344">
        <f t="shared" si="8"/>
        <v>0.03</v>
      </c>
      <c r="S65" s="286"/>
      <c r="T65" s="286"/>
      <c r="U65" s="286"/>
      <c r="V65" s="286"/>
      <c r="W65" s="286"/>
      <c r="X65" s="286"/>
      <c r="Y65" s="286"/>
      <c r="Z65" s="421"/>
      <c r="AA65" s="421"/>
      <c r="AB65" s="422"/>
    </row>
    <row r="66" spans="2:28" s="45" customFormat="1" ht="13.9" customHeight="1" x14ac:dyDescent="0.2">
      <c r="B66" s="226"/>
      <c r="C66" s="973" t="s">
        <v>675</v>
      </c>
      <c r="D66" s="548"/>
      <c r="E66" s="816"/>
      <c r="F66" s="548">
        <f>D66+D66*O66</f>
        <v>0</v>
      </c>
      <c r="G66" s="816"/>
      <c r="H66" s="548">
        <f>F66+F66*P66</f>
        <v>0</v>
      </c>
      <c r="I66" s="816"/>
      <c r="J66" s="548">
        <f>H66+H66*Q66</f>
        <v>0</v>
      </c>
      <c r="K66" s="816"/>
      <c r="L66" s="548">
        <f>J66+J66*R66</f>
        <v>0</v>
      </c>
      <c r="M66" s="816"/>
      <c r="N66" s="48"/>
      <c r="O66" s="344">
        <v>0.03</v>
      </c>
      <c r="P66" s="344">
        <f t="shared" ref="P66:P67" si="9">O66</f>
        <v>0.03</v>
      </c>
      <c r="Q66" s="344">
        <f t="shared" si="8"/>
        <v>0.03</v>
      </c>
      <c r="R66" s="344">
        <f t="shared" si="8"/>
        <v>0.03</v>
      </c>
      <c r="S66" s="286"/>
      <c r="T66" s="286"/>
      <c r="U66" s="286"/>
      <c r="V66" s="286"/>
      <c r="W66" s="286"/>
      <c r="X66" s="286"/>
      <c r="Y66" s="286"/>
      <c r="Z66" s="421"/>
      <c r="AA66" s="421"/>
      <c r="AB66" s="422"/>
    </row>
    <row r="67" spans="2:28" s="45" customFormat="1" ht="13.9" customHeight="1" x14ac:dyDescent="0.2">
      <c r="B67" s="226"/>
      <c r="C67" s="973" t="s">
        <v>676</v>
      </c>
      <c r="D67" s="548"/>
      <c r="E67" s="816"/>
      <c r="F67" s="548">
        <f>D67+D67*O67</f>
        <v>0</v>
      </c>
      <c r="G67" s="816"/>
      <c r="H67" s="548">
        <f>F67+F67*P67</f>
        <v>0</v>
      </c>
      <c r="I67" s="816"/>
      <c r="J67" s="548">
        <f>H67+H67*Q67</f>
        <v>0</v>
      </c>
      <c r="K67" s="816"/>
      <c r="L67" s="548">
        <f>J67+J67*R67</f>
        <v>0</v>
      </c>
      <c r="M67" s="816"/>
      <c r="N67" s="48"/>
      <c r="O67" s="344">
        <v>0.03</v>
      </c>
      <c r="P67" s="344">
        <f t="shared" si="9"/>
        <v>0.03</v>
      </c>
      <c r="Q67" s="344">
        <f t="shared" si="8"/>
        <v>0.03</v>
      </c>
      <c r="R67" s="344">
        <f t="shared" si="8"/>
        <v>0.03</v>
      </c>
      <c r="S67" s="286"/>
      <c r="T67" s="286"/>
      <c r="U67" s="286"/>
      <c r="V67" s="286"/>
      <c r="W67" s="286"/>
      <c r="X67" s="286"/>
      <c r="Y67" s="286"/>
      <c r="Z67" s="421"/>
      <c r="AA67" s="421"/>
      <c r="AB67" s="422"/>
    </row>
    <row r="68" spans="2:28" s="45" customFormat="1" ht="13.9" customHeight="1" thickBot="1" x14ac:dyDescent="0.25">
      <c r="B68" s="984"/>
      <c r="C68" s="976" t="s">
        <v>677</v>
      </c>
      <c r="D68" s="548">
        <v>0</v>
      </c>
      <c r="E68" s="832"/>
      <c r="F68" s="548">
        <f>D68+D68*O68</f>
        <v>0</v>
      </c>
      <c r="G68" s="832"/>
      <c r="H68" s="548">
        <f>F68+F68*P68</f>
        <v>0</v>
      </c>
      <c r="I68" s="832"/>
      <c r="J68" s="548">
        <f>H68+H68*Q68</f>
        <v>0</v>
      </c>
      <c r="K68" s="832"/>
      <c r="L68" s="548">
        <f>J68+J68*R68</f>
        <v>0</v>
      </c>
      <c r="M68" s="832"/>
      <c r="N68" s="48"/>
      <c r="O68" s="344">
        <v>0.03</v>
      </c>
      <c r="P68" s="344">
        <f>O68</f>
        <v>0.03</v>
      </c>
      <c r="Q68" s="344">
        <f t="shared" si="8"/>
        <v>0.03</v>
      </c>
      <c r="R68" s="344">
        <f t="shared" si="8"/>
        <v>0.03</v>
      </c>
      <c r="S68" s="423"/>
      <c r="T68" s="423"/>
      <c r="U68" s="423"/>
      <c r="V68" s="423"/>
      <c r="W68" s="423"/>
      <c r="X68" s="423"/>
      <c r="Y68" s="423"/>
      <c r="Z68" s="424"/>
      <c r="AA68" s="424"/>
      <c r="AB68" s="425"/>
    </row>
    <row r="69" spans="2:28" s="4" customFormat="1" ht="13.9" customHeight="1" x14ac:dyDescent="0.2">
      <c r="B69" s="378"/>
      <c r="C69" s="974" t="s">
        <v>26</v>
      </c>
      <c r="D69" s="828">
        <f>SUM(D70:D73)</f>
        <v>0</v>
      </c>
      <c r="E69" s="829">
        <f>IF(D$45=0,0,100*D69/D$45)</f>
        <v>0</v>
      </c>
      <c r="F69" s="828">
        <f>SUM(F70:F73)</f>
        <v>0</v>
      </c>
      <c r="G69" s="829">
        <f>IF(F$45=0,0,100*F69/F$45)</f>
        <v>0</v>
      </c>
      <c r="H69" s="828">
        <f>SUM(H70:H73)</f>
        <v>0</v>
      </c>
      <c r="I69" s="829">
        <f>IF(H$45=0,0,100*H69/H$45)</f>
        <v>0</v>
      </c>
      <c r="J69" s="828">
        <f>SUM(J70:J73)</f>
        <v>0</v>
      </c>
      <c r="K69" s="829">
        <f>IF(J$45=0,0,100*J69/J$45)</f>
        <v>0</v>
      </c>
      <c r="L69" s="828">
        <f>SUM(L70:L73)</f>
        <v>0</v>
      </c>
      <c r="M69" s="829">
        <f>IF(L$45=0,0,100*L69/L$45)</f>
        <v>0</v>
      </c>
      <c r="N69" s="27"/>
      <c r="O69" s="1344"/>
      <c r="P69" s="282"/>
      <c r="Q69" s="282"/>
      <c r="R69" s="282"/>
      <c r="S69" s="286"/>
      <c r="T69" s="286"/>
      <c r="U69" s="286"/>
      <c r="V69" s="286"/>
      <c r="W69" s="286"/>
      <c r="X69" s="286"/>
      <c r="Y69" s="286"/>
      <c r="Z69" s="421"/>
      <c r="AA69" s="421"/>
      <c r="AB69" s="422"/>
    </row>
    <row r="70" spans="2:28" s="45" customFormat="1" ht="13.9" customHeight="1" x14ac:dyDescent="0.2">
      <c r="B70" s="226"/>
      <c r="C70" s="973" t="s">
        <v>742</v>
      </c>
      <c r="D70" s="548">
        <v>0</v>
      </c>
      <c r="E70" s="816"/>
      <c r="F70" s="548">
        <f>D70+D70*O70</f>
        <v>0</v>
      </c>
      <c r="G70" s="816"/>
      <c r="H70" s="548">
        <f>F70+F70*P70</f>
        <v>0</v>
      </c>
      <c r="I70" s="816"/>
      <c r="J70" s="548">
        <f>H70+H70*Q70</f>
        <v>0</v>
      </c>
      <c r="K70" s="816"/>
      <c r="L70" s="548">
        <f>J70+J70*R70</f>
        <v>0</v>
      </c>
      <c r="M70" s="816"/>
      <c r="N70" s="48"/>
      <c r="O70" s="344">
        <v>0.03</v>
      </c>
      <c r="P70" s="344">
        <f t="shared" ref="P70" si="10">O70</f>
        <v>0.03</v>
      </c>
      <c r="Q70" s="344">
        <f t="shared" ref="Q70:R73" si="11">P70</f>
        <v>0.03</v>
      </c>
      <c r="R70" s="344">
        <f t="shared" si="11"/>
        <v>0.03</v>
      </c>
      <c r="S70" s="286"/>
      <c r="T70" s="286"/>
      <c r="U70" s="286"/>
      <c r="V70" s="286"/>
      <c r="W70" s="286"/>
      <c r="X70" s="286"/>
      <c r="Y70" s="286"/>
      <c r="Z70" s="421"/>
      <c r="AA70" s="421"/>
      <c r="AB70" s="422"/>
    </row>
    <row r="71" spans="2:28" s="45" customFormat="1" ht="13.9" customHeight="1" x14ac:dyDescent="0.2">
      <c r="B71" s="226"/>
      <c r="C71" s="973" t="s">
        <v>678</v>
      </c>
      <c r="D71" s="548"/>
      <c r="E71" s="816"/>
      <c r="F71" s="548">
        <f>D71+D71*O71</f>
        <v>0</v>
      </c>
      <c r="G71" s="816"/>
      <c r="H71" s="548">
        <f>F71+F71*P71</f>
        <v>0</v>
      </c>
      <c r="I71" s="816"/>
      <c r="J71" s="548">
        <f>H71+H71*Q71</f>
        <v>0</v>
      </c>
      <c r="K71" s="816"/>
      <c r="L71" s="548">
        <f>J71+J71*R71</f>
        <v>0</v>
      </c>
      <c r="M71" s="816"/>
      <c r="N71" s="48"/>
      <c r="O71" s="344">
        <v>0.03</v>
      </c>
      <c r="P71" s="344">
        <f>O71</f>
        <v>0.03</v>
      </c>
      <c r="Q71" s="344">
        <f t="shared" si="11"/>
        <v>0.03</v>
      </c>
      <c r="R71" s="344">
        <f t="shared" si="11"/>
        <v>0.03</v>
      </c>
      <c r="S71" s="286"/>
      <c r="T71" s="286"/>
      <c r="U71" s="286"/>
      <c r="V71" s="286"/>
      <c r="W71" s="286"/>
      <c r="X71" s="286"/>
      <c r="Y71" s="286"/>
      <c r="Z71" s="421"/>
      <c r="AA71" s="421"/>
      <c r="AB71" s="422"/>
    </row>
    <row r="72" spans="2:28" s="45" customFormat="1" ht="13.9" customHeight="1" x14ac:dyDescent="0.2">
      <c r="B72" s="226"/>
      <c r="C72" s="973" t="s">
        <v>679</v>
      </c>
      <c r="D72" s="548">
        <v>0</v>
      </c>
      <c r="E72" s="816"/>
      <c r="F72" s="548">
        <f>D72+D72*O72</f>
        <v>0</v>
      </c>
      <c r="G72" s="816"/>
      <c r="H72" s="548">
        <f>F72+F72*P72</f>
        <v>0</v>
      </c>
      <c r="I72" s="816"/>
      <c r="J72" s="548">
        <f>H72+H72*Q72</f>
        <v>0</v>
      </c>
      <c r="K72" s="816"/>
      <c r="L72" s="548">
        <f>J72+J72*R72</f>
        <v>0</v>
      </c>
      <c r="M72" s="816"/>
      <c r="N72" s="48"/>
      <c r="O72" s="344">
        <v>0.03</v>
      </c>
      <c r="P72" s="344">
        <f t="shared" ref="P72" si="12">O72</f>
        <v>0.03</v>
      </c>
      <c r="Q72" s="344">
        <f t="shared" si="11"/>
        <v>0.03</v>
      </c>
      <c r="R72" s="344">
        <f t="shared" si="11"/>
        <v>0.03</v>
      </c>
      <c r="S72" s="286"/>
      <c r="T72" s="286"/>
      <c r="U72" s="286"/>
      <c r="V72" s="286"/>
      <c r="W72" s="286"/>
      <c r="X72" s="286"/>
      <c r="Y72" s="286"/>
      <c r="Z72" s="421"/>
      <c r="AA72" s="421"/>
      <c r="AB72" s="422"/>
    </row>
    <row r="73" spans="2:28" s="45" customFormat="1" ht="13.9" customHeight="1" thickBot="1" x14ac:dyDescent="0.25">
      <c r="B73" s="226"/>
      <c r="C73" s="976" t="s">
        <v>680</v>
      </c>
      <c r="D73" s="548">
        <v>0</v>
      </c>
      <c r="E73" s="832"/>
      <c r="F73" s="548">
        <f>D73+D73*O73</f>
        <v>0</v>
      </c>
      <c r="G73" s="832"/>
      <c r="H73" s="548">
        <f>F73+F73*P73</f>
        <v>0</v>
      </c>
      <c r="I73" s="832"/>
      <c r="J73" s="542">
        <f>H73+H73*Q73</f>
        <v>0</v>
      </c>
      <c r="K73" s="832"/>
      <c r="L73" s="542">
        <f>J73+J73*R73</f>
        <v>0</v>
      </c>
      <c r="M73" s="832"/>
      <c r="N73" s="48"/>
      <c r="O73" s="344">
        <v>0.03</v>
      </c>
      <c r="P73" s="344">
        <f>O73</f>
        <v>0.03</v>
      </c>
      <c r="Q73" s="344">
        <f t="shared" si="11"/>
        <v>0.03</v>
      </c>
      <c r="R73" s="344">
        <f t="shared" si="11"/>
        <v>0.03</v>
      </c>
      <c r="S73" s="286"/>
      <c r="T73" s="286"/>
      <c r="U73" s="286"/>
      <c r="V73" s="286"/>
      <c r="W73" s="286"/>
      <c r="X73" s="286"/>
      <c r="Y73" s="286"/>
      <c r="Z73" s="421"/>
      <c r="AA73" s="421"/>
      <c r="AB73" s="422"/>
    </row>
    <row r="74" spans="2:28" s="4" customFormat="1" ht="13.9" customHeight="1" x14ac:dyDescent="0.2">
      <c r="B74" s="378"/>
      <c r="C74" s="977" t="s">
        <v>372</v>
      </c>
      <c r="D74" s="828">
        <f>SUM(D75:D78)</f>
        <v>0</v>
      </c>
      <c r="E74" s="829">
        <f>IF(D$45=0,0,100*D74/D$45)</f>
        <v>0</v>
      </c>
      <c r="F74" s="828">
        <f>SUM(F75:F78)</f>
        <v>0</v>
      </c>
      <c r="G74" s="829">
        <f>IF(F$45=0,0,100*F74/F$45)</f>
        <v>0</v>
      </c>
      <c r="H74" s="828">
        <f>SUM(H75:H78)</f>
        <v>0</v>
      </c>
      <c r="I74" s="829">
        <f>IF(H$45=0,0,100*H74/H$45)</f>
        <v>0</v>
      </c>
      <c r="J74" s="828">
        <f>SUM(J75:J78)</f>
        <v>0</v>
      </c>
      <c r="K74" s="829">
        <f>IF(J$45=0,0,100*J74/J$45)</f>
        <v>0</v>
      </c>
      <c r="L74" s="828">
        <f>SUM(L75:L78)</f>
        <v>0</v>
      </c>
      <c r="M74" s="833">
        <f>IF(L$45=0,0,100*L74/L$45)</f>
        <v>0</v>
      </c>
      <c r="N74" s="27"/>
      <c r="O74" s="1344"/>
      <c r="P74" s="282"/>
      <c r="Q74" s="282"/>
      <c r="R74" s="282"/>
      <c r="S74" s="286"/>
      <c r="T74" s="286"/>
      <c r="U74" s="286"/>
      <c r="V74" s="286"/>
      <c r="W74" s="286"/>
      <c r="X74" s="286"/>
      <c r="Y74" s="286"/>
      <c r="Z74" s="421"/>
      <c r="AA74" s="421"/>
      <c r="AB74" s="422"/>
    </row>
    <row r="75" spans="2:28" s="45" customFormat="1" ht="13.9" customHeight="1" x14ac:dyDescent="0.2">
      <c r="B75" s="226"/>
      <c r="C75" s="1631" t="s">
        <v>743</v>
      </c>
      <c r="D75" s="548">
        <v>0</v>
      </c>
      <c r="E75" s="816"/>
      <c r="F75" s="548">
        <f t="shared" ref="F75" si="13">D75+D75*O75</f>
        <v>0</v>
      </c>
      <c r="G75" s="816"/>
      <c r="H75" s="548">
        <f>F75+F75*P75</f>
        <v>0</v>
      </c>
      <c r="I75" s="816"/>
      <c r="J75" s="548">
        <f>H75+H75*Q75</f>
        <v>0</v>
      </c>
      <c r="K75" s="816"/>
      <c r="L75" s="548">
        <f>J75+J75*R75</f>
        <v>0</v>
      </c>
      <c r="M75" s="816"/>
      <c r="N75" s="48"/>
      <c r="O75" s="344">
        <v>0.03</v>
      </c>
      <c r="P75" s="344">
        <f t="shared" ref="P75" si="14">O75</f>
        <v>0.03</v>
      </c>
      <c r="Q75" s="344">
        <f t="shared" ref="Q75:R78" si="15">P75</f>
        <v>0.03</v>
      </c>
      <c r="R75" s="344">
        <f t="shared" si="15"/>
        <v>0.03</v>
      </c>
      <c r="S75" s="286"/>
      <c r="T75" s="286"/>
      <c r="U75" s="286"/>
      <c r="V75" s="286"/>
      <c r="W75" s="286"/>
      <c r="X75" s="286"/>
      <c r="Y75" s="286"/>
      <c r="Z75" s="421"/>
      <c r="AA75" s="421"/>
      <c r="AB75" s="422"/>
    </row>
    <row r="76" spans="2:28" s="45" customFormat="1" ht="13.9" customHeight="1" x14ac:dyDescent="0.2">
      <c r="B76" s="226"/>
      <c r="C76" s="973" t="s">
        <v>681</v>
      </c>
      <c r="D76" s="548">
        <v>0</v>
      </c>
      <c r="E76" s="816"/>
      <c r="F76" s="548">
        <f>D76+D76*O76</f>
        <v>0</v>
      </c>
      <c r="G76" s="816"/>
      <c r="H76" s="548">
        <f>F76+F76*P76</f>
        <v>0</v>
      </c>
      <c r="I76" s="816"/>
      <c r="J76" s="548">
        <f>H76+H76*Q76</f>
        <v>0</v>
      </c>
      <c r="K76" s="816"/>
      <c r="L76" s="548">
        <f>J76+J76*R76</f>
        <v>0</v>
      </c>
      <c r="M76" s="816"/>
      <c r="N76" s="48"/>
      <c r="O76" s="344">
        <v>0.03</v>
      </c>
      <c r="P76" s="344">
        <f>O76</f>
        <v>0.03</v>
      </c>
      <c r="Q76" s="344">
        <f t="shared" si="15"/>
        <v>0.03</v>
      </c>
      <c r="R76" s="344">
        <f t="shared" si="15"/>
        <v>0.03</v>
      </c>
      <c r="S76" s="286"/>
      <c r="T76" s="286"/>
      <c r="U76" s="286"/>
      <c r="V76" s="286"/>
      <c r="W76" s="286"/>
      <c r="X76" s="286"/>
      <c r="Y76" s="286"/>
      <c r="Z76" s="421"/>
      <c r="AA76" s="421"/>
      <c r="AB76" s="422"/>
    </row>
    <row r="77" spans="2:28" s="45" customFormat="1" ht="13.9" customHeight="1" x14ac:dyDescent="0.2">
      <c r="B77" s="226"/>
      <c r="C77" s="973" t="s">
        <v>682</v>
      </c>
      <c r="D77" s="548">
        <v>0</v>
      </c>
      <c r="E77" s="816"/>
      <c r="F77" s="548">
        <f t="shared" ref="F77" si="16">D77+D77*O77</f>
        <v>0</v>
      </c>
      <c r="G77" s="816"/>
      <c r="H77" s="548">
        <f>F77+F77*P77</f>
        <v>0</v>
      </c>
      <c r="I77" s="816"/>
      <c r="J77" s="548">
        <f>H77+H77*Q77</f>
        <v>0</v>
      </c>
      <c r="K77" s="816"/>
      <c r="L77" s="548">
        <f>J77+J77*R77</f>
        <v>0</v>
      </c>
      <c r="M77" s="816"/>
      <c r="N77" s="48"/>
      <c r="O77" s="344">
        <v>0.03</v>
      </c>
      <c r="P77" s="344">
        <f t="shared" ref="P77" si="17">O77</f>
        <v>0.03</v>
      </c>
      <c r="Q77" s="344">
        <f t="shared" si="15"/>
        <v>0.03</v>
      </c>
      <c r="R77" s="344">
        <f t="shared" si="15"/>
        <v>0.03</v>
      </c>
      <c r="S77" s="286"/>
      <c r="T77" s="286"/>
      <c r="U77" s="286"/>
      <c r="V77" s="286"/>
      <c r="W77" s="286"/>
      <c r="X77" s="286"/>
      <c r="Y77" s="286"/>
      <c r="Z77" s="421"/>
      <c r="AA77" s="421"/>
      <c r="AB77" s="422"/>
    </row>
    <row r="78" spans="2:28" s="45" customFormat="1" ht="13.9" customHeight="1" thickBot="1" x14ac:dyDescent="0.25">
      <c r="B78" s="226"/>
      <c r="C78" s="976" t="s">
        <v>683</v>
      </c>
      <c r="D78" s="548">
        <v>0</v>
      </c>
      <c r="E78" s="832"/>
      <c r="F78" s="548">
        <f>D78+D78*O78</f>
        <v>0</v>
      </c>
      <c r="G78" s="832"/>
      <c r="H78" s="548">
        <f>F78+F78*P78</f>
        <v>0</v>
      </c>
      <c r="I78" s="832"/>
      <c r="J78" s="548">
        <f>H78+H78*Q78</f>
        <v>0</v>
      </c>
      <c r="K78" s="832"/>
      <c r="L78" s="548">
        <f>J78+J78*R78</f>
        <v>0</v>
      </c>
      <c r="M78" s="832"/>
      <c r="N78" s="48"/>
      <c r="O78" s="344">
        <v>0.03</v>
      </c>
      <c r="P78" s="344">
        <f>O78</f>
        <v>0.03</v>
      </c>
      <c r="Q78" s="344">
        <f t="shared" si="15"/>
        <v>0.03</v>
      </c>
      <c r="R78" s="344">
        <f t="shared" si="15"/>
        <v>0.03</v>
      </c>
      <c r="S78" s="286"/>
      <c r="T78" s="286"/>
      <c r="U78" s="286"/>
      <c r="V78" s="286"/>
      <c r="W78" s="286"/>
      <c r="X78" s="286"/>
      <c r="Y78" s="286"/>
      <c r="Z78" s="421"/>
      <c r="AA78" s="421"/>
      <c r="AB78" s="422"/>
    </row>
    <row r="79" spans="2:28" s="4" customFormat="1" ht="13.9" customHeight="1" x14ac:dyDescent="0.2">
      <c r="B79" s="378"/>
      <c r="C79" s="974" t="s">
        <v>27</v>
      </c>
      <c r="D79" s="828">
        <f>SUM(D80:D82)</f>
        <v>0</v>
      </c>
      <c r="E79" s="829">
        <f>IF(D$45=0,0,100*D79/D$45)</f>
        <v>0</v>
      </c>
      <c r="F79" s="828">
        <f>SUM(F80:F82)</f>
        <v>0</v>
      </c>
      <c r="G79" s="829">
        <f>IF(F$45=0,0,100*F79/F$45)</f>
        <v>0</v>
      </c>
      <c r="H79" s="828">
        <f>SUM(H80:H82)</f>
        <v>0</v>
      </c>
      <c r="I79" s="829">
        <f>IF(H$45=0,0,100*H79/H$45)</f>
        <v>0</v>
      </c>
      <c r="J79" s="828">
        <f>SUM(J80:J82)</f>
        <v>0</v>
      </c>
      <c r="K79" s="829">
        <f>IF(J$45=0,0,100*J79/J$45)</f>
        <v>0</v>
      </c>
      <c r="L79" s="828">
        <f>SUM(L80:L82)</f>
        <v>0</v>
      </c>
      <c r="M79" s="829">
        <f>IF(L$45=0,0,100*L79/L$45)</f>
        <v>0</v>
      </c>
      <c r="N79" s="27"/>
      <c r="O79" s="1344"/>
      <c r="P79" s="282"/>
      <c r="Q79" s="282"/>
      <c r="R79" s="282"/>
      <c r="S79" s="286"/>
      <c r="T79" s="286"/>
      <c r="U79" s="286"/>
      <c r="V79" s="286"/>
      <c r="W79" s="286"/>
      <c r="X79" s="286"/>
      <c r="Y79" s="286"/>
      <c r="Z79" s="421"/>
      <c r="AA79" s="421"/>
      <c r="AB79" s="422"/>
    </row>
    <row r="80" spans="2:28" s="45" customFormat="1" ht="13.9" customHeight="1" x14ac:dyDescent="0.2">
      <c r="B80" s="226"/>
      <c r="C80" s="973" t="s">
        <v>684</v>
      </c>
      <c r="D80" s="548"/>
      <c r="E80" s="816"/>
      <c r="F80" s="548">
        <f t="shared" ref="F80:F87" si="18">D80+D80*O80</f>
        <v>0</v>
      </c>
      <c r="G80" s="816"/>
      <c r="H80" s="548">
        <f>F80+F80*P80</f>
        <v>0</v>
      </c>
      <c r="I80" s="816"/>
      <c r="J80" s="548">
        <f>H80+H80*Q80</f>
        <v>0</v>
      </c>
      <c r="K80" s="816"/>
      <c r="L80" s="548">
        <f>J80+J80*R80</f>
        <v>0</v>
      </c>
      <c r="M80" s="816"/>
      <c r="N80" s="48"/>
      <c r="O80" s="344">
        <v>0.03</v>
      </c>
      <c r="P80" s="344">
        <f t="shared" ref="P80:P81" si="19">O80</f>
        <v>0.03</v>
      </c>
      <c r="Q80" s="344">
        <f t="shared" ref="Q80:R82" si="20">P80</f>
        <v>0.03</v>
      </c>
      <c r="R80" s="344">
        <f t="shared" si="20"/>
        <v>0.03</v>
      </c>
      <c r="S80" s="286"/>
      <c r="T80" s="286"/>
      <c r="U80" s="286"/>
      <c r="V80" s="286"/>
      <c r="W80" s="286"/>
      <c r="X80" s="286"/>
      <c r="Y80" s="286"/>
      <c r="Z80" s="421"/>
      <c r="AA80" s="421"/>
      <c r="AB80" s="422"/>
    </row>
    <row r="81" spans="1:28" s="45" customFormat="1" ht="13.9" customHeight="1" x14ac:dyDescent="0.2">
      <c r="B81" s="226"/>
      <c r="C81" s="973" t="s">
        <v>685</v>
      </c>
      <c r="D81" s="548"/>
      <c r="E81" s="816"/>
      <c r="F81" s="548">
        <f t="shared" si="18"/>
        <v>0</v>
      </c>
      <c r="G81" s="816"/>
      <c r="H81" s="548">
        <f>F81+F81*P81</f>
        <v>0</v>
      </c>
      <c r="I81" s="816"/>
      <c r="J81" s="548">
        <f>H81+H81*Q81</f>
        <v>0</v>
      </c>
      <c r="K81" s="816"/>
      <c r="L81" s="548">
        <f>J81+J81*R81</f>
        <v>0</v>
      </c>
      <c r="M81" s="816"/>
      <c r="N81" s="48"/>
      <c r="O81" s="344">
        <v>0.03</v>
      </c>
      <c r="P81" s="344">
        <f t="shared" si="19"/>
        <v>0.03</v>
      </c>
      <c r="Q81" s="344">
        <f t="shared" si="20"/>
        <v>0.03</v>
      </c>
      <c r="R81" s="344">
        <f t="shared" si="20"/>
        <v>0.03</v>
      </c>
      <c r="S81" s="286"/>
      <c r="T81" s="286"/>
      <c r="U81" s="286"/>
      <c r="V81" s="286"/>
      <c r="W81" s="286"/>
      <c r="X81" s="286"/>
      <c r="Y81" s="286"/>
      <c r="Z81" s="421"/>
      <c r="AA81" s="421"/>
      <c r="AB81" s="422"/>
    </row>
    <row r="82" spans="1:28" s="45" customFormat="1" ht="13.9" customHeight="1" thickBot="1" x14ac:dyDescent="0.25">
      <c r="A82"/>
      <c r="B82" s="226"/>
      <c r="C82" s="976" t="s">
        <v>686</v>
      </c>
      <c r="D82" s="542"/>
      <c r="E82" s="832"/>
      <c r="F82" s="542">
        <f t="shared" si="18"/>
        <v>0</v>
      </c>
      <c r="G82" s="832"/>
      <c r="H82" s="548">
        <f>F82+F82*P82</f>
        <v>0</v>
      </c>
      <c r="I82" s="832"/>
      <c r="J82" s="548">
        <f>H82+H82*Q82</f>
        <v>0</v>
      </c>
      <c r="K82" s="832"/>
      <c r="L82" s="548">
        <f>J82+J82*R82</f>
        <v>0</v>
      </c>
      <c r="M82" s="832"/>
      <c r="N82" s="48"/>
      <c r="O82" s="344">
        <v>0.03</v>
      </c>
      <c r="P82" s="344">
        <f>O82</f>
        <v>0.03</v>
      </c>
      <c r="Q82" s="344">
        <f t="shared" si="20"/>
        <v>0.03</v>
      </c>
      <c r="R82" s="344">
        <f t="shared" si="20"/>
        <v>0.03</v>
      </c>
      <c r="S82" s="286"/>
      <c r="T82" s="286"/>
      <c r="U82" s="286"/>
      <c r="V82" s="286"/>
      <c r="W82" s="286"/>
      <c r="X82" s="286"/>
      <c r="Y82" s="286"/>
      <c r="Z82" s="421"/>
      <c r="AA82" s="421"/>
      <c r="AB82" s="422"/>
    </row>
    <row r="83" spans="1:28" s="4" customFormat="1" ht="13.9" customHeight="1" x14ac:dyDescent="0.2">
      <c r="A83"/>
      <c r="B83" s="378"/>
      <c r="C83" s="977" t="s">
        <v>28</v>
      </c>
      <c r="D83" s="828">
        <f>SUM(D84:D85)</f>
        <v>0</v>
      </c>
      <c r="E83" s="829">
        <f>IF(D$45=0,0,100*D83/D$45)</f>
        <v>0</v>
      </c>
      <c r="F83" s="828">
        <f>SUM(F84:F85)</f>
        <v>0</v>
      </c>
      <c r="G83" s="829">
        <f>IF(F$45=0,0,100*F83/F$45)</f>
        <v>0</v>
      </c>
      <c r="H83" s="828">
        <f>SUM(H84:H85)</f>
        <v>0</v>
      </c>
      <c r="I83" s="829">
        <f>IF(H$45=0,0,100*H83/H$45)</f>
        <v>0</v>
      </c>
      <c r="J83" s="828">
        <f>SUM(J84:J85)</f>
        <v>0</v>
      </c>
      <c r="K83" s="829">
        <f>IF(J$45=0,0,100*J83/J$45)</f>
        <v>0</v>
      </c>
      <c r="L83" s="828">
        <f>SUM(L84:L85)</f>
        <v>0</v>
      </c>
      <c r="M83" s="829">
        <f>IF(L$45=0,0,100*L83/L$45)</f>
        <v>0</v>
      </c>
      <c r="N83" s="27"/>
      <c r="O83" s="1344"/>
      <c r="P83" s="282"/>
      <c r="Q83" s="282"/>
      <c r="R83" s="282"/>
      <c r="S83" s="286"/>
      <c r="T83" s="286"/>
      <c r="U83" s="286"/>
      <c r="V83" s="286"/>
      <c r="W83" s="286"/>
      <c r="X83" s="286"/>
      <c r="Y83" s="286"/>
      <c r="Z83" s="421"/>
      <c r="AA83" s="421"/>
      <c r="AB83" s="422"/>
    </row>
    <row r="84" spans="1:28" s="45" customFormat="1" ht="13.9" customHeight="1" x14ac:dyDescent="0.2">
      <c r="A84"/>
      <c r="B84" s="226"/>
      <c r="C84" s="973" t="s">
        <v>687</v>
      </c>
      <c r="D84" s="548">
        <v>0</v>
      </c>
      <c r="E84" s="816"/>
      <c r="F84" s="548">
        <f t="shared" si="18"/>
        <v>0</v>
      </c>
      <c r="G84" s="816"/>
      <c r="H84" s="548">
        <f>F84+F84*P84</f>
        <v>0</v>
      </c>
      <c r="I84" s="816"/>
      <c r="J84" s="548">
        <f>H84+H84*Q84</f>
        <v>0</v>
      </c>
      <c r="K84" s="816"/>
      <c r="L84" s="548">
        <f>J84+J84*R84</f>
        <v>0</v>
      </c>
      <c r="M84" s="816"/>
      <c r="N84" s="48"/>
      <c r="O84" s="344">
        <v>0.03</v>
      </c>
      <c r="P84" s="344">
        <f t="shared" ref="P84" si="21">O84</f>
        <v>0.03</v>
      </c>
      <c r="Q84" s="344">
        <f t="shared" ref="Q84:R87" si="22">P84</f>
        <v>0.03</v>
      </c>
      <c r="R84" s="344">
        <f t="shared" si="22"/>
        <v>0.03</v>
      </c>
      <c r="S84" s="286"/>
      <c r="T84" s="286"/>
      <c r="U84" s="286"/>
      <c r="V84" s="286"/>
      <c r="W84" s="286"/>
      <c r="X84" s="286"/>
      <c r="Y84" s="286"/>
      <c r="Z84" s="421"/>
      <c r="AA84" s="421"/>
      <c r="AB84" s="422"/>
    </row>
    <row r="85" spans="1:28" s="45" customFormat="1" ht="13.9" customHeight="1" thickBot="1" x14ac:dyDescent="0.25">
      <c r="A85" s="46"/>
      <c r="B85" s="226"/>
      <c r="C85" s="975" t="s">
        <v>688</v>
      </c>
      <c r="D85" s="831">
        <v>0</v>
      </c>
      <c r="E85" s="830"/>
      <c r="F85" s="831">
        <f t="shared" si="18"/>
        <v>0</v>
      </c>
      <c r="G85" s="830"/>
      <c r="H85" s="548">
        <f>F85+F85*P85</f>
        <v>0</v>
      </c>
      <c r="I85" s="830"/>
      <c r="J85" s="831">
        <f>H85+H85*Q85</f>
        <v>0</v>
      </c>
      <c r="K85" s="830"/>
      <c r="L85" s="831">
        <f>J85+J85*R85</f>
        <v>0</v>
      </c>
      <c r="M85" s="832"/>
      <c r="N85" s="48"/>
      <c r="O85" s="344">
        <v>0.03</v>
      </c>
      <c r="P85" s="344">
        <f>O85</f>
        <v>0.03</v>
      </c>
      <c r="Q85" s="344">
        <f t="shared" si="22"/>
        <v>0.03</v>
      </c>
      <c r="R85" s="344">
        <f t="shared" si="22"/>
        <v>0.03</v>
      </c>
      <c r="S85" s="286"/>
      <c r="T85" s="286"/>
      <c r="U85" s="286"/>
      <c r="V85" s="286"/>
      <c r="W85" s="286"/>
      <c r="X85" s="286"/>
      <c r="Y85" s="286"/>
      <c r="Z85" s="421"/>
      <c r="AA85" s="421"/>
      <c r="AB85" s="422"/>
    </row>
    <row r="86" spans="1:28" s="4" customFormat="1" ht="13.9" customHeight="1" thickBot="1" x14ac:dyDescent="0.25">
      <c r="A86"/>
      <c r="B86" s="378"/>
      <c r="C86" s="978" t="s">
        <v>29</v>
      </c>
      <c r="D86" s="836">
        <v>0</v>
      </c>
      <c r="E86" s="835">
        <f>IF(D$45=0,0,100*D86/D$45)</f>
        <v>0</v>
      </c>
      <c r="F86" s="834">
        <f>D86+D86*O86</f>
        <v>0</v>
      </c>
      <c r="G86" s="835">
        <f>IF(F$45=0,0,100*F86/F$45)</f>
        <v>0</v>
      </c>
      <c r="H86" s="836">
        <f>F86+F86*P86</f>
        <v>0</v>
      </c>
      <c r="I86" s="835">
        <f>IF(H$45=0,0,100*H86/H$45)</f>
        <v>0</v>
      </c>
      <c r="J86" s="836">
        <f>H86+H86*Q86</f>
        <v>0</v>
      </c>
      <c r="K86" s="835">
        <f>IF(J$45=0,0,100*J86/J$45)</f>
        <v>0</v>
      </c>
      <c r="L86" s="834">
        <f>J86+J86*R86</f>
        <v>0</v>
      </c>
      <c r="M86" s="837">
        <f>IF(L$45=0,0,100*L86/L$45)</f>
        <v>0</v>
      </c>
      <c r="N86" s="27"/>
      <c r="O86" s="344">
        <v>0.03</v>
      </c>
      <c r="P86" s="344">
        <f t="shared" ref="P86" si="23">O86</f>
        <v>0.03</v>
      </c>
      <c r="Q86" s="344">
        <f t="shared" si="22"/>
        <v>0.03</v>
      </c>
      <c r="R86" s="344">
        <f t="shared" si="22"/>
        <v>0.03</v>
      </c>
      <c r="S86" s="286"/>
      <c r="T86" s="286"/>
      <c r="U86" s="286"/>
      <c r="V86" s="286"/>
      <c r="W86" s="286"/>
      <c r="X86" s="286"/>
      <c r="Y86" s="286"/>
      <c r="Z86" s="421"/>
      <c r="AA86" s="421"/>
      <c r="AB86" s="422"/>
    </row>
    <row r="87" spans="1:28" s="4" customFormat="1" ht="13.9" customHeight="1" thickBot="1" x14ac:dyDescent="0.25">
      <c r="A87" s="46"/>
      <c r="B87" s="378"/>
      <c r="C87" s="977" t="s">
        <v>136</v>
      </c>
      <c r="D87" s="834">
        <v>0</v>
      </c>
      <c r="E87" s="837">
        <f>IF(D$45=0,0,100*D87/D$45)</f>
        <v>0</v>
      </c>
      <c r="F87" s="834">
        <f t="shared" si="18"/>
        <v>0</v>
      </c>
      <c r="G87" s="837">
        <f>IF(F$45=0,0,100*F87/F$45)</f>
        <v>0</v>
      </c>
      <c r="H87" s="834">
        <f>F87+F87*P87</f>
        <v>0</v>
      </c>
      <c r="I87" s="837">
        <f>IF(H$45=0,0,100*H87/H$45)</f>
        <v>0</v>
      </c>
      <c r="J87" s="834">
        <f>H87+H87*Q87</f>
        <v>0</v>
      </c>
      <c r="K87" s="837">
        <f>IF(J$45=0,0,100*J87/J$45)</f>
        <v>0</v>
      </c>
      <c r="L87" s="834">
        <f>J87+J87*R87</f>
        <v>0</v>
      </c>
      <c r="M87" s="829">
        <f>IF(L$45=0,0,100*L87/L$45)</f>
        <v>0</v>
      </c>
      <c r="N87" s="27"/>
      <c r="O87" s="344">
        <v>0.03</v>
      </c>
      <c r="P87" s="344">
        <f>O87</f>
        <v>0.03</v>
      </c>
      <c r="Q87" s="344">
        <f t="shared" si="22"/>
        <v>0.03</v>
      </c>
      <c r="R87" s="344">
        <f t="shared" si="22"/>
        <v>0.03</v>
      </c>
      <c r="S87" s="286"/>
      <c r="T87" s="286"/>
      <c r="U87" s="286"/>
      <c r="V87" s="286"/>
      <c r="W87" s="286"/>
      <c r="X87" s="286"/>
      <c r="Y87" s="286"/>
      <c r="Z87" s="421"/>
      <c r="AA87" s="421"/>
      <c r="AB87" s="422"/>
    </row>
    <row r="88" spans="1:28" s="4" customFormat="1" ht="13.9" customHeight="1" x14ac:dyDescent="0.2">
      <c r="A88" s="2"/>
      <c r="B88" s="378"/>
      <c r="C88" s="974" t="s">
        <v>30</v>
      </c>
      <c r="D88" s="838">
        <f>SUM(D89:D93)</f>
        <v>0</v>
      </c>
      <c r="E88" s="839">
        <f>IF(D$45=0,0,100*D88/D$45)</f>
        <v>0</v>
      </c>
      <c r="F88" s="838">
        <f>SUM(F89:F93)</f>
        <v>0</v>
      </c>
      <c r="G88" s="839">
        <f>IF(F$45=0,0,100*F88/F$45)</f>
        <v>0</v>
      </c>
      <c r="H88" s="838">
        <f>SUM(H89:H93)</f>
        <v>0</v>
      </c>
      <c r="I88" s="839">
        <f>IF(H$45=0,0,100*H88/H$45)</f>
        <v>0</v>
      </c>
      <c r="J88" s="838">
        <f>SUM(J89:J93)</f>
        <v>0</v>
      </c>
      <c r="K88" s="839">
        <f>IF(J$45=0,0,100*J88/J$45)</f>
        <v>0</v>
      </c>
      <c r="L88" s="838">
        <f>SUM(L89:L93)</f>
        <v>0</v>
      </c>
      <c r="M88" s="829">
        <f>IF(L$45=0,0,100*L88/L$45)</f>
        <v>0</v>
      </c>
      <c r="N88" s="26"/>
      <c r="O88" s="1344"/>
      <c r="P88" s="282"/>
      <c r="Q88" s="282"/>
      <c r="R88" s="282"/>
      <c r="S88" s="286"/>
      <c r="T88" s="286"/>
      <c r="U88" s="286"/>
      <c r="V88" s="286"/>
      <c r="W88" s="286"/>
      <c r="X88" s="286"/>
      <c r="Y88" s="286"/>
      <c r="Z88" s="421"/>
      <c r="AA88" s="421"/>
      <c r="AB88" s="422"/>
    </row>
    <row r="89" spans="1:28" s="45" customFormat="1" ht="13.9" customHeight="1" x14ac:dyDescent="0.2">
      <c r="A89"/>
      <c r="B89" s="226"/>
      <c r="C89" s="973" t="s">
        <v>689</v>
      </c>
      <c r="D89" s="548">
        <v>0</v>
      </c>
      <c r="E89" s="816"/>
      <c r="F89" s="548">
        <f>D89+D89*O89</f>
        <v>0</v>
      </c>
      <c r="G89" s="816"/>
      <c r="H89" s="548">
        <f>F89+F89*P89</f>
        <v>0</v>
      </c>
      <c r="I89" s="816"/>
      <c r="J89" s="548">
        <f>H89+H89*Q89</f>
        <v>0</v>
      </c>
      <c r="K89" s="816"/>
      <c r="L89" s="548">
        <f>J89+J89*R89</f>
        <v>0</v>
      </c>
      <c r="M89" s="816"/>
      <c r="N89" s="50"/>
      <c r="O89" s="344">
        <v>0.03</v>
      </c>
      <c r="P89" s="344">
        <f t="shared" ref="P89" si="24">O89</f>
        <v>0.03</v>
      </c>
      <c r="Q89" s="344">
        <f t="shared" ref="Q89:R93" si="25">P89</f>
        <v>0.03</v>
      </c>
      <c r="R89" s="344">
        <f t="shared" si="25"/>
        <v>0.03</v>
      </c>
      <c r="S89" s="286"/>
      <c r="T89" s="286"/>
      <c r="U89" s="286"/>
      <c r="V89" s="286"/>
      <c r="W89" s="286"/>
      <c r="X89" s="286"/>
      <c r="Y89" s="286"/>
      <c r="Z89" s="421"/>
      <c r="AA89" s="421"/>
      <c r="AB89" s="422"/>
    </row>
    <row r="90" spans="1:28" s="45" customFormat="1" ht="13.9" customHeight="1" x14ac:dyDescent="0.2">
      <c r="A90"/>
      <c r="B90" s="226"/>
      <c r="C90" s="973" t="s">
        <v>690</v>
      </c>
      <c r="D90" s="548">
        <v>0</v>
      </c>
      <c r="E90" s="816"/>
      <c r="F90" s="548">
        <f>D90+D90*O90</f>
        <v>0</v>
      </c>
      <c r="G90" s="816"/>
      <c r="H90" s="548">
        <f>F90+F90*P90</f>
        <v>0</v>
      </c>
      <c r="I90" s="816"/>
      <c r="J90" s="548">
        <f>H90+H90*Q90</f>
        <v>0</v>
      </c>
      <c r="K90" s="816"/>
      <c r="L90" s="548">
        <f>J90+J90*R90</f>
        <v>0</v>
      </c>
      <c r="M90" s="816"/>
      <c r="N90" s="50"/>
      <c r="O90" s="344">
        <v>0.03</v>
      </c>
      <c r="P90" s="344">
        <f>O90</f>
        <v>0.03</v>
      </c>
      <c r="Q90" s="344">
        <f t="shared" si="25"/>
        <v>0.03</v>
      </c>
      <c r="R90" s="344">
        <f t="shared" si="25"/>
        <v>0.03</v>
      </c>
      <c r="S90" s="286"/>
      <c r="T90" s="286"/>
      <c r="U90" s="286"/>
      <c r="V90" s="286"/>
      <c r="W90" s="286"/>
      <c r="X90" s="286"/>
      <c r="Y90" s="286"/>
      <c r="Z90" s="421"/>
      <c r="AA90" s="421"/>
      <c r="AB90" s="422"/>
    </row>
    <row r="91" spans="1:28" s="45" customFormat="1" ht="13.9" customHeight="1" x14ac:dyDescent="0.2">
      <c r="A91"/>
      <c r="B91" s="226"/>
      <c r="C91" s="973" t="s">
        <v>691</v>
      </c>
      <c r="D91" s="548">
        <v>0</v>
      </c>
      <c r="E91" s="816"/>
      <c r="F91" s="548">
        <f>D91+D91*O91</f>
        <v>0</v>
      </c>
      <c r="G91" s="816"/>
      <c r="H91" s="548">
        <f>F91+F91*P91</f>
        <v>0</v>
      </c>
      <c r="I91" s="816"/>
      <c r="J91" s="548">
        <f>H91+H91*Q91</f>
        <v>0</v>
      </c>
      <c r="K91" s="816"/>
      <c r="L91" s="548">
        <f>J91+J91*R91</f>
        <v>0</v>
      </c>
      <c r="M91" s="816"/>
      <c r="N91" s="50"/>
      <c r="O91" s="344">
        <v>0.03</v>
      </c>
      <c r="P91" s="344">
        <f t="shared" ref="P91:P92" si="26">O91</f>
        <v>0.03</v>
      </c>
      <c r="Q91" s="344">
        <f t="shared" si="25"/>
        <v>0.03</v>
      </c>
      <c r="R91" s="344">
        <f t="shared" si="25"/>
        <v>0.03</v>
      </c>
      <c r="S91" s="286"/>
      <c r="T91" s="286"/>
      <c r="U91" s="286"/>
      <c r="V91" s="286"/>
      <c r="W91" s="286"/>
      <c r="X91" s="286"/>
      <c r="Y91" s="286"/>
      <c r="Z91" s="421"/>
      <c r="AA91" s="421"/>
      <c r="AB91" s="422"/>
    </row>
    <row r="92" spans="1:28" s="45" customFormat="1" ht="13.9" customHeight="1" x14ac:dyDescent="0.2">
      <c r="A92"/>
      <c r="B92" s="226"/>
      <c r="C92" s="973" t="s">
        <v>692</v>
      </c>
      <c r="D92" s="548">
        <v>0</v>
      </c>
      <c r="E92" s="816"/>
      <c r="F92" s="548">
        <f>D92+D92*O92</f>
        <v>0</v>
      </c>
      <c r="G92" s="816"/>
      <c r="H92" s="548">
        <f>F92+F92*P92</f>
        <v>0</v>
      </c>
      <c r="I92" s="816"/>
      <c r="J92" s="548">
        <f>H92+H92*Q92</f>
        <v>0</v>
      </c>
      <c r="K92" s="816"/>
      <c r="L92" s="548">
        <f>J92+J92*R92</f>
        <v>0</v>
      </c>
      <c r="M92" s="816"/>
      <c r="N92" s="50"/>
      <c r="O92" s="344">
        <v>0.03</v>
      </c>
      <c r="P92" s="344">
        <f t="shared" si="26"/>
        <v>0.03</v>
      </c>
      <c r="Q92" s="344">
        <f t="shared" si="25"/>
        <v>0.03</v>
      </c>
      <c r="R92" s="344">
        <f t="shared" si="25"/>
        <v>0.03</v>
      </c>
      <c r="S92" s="286"/>
      <c r="T92" s="286"/>
      <c r="U92" s="286"/>
      <c r="V92" s="286"/>
      <c r="W92" s="286"/>
      <c r="X92" s="286"/>
      <c r="Y92" s="286"/>
      <c r="Z92" s="421"/>
      <c r="AA92" s="421"/>
      <c r="AB92" s="422"/>
    </row>
    <row r="93" spans="1:28" s="45" customFormat="1" ht="13.9" customHeight="1" thickBot="1" x14ac:dyDescent="0.25">
      <c r="A93"/>
      <c r="B93" s="226"/>
      <c r="C93" s="976" t="s">
        <v>693</v>
      </c>
      <c r="D93" s="548">
        <v>0</v>
      </c>
      <c r="E93" s="830"/>
      <c r="F93" s="548">
        <f>D93+D93*O93</f>
        <v>0</v>
      </c>
      <c r="G93" s="830"/>
      <c r="H93" s="548">
        <f>F93+F93*P93</f>
        <v>0</v>
      </c>
      <c r="I93" s="830"/>
      <c r="J93" s="831">
        <f>H93+H93*Q93</f>
        <v>0</v>
      </c>
      <c r="K93" s="830"/>
      <c r="L93" s="831">
        <f>J93+J93*R93</f>
        <v>0</v>
      </c>
      <c r="M93" s="830"/>
      <c r="N93" s="50"/>
      <c r="O93" s="344">
        <v>0.03</v>
      </c>
      <c r="P93" s="344">
        <f>O93</f>
        <v>0.03</v>
      </c>
      <c r="Q93" s="344">
        <f t="shared" si="25"/>
        <v>0.03</v>
      </c>
      <c r="R93" s="344">
        <f t="shared" si="25"/>
        <v>0.03</v>
      </c>
      <c r="S93" s="286"/>
      <c r="T93" s="286"/>
      <c r="U93" s="286"/>
      <c r="V93" s="286"/>
      <c r="W93" s="286"/>
      <c r="X93" s="286"/>
      <c r="Y93" s="286"/>
      <c r="Z93" s="421"/>
      <c r="AA93" s="421"/>
      <c r="AB93" s="422"/>
    </row>
    <row r="94" spans="1:28" s="4" customFormat="1" ht="13.9" customHeight="1" x14ac:dyDescent="0.2">
      <c r="A94"/>
      <c r="B94" s="378"/>
      <c r="C94" s="977" t="s">
        <v>31</v>
      </c>
      <c r="D94" s="828">
        <f>SUM(D95:D98)</f>
        <v>0</v>
      </c>
      <c r="E94" s="829">
        <f>IF(D$45=0,0,100*D94/D$45)</f>
        <v>0</v>
      </c>
      <c r="F94" s="828">
        <f>SUM(F95:F98)</f>
        <v>0</v>
      </c>
      <c r="G94" s="829">
        <f>IF(F$45=0,0,100*F94/F$45)</f>
        <v>0</v>
      </c>
      <c r="H94" s="828">
        <f>SUM(H95:H98)</f>
        <v>0</v>
      </c>
      <c r="I94" s="829">
        <f>IF(H$45=0,0,100*H94/H$45)</f>
        <v>0</v>
      </c>
      <c r="J94" s="828">
        <f>SUM(J95:J98)</f>
        <v>0</v>
      </c>
      <c r="K94" s="829">
        <f>IF(J$45=0,0,100*J94/J$45)</f>
        <v>0</v>
      </c>
      <c r="L94" s="828">
        <f>SUM(L95:L98)</f>
        <v>0</v>
      </c>
      <c r="M94" s="829">
        <f>IF(L$45=0,0,100*L94/L$45)</f>
        <v>0</v>
      </c>
      <c r="N94" s="27"/>
      <c r="O94" s="1344"/>
      <c r="P94" s="282"/>
      <c r="Q94" s="282"/>
      <c r="R94" s="282"/>
      <c r="S94" s="286"/>
      <c r="T94" s="286"/>
      <c r="U94" s="286"/>
      <c r="V94" s="286"/>
      <c r="W94" s="286"/>
      <c r="X94" s="286"/>
      <c r="Y94" s="286"/>
      <c r="Z94" s="421"/>
      <c r="AA94" s="421"/>
      <c r="AB94" s="422"/>
    </row>
    <row r="95" spans="1:28" s="45" customFormat="1" ht="13.9" customHeight="1" x14ac:dyDescent="0.2">
      <c r="A95"/>
      <c r="B95" s="226"/>
      <c r="C95" s="973" t="s">
        <v>694</v>
      </c>
      <c r="D95" s="548">
        <v>0</v>
      </c>
      <c r="E95" s="816"/>
      <c r="F95" s="548">
        <f>D95+D95*O95</f>
        <v>0</v>
      </c>
      <c r="G95" s="816"/>
      <c r="H95" s="548">
        <f>F95+F95*P95</f>
        <v>0</v>
      </c>
      <c r="I95" s="816"/>
      <c r="J95" s="548">
        <f>H95+H95*Q95</f>
        <v>0</v>
      </c>
      <c r="K95" s="816"/>
      <c r="L95" s="548">
        <f>J95+J95*R95</f>
        <v>0</v>
      </c>
      <c r="M95" s="816"/>
      <c r="N95" s="48"/>
      <c r="O95" s="344">
        <v>0.03</v>
      </c>
      <c r="P95" s="344">
        <f t="shared" ref="P95" si="27">O95</f>
        <v>0.03</v>
      </c>
      <c r="Q95" s="344">
        <f t="shared" ref="Q95:R98" si="28">P95</f>
        <v>0.03</v>
      </c>
      <c r="R95" s="344">
        <f t="shared" si="28"/>
        <v>0.03</v>
      </c>
      <c r="S95" s="286"/>
      <c r="T95" s="286"/>
      <c r="U95" s="286"/>
      <c r="V95" s="286"/>
      <c r="W95" s="286"/>
      <c r="X95" s="286"/>
      <c r="Y95" s="286"/>
      <c r="Z95" s="421"/>
      <c r="AA95" s="421"/>
      <c r="AB95" s="422"/>
    </row>
    <row r="96" spans="1:28" s="45" customFormat="1" ht="13.9" customHeight="1" x14ac:dyDescent="0.2">
      <c r="A96"/>
      <c r="B96" s="226"/>
      <c r="C96" s="973" t="s">
        <v>695</v>
      </c>
      <c r="D96" s="548">
        <v>0</v>
      </c>
      <c r="E96" s="816"/>
      <c r="F96" s="548">
        <f>D96+D96*O96</f>
        <v>0</v>
      </c>
      <c r="G96" s="816"/>
      <c r="H96" s="548">
        <f>F96+F96*P96</f>
        <v>0</v>
      </c>
      <c r="I96" s="816"/>
      <c r="J96" s="548">
        <f>H96+H96*Q96</f>
        <v>0</v>
      </c>
      <c r="K96" s="816"/>
      <c r="L96" s="548">
        <f>J96+J96*R96</f>
        <v>0</v>
      </c>
      <c r="M96" s="816"/>
      <c r="N96" s="48"/>
      <c r="O96" s="344">
        <v>0.03</v>
      </c>
      <c r="P96" s="344">
        <f>O96</f>
        <v>0.03</v>
      </c>
      <c r="Q96" s="344">
        <f t="shared" si="28"/>
        <v>0.03</v>
      </c>
      <c r="R96" s="344">
        <f t="shared" si="28"/>
        <v>0.03</v>
      </c>
      <c r="S96" s="286" t="s">
        <v>0</v>
      </c>
      <c r="T96" s="286"/>
      <c r="U96" s="286"/>
      <c r="V96" s="286"/>
      <c r="W96" s="286"/>
      <c r="X96" s="286"/>
      <c r="Y96" s="286"/>
      <c r="Z96" s="421"/>
      <c r="AA96" s="421"/>
      <c r="AB96" s="422"/>
    </row>
    <row r="97" spans="1:28" s="45" customFormat="1" ht="13.9" customHeight="1" x14ac:dyDescent="0.2">
      <c r="A97"/>
      <c r="B97" s="226"/>
      <c r="C97" s="973" t="s">
        <v>696</v>
      </c>
      <c r="D97" s="548">
        <v>0</v>
      </c>
      <c r="E97" s="816"/>
      <c r="F97" s="548">
        <f>D97+D97*O97</f>
        <v>0</v>
      </c>
      <c r="G97" s="816"/>
      <c r="H97" s="548">
        <f>F97+F97*P97</f>
        <v>0</v>
      </c>
      <c r="I97" s="816"/>
      <c r="J97" s="548">
        <f>H97+H97*Q97</f>
        <v>0</v>
      </c>
      <c r="K97" s="816"/>
      <c r="L97" s="548">
        <f>J97+J97*R97</f>
        <v>0</v>
      </c>
      <c r="M97" s="816"/>
      <c r="N97" s="50"/>
      <c r="O97" s="344">
        <v>0.03</v>
      </c>
      <c r="P97" s="344">
        <f t="shared" ref="P97" si="29">O97</f>
        <v>0.03</v>
      </c>
      <c r="Q97" s="344">
        <f t="shared" si="28"/>
        <v>0.03</v>
      </c>
      <c r="R97" s="344">
        <f t="shared" si="28"/>
        <v>0.03</v>
      </c>
      <c r="S97" s="286"/>
      <c r="T97" s="286"/>
      <c r="U97" s="286"/>
      <c r="V97" s="286"/>
      <c r="W97" s="286"/>
      <c r="X97" s="286"/>
      <c r="Y97" s="286"/>
      <c r="Z97" s="421"/>
      <c r="AA97" s="421"/>
      <c r="AB97" s="422"/>
    </row>
    <row r="98" spans="1:28" s="45" customFormat="1" ht="13.9" customHeight="1" thickBot="1" x14ac:dyDescent="0.25">
      <c r="A98"/>
      <c r="B98" s="226"/>
      <c r="C98" s="42" t="s">
        <v>697</v>
      </c>
      <c r="D98" s="533">
        <v>0</v>
      </c>
      <c r="E98" s="840"/>
      <c r="F98" s="548">
        <f>D98+D98*O98</f>
        <v>0</v>
      </c>
      <c r="G98" s="840"/>
      <c r="H98" s="548">
        <f>F98+F98*P98</f>
        <v>0</v>
      </c>
      <c r="I98" s="840"/>
      <c r="J98" s="548">
        <f>H98+H98*Q98</f>
        <v>0</v>
      </c>
      <c r="K98" s="840"/>
      <c r="L98" s="548">
        <f>J98+J98*R98</f>
        <v>0</v>
      </c>
      <c r="M98" s="840"/>
      <c r="N98" s="50"/>
      <c r="O98" s="344">
        <v>0.03</v>
      </c>
      <c r="P98" s="344">
        <f>O98</f>
        <v>0.03</v>
      </c>
      <c r="Q98" s="344">
        <f t="shared" si="28"/>
        <v>0.03</v>
      </c>
      <c r="R98" s="344">
        <f t="shared" si="28"/>
        <v>0.03</v>
      </c>
      <c r="S98" s="286"/>
      <c r="T98" s="286"/>
      <c r="U98" s="286"/>
      <c r="V98" s="286"/>
      <c r="W98" s="286"/>
      <c r="X98" s="286"/>
      <c r="Y98" s="286"/>
      <c r="Z98" s="421"/>
      <c r="AA98" s="421"/>
      <c r="AB98" s="422"/>
    </row>
    <row r="99" spans="1:28" s="4" customFormat="1" ht="13.9" customHeight="1" x14ac:dyDescent="0.2">
      <c r="A99"/>
      <c r="B99" s="378"/>
      <c r="C99" s="974" t="s">
        <v>32</v>
      </c>
      <c r="D99" s="828">
        <f>SUM(D100:D103)</f>
        <v>0</v>
      </c>
      <c r="E99" s="829">
        <f>IF(D$45=0,0,100*D99/D$45)</f>
        <v>0</v>
      </c>
      <c r="F99" s="828">
        <f>SUM(F100:F103)</f>
        <v>0</v>
      </c>
      <c r="G99" s="829">
        <f>IF(F$45=0,0,100*F99/F$45)</f>
        <v>0</v>
      </c>
      <c r="H99" s="828">
        <f>SUM(H100:H103)</f>
        <v>0</v>
      </c>
      <c r="I99" s="829">
        <f>IF(H$45=0,0,100*H99/H$45)</f>
        <v>0</v>
      </c>
      <c r="J99" s="828">
        <f>SUM(J100:J103)</f>
        <v>0</v>
      </c>
      <c r="K99" s="829">
        <f>IF(J$45=0,0,100*J99/J$45)</f>
        <v>0</v>
      </c>
      <c r="L99" s="828">
        <f>SUM(L100:L103)</f>
        <v>0</v>
      </c>
      <c r="M99" s="829">
        <f>IF(L$45=0,0,100*L99/L$45)</f>
        <v>0</v>
      </c>
      <c r="N99" s="26"/>
      <c r="O99" s="1344"/>
      <c r="P99" s="282"/>
      <c r="Q99" s="282"/>
      <c r="R99" s="282"/>
      <c r="S99" s="286"/>
      <c r="T99" s="286"/>
      <c r="U99" s="286"/>
      <c r="V99" s="286"/>
      <c r="W99" s="286"/>
      <c r="X99" s="286"/>
      <c r="Y99" s="286"/>
      <c r="Z99" s="421"/>
      <c r="AA99" s="421"/>
      <c r="AB99" s="422"/>
    </row>
    <row r="100" spans="1:28" s="45" customFormat="1" ht="13.9" customHeight="1" x14ac:dyDescent="0.2">
      <c r="A100"/>
      <c r="B100" s="226"/>
      <c r="C100" s="973" t="s">
        <v>698</v>
      </c>
      <c r="D100" s="548">
        <v>0</v>
      </c>
      <c r="E100" s="816"/>
      <c r="F100" s="548">
        <f>D100+D100*O100</f>
        <v>0</v>
      </c>
      <c r="G100" s="816"/>
      <c r="H100" s="548">
        <f>F100+F100*P100</f>
        <v>0</v>
      </c>
      <c r="I100" s="816"/>
      <c r="J100" s="548">
        <f>H100+H100*Q100</f>
        <v>0</v>
      </c>
      <c r="K100" s="816"/>
      <c r="L100" s="548">
        <f>J100+J100*R100</f>
        <v>0</v>
      </c>
      <c r="M100" s="816"/>
      <c r="N100" s="50"/>
      <c r="O100" s="344">
        <v>0.03</v>
      </c>
      <c r="P100" s="344">
        <f t="shared" ref="P100" si="30">O100</f>
        <v>0.03</v>
      </c>
      <c r="Q100" s="344">
        <f t="shared" ref="Q100:R103" si="31">P100</f>
        <v>0.03</v>
      </c>
      <c r="R100" s="344">
        <f t="shared" si="31"/>
        <v>0.03</v>
      </c>
      <c r="S100" s="286"/>
      <c r="T100" s="286"/>
      <c r="U100" s="286"/>
      <c r="V100" s="286"/>
      <c r="W100" s="286"/>
      <c r="X100" s="286"/>
      <c r="Y100" s="286"/>
      <c r="Z100" s="421"/>
      <c r="AA100" s="421"/>
      <c r="AB100" s="422"/>
    </row>
    <row r="101" spans="1:28" s="45" customFormat="1" ht="13.9" customHeight="1" x14ac:dyDescent="0.2">
      <c r="A101"/>
      <c r="B101" s="226"/>
      <c r="C101" s="973" t="s">
        <v>699</v>
      </c>
      <c r="D101" s="548">
        <v>0</v>
      </c>
      <c r="E101" s="816"/>
      <c r="F101" s="548">
        <f>D101+D101*O101</f>
        <v>0</v>
      </c>
      <c r="G101" s="816"/>
      <c r="H101" s="548">
        <f>F101+F101*P101</f>
        <v>0</v>
      </c>
      <c r="I101" s="816"/>
      <c r="J101" s="548">
        <f>H101+H101*Q101</f>
        <v>0</v>
      </c>
      <c r="K101" s="816"/>
      <c r="L101" s="548">
        <f>J101+J101*R101</f>
        <v>0</v>
      </c>
      <c r="M101" s="816"/>
      <c r="N101" s="50"/>
      <c r="O101" s="344">
        <v>0.03</v>
      </c>
      <c r="P101" s="344">
        <f>O101</f>
        <v>0.03</v>
      </c>
      <c r="Q101" s="344">
        <f t="shared" si="31"/>
        <v>0.03</v>
      </c>
      <c r="R101" s="344">
        <f t="shared" si="31"/>
        <v>0.03</v>
      </c>
      <c r="S101" s="286"/>
      <c r="T101" s="286"/>
      <c r="U101" s="286"/>
      <c r="V101" s="286"/>
      <c r="W101" s="286"/>
      <c r="X101" s="286"/>
      <c r="Y101" s="286"/>
      <c r="Z101" s="421"/>
      <c r="AA101" s="421"/>
      <c r="AB101" s="422"/>
    </row>
    <row r="102" spans="1:28" s="45" customFormat="1" ht="13.9" customHeight="1" x14ac:dyDescent="0.2">
      <c r="A102"/>
      <c r="B102" s="226"/>
      <c r="C102" s="973" t="s">
        <v>700</v>
      </c>
      <c r="D102" s="548">
        <v>0</v>
      </c>
      <c r="E102" s="816"/>
      <c r="F102" s="548">
        <f>D102+D102*O102</f>
        <v>0</v>
      </c>
      <c r="G102" s="816"/>
      <c r="H102" s="548">
        <f>F102+F102*P102</f>
        <v>0</v>
      </c>
      <c r="I102" s="816"/>
      <c r="J102" s="548">
        <f>H102+H102*Q102</f>
        <v>0</v>
      </c>
      <c r="K102" s="816"/>
      <c r="L102" s="548">
        <f>J102+J102*R102</f>
        <v>0</v>
      </c>
      <c r="M102" s="816"/>
      <c r="N102" s="50"/>
      <c r="O102" s="344">
        <v>0.03</v>
      </c>
      <c r="P102" s="344">
        <f t="shared" ref="P102" si="32">O102</f>
        <v>0.03</v>
      </c>
      <c r="Q102" s="344">
        <f t="shared" si="31"/>
        <v>0.03</v>
      </c>
      <c r="R102" s="344">
        <f t="shared" si="31"/>
        <v>0.03</v>
      </c>
      <c r="S102" s="286"/>
      <c r="T102" s="286"/>
      <c r="U102" s="286"/>
      <c r="V102" s="286"/>
      <c r="W102" s="286"/>
      <c r="X102" s="286"/>
      <c r="Y102" s="286"/>
      <c r="Z102" s="421"/>
      <c r="AA102" s="421"/>
      <c r="AB102" s="422"/>
    </row>
    <row r="103" spans="1:28" s="45" customFormat="1" ht="13.9" customHeight="1" thickBot="1" x14ac:dyDescent="0.25">
      <c r="A103"/>
      <c r="B103" s="226"/>
      <c r="C103" s="975" t="s">
        <v>701</v>
      </c>
      <c r="D103" s="831">
        <v>0</v>
      </c>
      <c r="E103" s="830"/>
      <c r="F103" s="548">
        <f>D103+D103*O103</f>
        <v>0</v>
      </c>
      <c r="G103" s="830"/>
      <c r="H103" s="548">
        <f>F103+F103*P103</f>
        <v>0</v>
      </c>
      <c r="I103" s="830"/>
      <c r="J103" s="548">
        <f>H103+H103*Q103</f>
        <v>0</v>
      </c>
      <c r="K103" s="830"/>
      <c r="L103" s="548">
        <f>J103+J103*R103</f>
        <v>0</v>
      </c>
      <c r="M103" s="830"/>
      <c r="N103" s="50"/>
      <c r="O103" s="344">
        <v>0.03</v>
      </c>
      <c r="P103" s="344">
        <f>O103</f>
        <v>0.03</v>
      </c>
      <c r="Q103" s="344">
        <f t="shared" si="31"/>
        <v>0.03</v>
      </c>
      <c r="R103" s="344">
        <f t="shared" si="31"/>
        <v>0.03</v>
      </c>
      <c r="S103" s="286"/>
      <c r="T103" s="286"/>
      <c r="U103" s="286"/>
      <c r="V103" s="286"/>
      <c r="W103" s="286"/>
      <c r="X103" s="286"/>
      <c r="Y103" s="286"/>
      <c r="Z103" s="421"/>
      <c r="AA103" s="421"/>
      <c r="AB103" s="422"/>
    </row>
    <row r="104" spans="1:28" s="4" customFormat="1" ht="13.9" customHeight="1" x14ac:dyDescent="0.2">
      <c r="A104"/>
      <c r="B104" s="378"/>
      <c r="C104" s="974" t="s">
        <v>243</v>
      </c>
      <c r="D104" s="828">
        <f>SUM(D105:D107)</f>
        <v>0</v>
      </c>
      <c r="E104" s="829">
        <f>IF(D$45=0,0,100*D104/D$45)</f>
        <v>0</v>
      </c>
      <c r="F104" s="828">
        <f>SUM(F105:F107)</f>
        <v>0</v>
      </c>
      <c r="G104" s="829">
        <f>IF(F$45=0,0,100*F104/F$45)</f>
        <v>0</v>
      </c>
      <c r="H104" s="828">
        <f>SUM(H105:H107)</f>
        <v>0</v>
      </c>
      <c r="I104" s="829">
        <f>IF(H$45=0,0,100*H104/H$45)</f>
        <v>0</v>
      </c>
      <c r="J104" s="828">
        <f>SUM(J105:J107)</f>
        <v>0</v>
      </c>
      <c r="K104" s="829">
        <f>IF(J$45=0,0,100*J104/J$45)</f>
        <v>0</v>
      </c>
      <c r="L104" s="828">
        <f>SUM(L105:L107)</f>
        <v>0</v>
      </c>
      <c r="M104" s="829">
        <f>IF(L$45=0,0,100*L104/L$45)</f>
        <v>0</v>
      </c>
      <c r="N104" s="26"/>
      <c r="O104" s="1344"/>
      <c r="P104" s="282"/>
      <c r="Q104" s="282"/>
      <c r="R104" s="282"/>
      <c r="S104" s="286"/>
      <c r="T104" s="286"/>
      <c r="U104" s="286"/>
      <c r="V104" s="286"/>
      <c r="W104" s="286"/>
      <c r="X104" s="286"/>
      <c r="Y104" s="286"/>
      <c r="Z104" s="421"/>
      <c r="AA104" s="421"/>
      <c r="AB104" s="422"/>
    </row>
    <row r="105" spans="1:28" s="4" customFormat="1" ht="13.9" customHeight="1" x14ac:dyDescent="0.2">
      <c r="A105"/>
      <c r="B105" s="378"/>
      <c r="C105" s="171" t="s">
        <v>702</v>
      </c>
      <c r="D105" s="548">
        <v>0</v>
      </c>
      <c r="E105" s="816"/>
      <c r="F105" s="548">
        <f>D105+D105*O105</f>
        <v>0</v>
      </c>
      <c r="G105" s="816"/>
      <c r="H105" s="548">
        <f>F105+F105*P105</f>
        <v>0</v>
      </c>
      <c r="I105" s="816"/>
      <c r="J105" s="548">
        <f>H105+H105*Q105</f>
        <v>0</v>
      </c>
      <c r="K105" s="816"/>
      <c r="L105" s="548">
        <f>J105+J105*R105</f>
        <v>0</v>
      </c>
      <c r="M105" s="816"/>
      <c r="N105" s="50"/>
      <c r="O105" s="344">
        <v>0.03</v>
      </c>
      <c r="P105" s="344">
        <f t="shared" ref="P105" si="33">O105</f>
        <v>0.03</v>
      </c>
      <c r="Q105" s="344">
        <f>P105</f>
        <v>0.03</v>
      </c>
      <c r="R105" s="344">
        <f>Q105</f>
        <v>0.03</v>
      </c>
      <c r="S105" s="286"/>
      <c r="T105" s="286"/>
      <c r="U105" s="286"/>
      <c r="V105" s="286"/>
      <c r="W105" s="286"/>
      <c r="X105" s="286"/>
      <c r="Y105" s="286"/>
      <c r="Z105" s="421"/>
      <c r="AA105" s="421"/>
      <c r="AB105" s="422"/>
    </row>
    <row r="106" spans="1:28" s="45" customFormat="1" ht="13.9" customHeight="1" x14ac:dyDescent="0.2">
      <c r="A106"/>
      <c r="B106" s="226"/>
      <c r="C106" s="973" t="s">
        <v>703</v>
      </c>
      <c r="D106" s="548">
        <v>0</v>
      </c>
      <c r="E106" s="816"/>
      <c r="F106" s="548">
        <f>D106+D106*O106</f>
        <v>0</v>
      </c>
      <c r="G106" s="816"/>
      <c r="H106" s="548">
        <f>F106+F106*P106</f>
        <v>0</v>
      </c>
      <c r="I106" s="816"/>
      <c r="J106" s="548">
        <f>H106+H106*Q106</f>
        <v>0</v>
      </c>
      <c r="K106" s="816"/>
      <c r="L106" s="548">
        <f>J106+J106*R106</f>
        <v>0</v>
      </c>
      <c r="M106" s="816"/>
      <c r="N106" s="50"/>
      <c r="O106" s="344">
        <v>0.03</v>
      </c>
      <c r="P106" s="344">
        <f>O106</f>
        <v>0.03</v>
      </c>
      <c r="Q106" s="344">
        <f t="shared" ref="Q106" si="34">P106</f>
        <v>0.03</v>
      </c>
      <c r="R106" s="344">
        <f t="shared" ref="R106" si="35">Q106</f>
        <v>0.03</v>
      </c>
      <c r="S106" s="286"/>
      <c r="T106" s="286"/>
      <c r="U106" s="286"/>
      <c r="V106" s="286"/>
      <c r="W106" s="286"/>
      <c r="X106" s="286"/>
      <c r="Y106" s="286"/>
      <c r="Z106" s="421"/>
      <c r="AA106" s="421"/>
      <c r="AB106" s="422"/>
    </row>
    <row r="107" spans="1:28" s="45" customFormat="1" ht="13.9" customHeight="1" thickBot="1" x14ac:dyDescent="0.25">
      <c r="A107"/>
      <c r="B107" s="226"/>
      <c r="C107" s="976" t="s">
        <v>704</v>
      </c>
      <c r="D107" s="1579">
        <v>0</v>
      </c>
      <c r="E107" s="1580"/>
      <c r="F107" s="528">
        <f>D107+D107*O107</f>
        <v>0</v>
      </c>
      <c r="G107" s="1580"/>
      <c r="H107" s="528">
        <f>F107+F107*P107</f>
        <v>0</v>
      </c>
      <c r="I107" s="1580"/>
      <c r="J107" s="528">
        <f>H107+H107*Q107</f>
        <v>0</v>
      </c>
      <c r="K107" s="1580"/>
      <c r="L107" s="528">
        <f>J107+J107*R107</f>
        <v>0</v>
      </c>
      <c r="M107" s="1580"/>
      <c r="N107" s="50"/>
      <c r="O107" s="344">
        <v>0.03</v>
      </c>
      <c r="P107" s="344">
        <f>O107</f>
        <v>0.03</v>
      </c>
      <c r="Q107" s="344">
        <f t="shared" ref="Q107:R107" si="36">P107</f>
        <v>0.03</v>
      </c>
      <c r="R107" s="344">
        <f t="shared" si="36"/>
        <v>0.03</v>
      </c>
      <c r="S107" s="286"/>
      <c r="T107" s="286"/>
      <c r="U107" s="286"/>
      <c r="V107" s="286"/>
      <c r="W107" s="286"/>
      <c r="X107" s="286"/>
      <c r="Y107" s="286"/>
      <c r="Z107" s="421"/>
      <c r="AA107" s="421"/>
      <c r="AB107" s="422"/>
    </row>
    <row r="108" spans="1:28" s="4" customFormat="1" ht="13.9" customHeight="1" x14ac:dyDescent="0.2">
      <c r="A108"/>
      <c r="B108" s="378"/>
      <c r="C108" s="974" t="s">
        <v>33</v>
      </c>
      <c r="D108" s="828">
        <f>SUM(D109:D112)</f>
        <v>0</v>
      </c>
      <c r="E108" s="829">
        <f>IF(D$45=0,0,100*D108/D$45)</f>
        <v>0</v>
      </c>
      <c r="F108" s="828">
        <f>SUM(F109:F112)</f>
        <v>0</v>
      </c>
      <c r="G108" s="829">
        <f>IF(F$45=0,0,100*F108/F$45)</f>
        <v>0</v>
      </c>
      <c r="H108" s="828">
        <f>SUM(H109:H112)</f>
        <v>0</v>
      </c>
      <c r="I108" s="829">
        <f>IF(H$45=0,0,100*H108/H$45)</f>
        <v>0</v>
      </c>
      <c r="J108" s="828">
        <f>SUM(J109:J112)</f>
        <v>0</v>
      </c>
      <c r="K108" s="829">
        <f>IF(J$45=0,0,100*J108/J$45)</f>
        <v>0</v>
      </c>
      <c r="L108" s="828">
        <f>SUM(L109:L112)</f>
        <v>0</v>
      </c>
      <c r="M108" s="829">
        <f>IF(L$45=0,0,100*L108/L$45)</f>
        <v>0</v>
      </c>
      <c r="N108" s="26"/>
      <c r="O108" s="1344"/>
      <c r="P108" s="282"/>
      <c r="Q108" s="282"/>
      <c r="R108" s="282"/>
      <c r="S108" s="286"/>
      <c r="T108" s="286"/>
      <c r="U108" s="286"/>
      <c r="V108" s="286"/>
      <c r="W108" s="286"/>
      <c r="X108" s="286"/>
      <c r="Y108" s="286"/>
      <c r="Z108" s="421"/>
      <c r="AA108" s="421"/>
      <c r="AB108" s="422"/>
    </row>
    <row r="109" spans="1:28" s="45" customFormat="1" ht="13.9" customHeight="1" x14ac:dyDescent="0.2">
      <c r="A109"/>
      <c r="B109" s="226"/>
      <c r="C109" s="973" t="s">
        <v>705</v>
      </c>
      <c r="D109" s="548">
        <v>0</v>
      </c>
      <c r="E109" s="816"/>
      <c r="F109" s="548">
        <f>D109+D109*O109</f>
        <v>0</v>
      </c>
      <c r="G109" s="816"/>
      <c r="H109" s="548">
        <f>F109+F109*P109</f>
        <v>0</v>
      </c>
      <c r="I109" s="816"/>
      <c r="J109" s="548">
        <f>H109+H109*Q109</f>
        <v>0</v>
      </c>
      <c r="K109" s="816"/>
      <c r="L109" s="548">
        <f>J109+J109*R109</f>
        <v>0</v>
      </c>
      <c r="M109" s="816"/>
      <c r="N109" s="48"/>
      <c r="O109" s="344">
        <v>0.03</v>
      </c>
      <c r="P109" s="344">
        <f t="shared" ref="P109" si="37">O109</f>
        <v>0.03</v>
      </c>
      <c r="Q109" s="344">
        <f>P109</f>
        <v>0.03</v>
      </c>
      <c r="R109" s="344">
        <f>Q109</f>
        <v>0.03</v>
      </c>
      <c r="S109" s="286"/>
      <c r="T109" s="286"/>
      <c r="U109" s="286"/>
      <c r="V109" s="286"/>
      <c r="W109" s="286"/>
      <c r="X109" s="286"/>
      <c r="Y109" s="286"/>
      <c r="Z109" s="421"/>
      <c r="AA109" s="421"/>
      <c r="AB109" s="422"/>
    </row>
    <row r="110" spans="1:28" s="45" customFormat="1" ht="13.9" customHeight="1" x14ac:dyDescent="0.2">
      <c r="A110" s="46"/>
      <c r="B110" s="226"/>
      <c r="C110" s="973" t="s">
        <v>706</v>
      </c>
      <c r="D110" s="548">
        <v>0</v>
      </c>
      <c r="E110" s="816"/>
      <c r="F110" s="548">
        <f>D110+D110*O110</f>
        <v>0</v>
      </c>
      <c r="G110" s="816"/>
      <c r="H110" s="548">
        <f>F110+F110*P110</f>
        <v>0</v>
      </c>
      <c r="I110" s="816"/>
      <c r="J110" s="548">
        <f>H110+H110*Q110</f>
        <v>0</v>
      </c>
      <c r="K110" s="816"/>
      <c r="L110" s="548">
        <f>J110+J110*R110</f>
        <v>0</v>
      </c>
      <c r="M110" s="816"/>
      <c r="N110" s="48"/>
      <c r="O110" s="344">
        <v>0.03</v>
      </c>
      <c r="P110" s="344">
        <f>O110</f>
        <v>0.03</v>
      </c>
      <c r="Q110" s="344">
        <f t="shared" ref="Q110:R112" si="38">P110</f>
        <v>0.03</v>
      </c>
      <c r="R110" s="344">
        <f t="shared" si="38"/>
        <v>0.03</v>
      </c>
      <c r="S110" s="286"/>
      <c r="T110" s="286"/>
      <c r="U110" s="286"/>
      <c r="V110" s="286"/>
      <c r="W110" s="286"/>
      <c r="X110" s="286"/>
      <c r="Y110" s="286"/>
      <c r="Z110" s="421"/>
      <c r="AA110" s="421"/>
      <c r="AB110" s="422"/>
    </row>
    <row r="111" spans="1:28" s="45" customFormat="1" ht="13.9" customHeight="1" x14ac:dyDescent="0.2">
      <c r="A111" s="2"/>
      <c r="B111" s="226"/>
      <c r="C111" s="973" t="s">
        <v>707</v>
      </c>
      <c r="D111" s="548">
        <v>0</v>
      </c>
      <c r="E111" s="816"/>
      <c r="F111" s="548">
        <f>D111+D111*O111</f>
        <v>0</v>
      </c>
      <c r="G111" s="816"/>
      <c r="H111" s="548">
        <f>F111+F111*P111</f>
        <v>0</v>
      </c>
      <c r="I111" s="816"/>
      <c r="J111" s="548">
        <f>H111+H111*Q111</f>
        <v>0</v>
      </c>
      <c r="K111" s="816"/>
      <c r="L111" s="548">
        <f>J111+J111*R111</f>
        <v>0</v>
      </c>
      <c r="M111" s="816"/>
      <c r="N111" s="50"/>
      <c r="O111" s="344">
        <v>0.03</v>
      </c>
      <c r="P111" s="344">
        <f>O111</f>
        <v>0.03</v>
      </c>
      <c r="Q111" s="344">
        <f t="shared" si="38"/>
        <v>0.03</v>
      </c>
      <c r="R111" s="344">
        <f t="shared" si="38"/>
        <v>0.03</v>
      </c>
      <c r="S111" s="286"/>
      <c r="T111" s="286"/>
      <c r="U111" s="286"/>
      <c r="V111" s="286"/>
      <c r="W111" s="286"/>
      <c r="X111" s="286"/>
      <c r="Y111" s="286"/>
      <c r="Z111" s="421"/>
      <c r="AA111" s="421"/>
      <c r="AB111" s="422"/>
    </row>
    <row r="112" spans="1:28" s="45" customFormat="1" ht="13.9" customHeight="1" thickBot="1" x14ac:dyDescent="0.25">
      <c r="A112"/>
      <c r="B112" s="226"/>
      <c r="C112" s="976" t="s">
        <v>708</v>
      </c>
      <c r="D112" s="548">
        <v>0</v>
      </c>
      <c r="E112" s="830"/>
      <c r="F112" s="548">
        <f>D112+D112*O112</f>
        <v>0</v>
      </c>
      <c r="G112" s="830"/>
      <c r="H112" s="548">
        <f>F112+F112*P112</f>
        <v>0</v>
      </c>
      <c r="I112" s="830"/>
      <c r="J112" s="831">
        <f>H112+H112*Q112</f>
        <v>0</v>
      </c>
      <c r="K112" s="830"/>
      <c r="L112" s="831">
        <f>J112+J112*R112</f>
        <v>0</v>
      </c>
      <c r="M112" s="830"/>
      <c r="N112" s="50"/>
      <c r="O112" s="344">
        <v>0.03</v>
      </c>
      <c r="P112" s="344">
        <f>O112</f>
        <v>0.03</v>
      </c>
      <c r="Q112" s="344">
        <f t="shared" si="38"/>
        <v>0.03</v>
      </c>
      <c r="R112" s="344">
        <f t="shared" si="38"/>
        <v>0.03</v>
      </c>
      <c r="S112" s="286"/>
      <c r="T112" s="286"/>
      <c r="U112" s="286"/>
      <c r="V112" s="286"/>
      <c r="W112" s="286"/>
      <c r="X112" s="286"/>
      <c r="Y112" s="286"/>
      <c r="Z112" s="421"/>
      <c r="AA112" s="421"/>
      <c r="AB112" s="422"/>
    </row>
    <row r="113" spans="1:28" s="4" customFormat="1" ht="13.9" customHeight="1" x14ac:dyDescent="0.2">
      <c r="A113"/>
      <c r="B113" s="378"/>
      <c r="C113" s="977" t="s">
        <v>375</v>
      </c>
      <c r="D113" s="841">
        <f>SUM(D114:D116)</f>
        <v>0</v>
      </c>
      <c r="E113" s="829">
        <f>IF(D$45=0,0,100*D113/D$45)</f>
        <v>0</v>
      </c>
      <c r="F113" s="841">
        <f>SUM(F114:F116)</f>
        <v>0</v>
      </c>
      <c r="G113" s="829">
        <f>IF(F$45=0,0,100*F113/F$45)</f>
        <v>0</v>
      </c>
      <c r="H113" s="841">
        <f>SUM(H114:H116)</f>
        <v>0</v>
      </c>
      <c r="I113" s="829">
        <f>IF(H$45=0,0,100*H113/H$45)</f>
        <v>0</v>
      </c>
      <c r="J113" s="841">
        <f>SUM(J114:J116)</f>
        <v>0</v>
      </c>
      <c r="K113" s="829">
        <f>IF(J$45=0,0,100*J113/J$45)</f>
        <v>0</v>
      </c>
      <c r="L113" s="841">
        <f>SUM(L114:L116)</f>
        <v>0</v>
      </c>
      <c r="M113" s="829">
        <f>IF(L$45=0,0,100*L113/L$45)</f>
        <v>0</v>
      </c>
      <c r="N113" s="26"/>
      <c r="O113" s="1329"/>
      <c r="P113" s="1328"/>
      <c r="Q113" s="1328"/>
      <c r="R113" s="1328"/>
      <c r="S113" s="286"/>
      <c r="T113" s="286"/>
      <c r="U113" s="286"/>
      <c r="V113" s="286"/>
      <c r="W113" s="286"/>
      <c r="X113" s="286"/>
      <c r="Y113" s="286"/>
      <c r="Z113" s="421"/>
      <c r="AA113" s="421"/>
      <c r="AB113" s="422"/>
    </row>
    <row r="114" spans="1:28" s="45" customFormat="1" ht="13.9" customHeight="1" x14ac:dyDescent="0.2">
      <c r="A114"/>
      <c r="B114" s="226"/>
      <c r="C114" s="973" t="s">
        <v>709</v>
      </c>
      <c r="D114" s="548">
        <v>0</v>
      </c>
      <c r="E114" s="816"/>
      <c r="F114" s="548">
        <f>D114+D114*O114</f>
        <v>0</v>
      </c>
      <c r="G114" s="816"/>
      <c r="H114" s="548">
        <f t="shared" ref="H114:H124" si="39">F114+F114*P114</f>
        <v>0</v>
      </c>
      <c r="I114" s="816"/>
      <c r="J114" s="548">
        <f>H114+H114*Q114</f>
        <v>0</v>
      </c>
      <c r="K114" s="816"/>
      <c r="L114" s="548">
        <f t="shared" ref="L114:L124" si="40">J114+J114*R114</f>
        <v>0</v>
      </c>
      <c r="M114" s="816"/>
      <c r="N114" s="48"/>
      <c r="O114" s="344">
        <v>0.03</v>
      </c>
      <c r="P114" s="344">
        <f t="shared" ref="P114" si="41">O114</f>
        <v>0.03</v>
      </c>
      <c r="Q114" s="344">
        <f t="shared" ref="Q114:R124" si="42">P114</f>
        <v>0.03</v>
      </c>
      <c r="R114" s="344">
        <f t="shared" si="42"/>
        <v>0.03</v>
      </c>
      <c r="S114" s="286"/>
      <c r="T114" s="286"/>
      <c r="U114" s="286"/>
      <c r="V114" s="286"/>
      <c r="W114" s="286"/>
      <c r="X114" s="286"/>
      <c r="Y114" s="421"/>
      <c r="Z114" s="421"/>
      <c r="AA114" s="286"/>
      <c r="AB114" s="422"/>
    </row>
    <row r="115" spans="1:28" s="45" customFormat="1" ht="13.9" customHeight="1" x14ac:dyDescent="0.2">
      <c r="A115"/>
      <c r="B115" s="226"/>
      <c r="C115" s="973" t="s">
        <v>710</v>
      </c>
      <c r="D115" s="548">
        <v>0</v>
      </c>
      <c r="E115" s="816"/>
      <c r="F115" s="548">
        <f t="shared" ref="F115:F124" si="43">D115+D115*O115</f>
        <v>0</v>
      </c>
      <c r="G115" s="816"/>
      <c r="H115" s="548">
        <f t="shared" si="39"/>
        <v>0</v>
      </c>
      <c r="I115" s="816"/>
      <c r="J115" s="548">
        <f t="shared" ref="J115:J124" si="44">H115+H115*Q115</f>
        <v>0</v>
      </c>
      <c r="K115" s="816"/>
      <c r="L115" s="548">
        <f t="shared" si="40"/>
        <v>0</v>
      </c>
      <c r="M115" s="816"/>
      <c r="N115" s="48"/>
      <c r="O115" s="344">
        <v>0.03</v>
      </c>
      <c r="P115" s="344">
        <f>O115</f>
        <v>0.03</v>
      </c>
      <c r="Q115" s="344">
        <f t="shared" si="42"/>
        <v>0.03</v>
      </c>
      <c r="R115" s="344">
        <f t="shared" si="42"/>
        <v>0.03</v>
      </c>
      <c r="S115" s="286"/>
      <c r="T115" s="286"/>
      <c r="U115" s="286"/>
      <c r="V115" s="421"/>
      <c r="W115" s="421"/>
      <c r="X115" s="421"/>
      <c r="Y115" s="421"/>
      <c r="Z115" s="286"/>
      <c r="AA115" s="286"/>
      <c r="AB115" s="422"/>
    </row>
    <row r="116" spans="1:28" s="45" customFormat="1" ht="13.9" customHeight="1" thickBot="1" x14ac:dyDescent="0.25">
      <c r="B116" s="226"/>
      <c r="C116" s="975" t="s">
        <v>711</v>
      </c>
      <c r="D116" s="831">
        <v>0</v>
      </c>
      <c r="E116" s="830"/>
      <c r="F116" s="548">
        <f t="shared" si="43"/>
        <v>0</v>
      </c>
      <c r="G116" s="830"/>
      <c r="H116" s="831">
        <f t="shared" si="39"/>
        <v>0</v>
      </c>
      <c r="I116" s="830"/>
      <c r="J116" s="831">
        <f t="shared" si="44"/>
        <v>0</v>
      </c>
      <c r="K116" s="830"/>
      <c r="L116" s="831">
        <f t="shared" si="40"/>
        <v>0</v>
      </c>
      <c r="M116" s="830"/>
      <c r="N116" s="50"/>
      <c r="O116" s="344">
        <v>0.03</v>
      </c>
      <c r="P116" s="344">
        <f t="shared" ref="P116:P119" si="45">O116</f>
        <v>0.03</v>
      </c>
      <c r="Q116" s="344">
        <f t="shared" si="42"/>
        <v>0.03</v>
      </c>
      <c r="R116" s="344">
        <f t="shared" si="42"/>
        <v>0.03</v>
      </c>
      <c r="S116" s="286"/>
      <c r="T116" s="286"/>
      <c r="U116" s="286"/>
      <c r="V116" s="421"/>
      <c r="W116" s="421"/>
      <c r="X116" s="421"/>
      <c r="Y116" s="421"/>
      <c r="Z116" s="421"/>
      <c r="AA116" s="421"/>
      <c r="AB116" s="426"/>
    </row>
    <row r="117" spans="1:28" s="4" customFormat="1" ht="13.9" customHeight="1" thickBot="1" x14ac:dyDescent="0.25">
      <c r="B117" s="378"/>
      <c r="C117" s="978" t="s">
        <v>34</v>
      </c>
      <c r="D117" s="834">
        <v>0</v>
      </c>
      <c r="E117" s="837">
        <f>IF(D$45=0,0,100*D117/D$45)</f>
        <v>0</v>
      </c>
      <c r="F117" s="834">
        <f>D117+D117*O117</f>
        <v>0</v>
      </c>
      <c r="G117" s="837">
        <f t="shared" ref="G117:G124" si="46">IF(F$45=0,0,100*F117/F$45)</f>
        <v>0</v>
      </c>
      <c r="H117" s="834">
        <f t="shared" si="39"/>
        <v>0</v>
      </c>
      <c r="I117" s="837">
        <f t="shared" ref="I117:I124" si="47">IF(H$45=0,0,100*H117/H$45)</f>
        <v>0</v>
      </c>
      <c r="J117" s="834">
        <f t="shared" si="44"/>
        <v>0</v>
      </c>
      <c r="K117" s="829">
        <f t="shared" ref="K117:K124" si="48">IF(J$45=0,0,100*J117/J$45)</f>
        <v>0</v>
      </c>
      <c r="L117" s="834">
        <f t="shared" si="40"/>
        <v>0</v>
      </c>
      <c r="M117" s="829">
        <f t="shared" ref="M117:M124" si="49">IF(L$45=0,0,100*L117/L$45)</f>
        <v>0</v>
      </c>
      <c r="N117" s="26"/>
      <c r="O117" s="344">
        <v>0.03</v>
      </c>
      <c r="P117" s="344">
        <f t="shared" si="45"/>
        <v>0.03</v>
      </c>
      <c r="Q117" s="344">
        <f t="shared" si="42"/>
        <v>0.03</v>
      </c>
      <c r="R117" s="344">
        <f t="shared" si="42"/>
        <v>0.03</v>
      </c>
      <c r="S117" s="286"/>
      <c r="T117" s="286"/>
      <c r="U117" s="286"/>
      <c r="V117" s="421"/>
      <c r="W117" s="421"/>
      <c r="X117" s="421"/>
      <c r="Y117" s="421"/>
      <c r="Z117" s="421"/>
      <c r="AA117" s="421"/>
      <c r="AB117" s="426"/>
    </row>
    <row r="118" spans="1:28" s="4" customFormat="1" ht="13.9" customHeight="1" thickBot="1" x14ac:dyDescent="0.25">
      <c r="B118" s="378"/>
      <c r="C118" s="978" t="s">
        <v>35</v>
      </c>
      <c r="D118" s="834">
        <v>0</v>
      </c>
      <c r="E118" s="837">
        <f>IF(D$45=0,0,100*D118/D$45)</f>
        <v>0</v>
      </c>
      <c r="F118" s="834">
        <f t="shared" si="43"/>
        <v>0</v>
      </c>
      <c r="G118" s="837">
        <f t="shared" si="46"/>
        <v>0</v>
      </c>
      <c r="H118" s="834">
        <f t="shared" si="39"/>
        <v>0</v>
      </c>
      <c r="I118" s="837">
        <f t="shared" si="47"/>
        <v>0</v>
      </c>
      <c r="J118" s="834">
        <f t="shared" si="44"/>
        <v>0</v>
      </c>
      <c r="K118" s="829">
        <f t="shared" si="48"/>
        <v>0</v>
      </c>
      <c r="L118" s="834">
        <f t="shared" si="40"/>
        <v>0</v>
      </c>
      <c r="M118" s="829">
        <f t="shared" si="49"/>
        <v>0</v>
      </c>
      <c r="N118" s="26"/>
      <c r="O118" s="344">
        <v>0.03</v>
      </c>
      <c r="P118" s="344">
        <f t="shared" si="45"/>
        <v>0.03</v>
      </c>
      <c r="Q118" s="344">
        <f t="shared" si="42"/>
        <v>0.03</v>
      </c>
      <c r="R118" s="344">
        <f t="shared" si="42"/>
        <v>0.03</v>
      </c>
      <c r="S118" s="286"/>
      <c r="T118" s="286"/>
      <c r="U118" s="286"/>
      <c r="V118" s="421"/>
      <c r="W118" s="421"/>
      <c r="X118" s="421"/>
      <c r="Y118" s="421"/>
      <c r="Z118" s="421"/>
      <c r="AA118" s="421"/>
      <c r="AB118" s="426"/>
    </row>
    <row r="119" spans="1:28" s="4" customFormat="1" ht="13.9" customHeight="1" thickBot="1" x14ac:dyDescent="0.25">
      <c r="B119" s="982"/>
      <c r="C119" s="979" t="s">
        <v>363</v>
      </c>
      <c r="D119" s="834">
        <v>0</v>
      </c>
      <c r="E119" s="837">
        <f t="shared" ref="E119:E124" si="50">IF(D$125=0,0,100*D119/D$125)</f>
        <v>0</v>
      </c>
      <c r="F119" s="834">
        <f t="shared" si="43"/>
        <v>0</v>
      </c>
      <c r="G119" s="837">
        <f t="shared" si="46"/>
        <v>0</v>
      </c>
      <c r="H119" s="834">
        <f t="shared" si="39"/>
        <v>0</v>
      </c>
      <c r="I119" s="837">
        <f t="shared" si="47"/>
        <v>0</v>
      </c>
      <c r="J119" s="834">
        <f t="shared" si="44"/>
        <v>0</v>
      </c>
      <c r="K119" s="837">
        <f t="shared" si="48"/>
        <v>0</v>
      </c>
      <c r="L119" s="834">
        <f t="shared" si="40"/>
        <v>0</v>
      </c>
      <c r="M119" s="837">
        <f t="shared" si="49"/>
        <v>0</v>
      </c>
      <c r="N119" s="27"/>
      <c r="O119" s="344">
        <v>0.03</v>
      </c>
      <c r="P119" s="344">
        <f t="shared" si="45"/>
        <v>0.03</v>
      </c>
      <c r="Q119" s="344">
        <f t="shared" si="42"/>
        <v>0.03</v>
      </c>
      <c r="R119" s="344">
        <f t="shared" si="42"/>
        <v>0.03</v>
      </c>
      <c r="S119" s="286"/>
      <c r="T119" s="286"/>
      <c r="U119" s="286"/>
      <c r="V119" s="286"/>
      <c r="W119" s="286"/>
      <c r="X119" s="286"/>
      <c r="Y119" s="421"/>
      <c r="Z119" s="421"/>
      <c r="AA119" s="421"/>
      <c r="AB119" s="426"/>
    </row>
    <row r="120" spans="1:28" s="4" customFormat="1" ht="13.9" customHeight="1" thickBot="1" x14ac:dyDescent="0.25">
      <c r="A120"/>
      <c r="B120" s="982"/>
      <c r="C120" s="979" t="s">
        <v>744</v>
      </c>
      <c r="D120" s="834">
        <v>0</v>
      </c>
      <c r="E120" s="837">
        <f t="shared" si="50"/>
        <v>0</v>
      </c>
      <c r="F120" s="834">
        <f>D120</f>
        <v>0</v>
      </c>
      <c r="G120" s="837">
        <f t="shared" si="46"/>
        <v>0</v>
      </c>
      <c r="H120" s="834">
        <f>F120</f>
        <v>0</v>
      </c>
      <c r="I120" s="837">
        <f t="shared" si="47"/>
        <v>0</v>
      </c>
      <c r="J120" s="834">
        <f>H120</f>
        <v>0</v>
      </c>
      <c r="K120" s="837">
        <f t="shared" si="48"/>
        <v>0</v>
      </c>
      <c r="L120" s="834">
        <f>J120</f>
        <v>0</v>
      </c>
      <c r="M120" s="837">
        <f t="shared" si="49"/>
        <v>0</v>
      </c>
      <c r="N120" s="27"/>
      <c r="O120" s="485">
        <f>IF(F120&gt;0,"MERKITSE MENO KOKO SOPIMUSKAUDELLE!",0)</f>
        <v>0</v>
      </c>
      <c r="P120" s="495"/>
      <c r="Q120" s="495"/>
      <c r="R120" s="495"/>
      <c r="S120" s="143"/>
      <c r="T120" s="286"/>
      <c r="U120" s="286"/>
      <c r="V120" s="286"/>
      <c r="W120" s="286"/>
      <c r="X120" s="286"/>
      <c r="Y120" s="421"/>
      <c r="Z120" s="421"/>
      <c r="AA120" s="421"/>
      <c r="AB120" s="426"/>
    </row>
    <row r="121" spans="1:28" s="4" customFormat="1" ht="13.9" customHeight="1" thickBot="1" x14ac:dyDescent="0.25">
      <c r="B121" s="982"/>
      <c r="C121" s="980" t="s">
        <v>593</v>
      </c>
      <c r="D121" s="834">
        <v>0</v>
      </c>
      <c r="E121" s="837">
        <f t="shared" si="50"/>
        <v>0</v>
      </c>
      <c r="F121" s="834">
        <f t="shared" si="43"/>
        <v>0</v>
      </c>
      <c r="G121" s="837">
        <f t="shared" si="46"/>
        <v>0</v>
      </c>
      <c r="H121" s="834">
        <f>F121+F121*P121</f>
        <v>0</v>
      </c>
      <c r="I121" s="837">
        <f t="shared" si="47"/>
        <v>0</v>
      </c>
      <c r="J121" s="834">
        <f>H121+H121*Q121</f>
        <v>0</v>
      </c>
      <c r="K121" s="837">
        <f t="shared" si="48"/>
        <v>0</v>
      </c>
      <c r="L121" s="834">
        <f>J121+J121*R121</f>
        <v>0</v>
      </c>
      <c r="M121" s="837">
        <f t="shared" si="49"/>
        <v>0</v>
      </c>
      <c r="N121" s="27"/>
      <c r="O121" s="344">
        <v>0.03</v>
      </c>
      <c r="P121" s="344">
        <f t="shared" ref="P121" si="51">O121</f>
        <v>0.03</v>
      </c>
      <c r="Q121" s="344">
        <f t="shared" si="42"/>
        <v>0.03</v>
      </c>
      <c r="R121" s="344">
        <f t="shared" si="42"/>
        <v>0.03</v>
      </c>
      <c r="S121" s="286"/>
      <c r="T121" s="286"/>
      <c r="U121" s="286"/>
      <c r="V121" s="286"/>
      <c r="W121" s="286"/>
      <c r="X121" s="286"/>
      <c r="Y121" s="286"/>
      <c r="Z121" s="286"/>
      <c r="AA121" s="286"/>
      <c r="AB121" s="422"/>
    </row>
    <row r="122" spans="1:28" s="4" customFormat="1" ht="13.9" customHeight="1" thickBot="1" x14ac:dyDescent="0.25">
      <c r="A122"/>
      <c r="B122" s="982"/>
      <c r="C122" s="1075" t="s">
        <v>519</v>
      </c>
      <c r="D122" s="834">
        <v>0</v>
      </c>
      <c r="E122" s="837">
        <f t="shared" si="50"/>
        <v>0</v>
      </c>
      <c r="F122" s="834">
        <f t="shared" si="43"/>
        <v>0</v>
      </c>
      <c r="G122" s="837">
        <f t="shared" si="46"/>
        <v>0</v>
      </c>
      <c r="H122" s="834">
        <f t="shared" si="39"/>
        <v>0</v>
      </c>
      <c r="I122" s="837">
        <f t="shared" si="47"/>
        <v>0</v>
      </c>
      <c r="J122" s="834">
        <f t="shared" si="44"/>
        <v>0</v>
      </c>
      <c r="K122" s="837">
        <f t="shared" si="48"/>
        <v>0</v>
      </c>
      <c r="L122" s="834">
        <f t="shared" si="40"/>
        <v>0</v>
      </c>
      <c r="M122" s="837">
        <f t="shared" si="49"/>
        <v>0</v>
      </c>
      <c r="N122" s="27"/>
      <c r="O122" s="344">
        <v>0.03</v>
      </c>
      <c r="P122" s="344">
        <f>O122</f>
        <v>0.03</v>
      </c>
      <c r="Q122" s="344">
        <f t="shared" si="42"/>
        <v>0.03</v>
      </c>
      <c r="R122" s="344">
        <f t="shared" si="42"/>
        <v>0.03</v>
      </c>
      <c r="S122" s="286"/>
      <c r="T122" s="286"/>
      <c r="U122" s="286"/>
      <c r="V122" s="286"/>
      <c r="W122" s="286"/>
      <c r="X122" s="286"/>
      <c r="Y122" s="286"/>
      <c r="Z122" s="286"/>
      <c r="AA122" s="286"/>
      <c r="AB122" s="422"/>
    </row>
    <row r="123" spans="1:28" s="4" customFormat="1" ht="13.9" customHeight="1" thickBot="1" x14ac:dyDescent="0.25">
      <c r="A123"/>
      <c r="B123" s="982"/>
      <c r="C123" s="980" t="s">
        <v>373</v>
      </c>
      <c r="D123" s="834">
        <v>0</v>
      </c>
      <c r="E123" s="837">
        <f t="shared" si="50"/>
        <v>0</v>
      </c>
      <c r="F123" s="834">
        <f t="shared" si="43"/>
        <v>0</v>
      </c>
      <c r="G123" s="837">
        <f t="shared" si="46"/>
        <v>0</v>
      </c>
      <c r="H123" s="834">
        <f t="shared" si="39"/>
        <v>0</v>
      </c>
      <c r="I123" s="837">
        <f t="shared" si="47"/>
        <v>0</v>
      </c>
      <c r="J123" s="834">
        <f t="shared" si="44"/>
        <v>0</v>
      </c>
      <c r="K123" s="837">
        <f t="shared" si="48"/>
        <v>0</v>
      </c>
      <c r="L123" s="834">
        <f t="shared" si="40"/>
        <v>0</v>
      </c>
      <c r="M123" s="837">
        <f t="shared" si="49"/>
        <v>0</v>
      </c>
      <c r="N123" s="27"/>
      <c r="O123" s="344">
        <v>0.03</v>
      </c>
      <c r="P123" s="344">
        <f t="shared" ref="P123" si="52">O123</f>
        <v>0.03</v>
      </c>
      <c r="Q123" s="344">
        <f t="shared" si="42"/>
        <v>0.03</v>
      </c>
      <c r="R123" s="344">
        <f t="shared" si="42"/>
        <v>0.03</v>
      </c>
      <c r="S123" s="341"/>
      <c r="T123" s="286"/>
      <c r="U123" s="286"/>
      <c r="V123" s="286"/>
      <c r="W123" s="286"/>
      <c r="X123" s="286"/>
      <c r="Y123" s="286"/>
      <c r="Z123" s="286"/>
      <c r="AA123" s="286"/>
      <c r="AB123" s="422"/>
    </row>
    <row r="124" spans="1:28" s="4" customFormat="1" ht="13.9" customHeight="1" thickBot="1" x14ac:dyDescent="0.25">
      <c r="A124"/>
      <c r="B124" s="982"/>
      <c r="C124" s="980" t="s">
        <v>374</v>
      </c>
      <c r="D124" s="903">
        <v>0</v>
      </c>
      <c r="E124" s="837">
        <f t="shared" si="50"/>
        <v>0</v>
      </c>
      <c r="F124" s="834">
        <f t="shared" si="43"/>
        <v>0</v>
      </c>
      <c r="G124" s="837">
        <f t="shared" si="46"/>
        <v>0</v>
      </c>
      <c r="H124" s="834">
        <f t="shared" si="39"/>
        <v>0</v>
      </c>
      <c r="I124" s="837">
        <f t="shared" si="47"/>
        <v>0</v>
      </c>
      <c r="J124" s="834">
        <f t="shared" si="44"/>
        <v>0</v>
      </c>
      <c r="K124" s="837">
        <f t="shared" si="48"/>
        <v>0</v>
      </c>
      <c r="L124" s="834">
        <f t="shared" si="40"/>
        <v>0</v>
      </c>
      <c r="M124" s="837">
        <f t="shared" si="49"/>
        <v>0</v>
      </c>
      <c r="N124" s="27"/>
      <c r="O124" s="344">
        <v>0.03</v>
      </c>
      <c r="P124" s="344">
        <f>O124</f>
        <v>0.03</v>
      </c>
      <c r="Q124" s="344">
        <f t="shared" si="42"/>
        <v>0.03</v>
      </c>
      <c r="R124" s="344">
        <f t="shared" si="42"/>
        <v>0.03</v>
      </c>
      <c r="S124" s="497"/>
      <c r="T124" s="423"/>
      <c r="U124" s="423"/>
      <c r="V124" s="423"/>
      <c r="W124" s="423"/>
      <c r="X124" s="423"/>
      <c r="Y124" s="423"/>
      <c r="Z124" s="423"/>
      <c r="AA124" s="423"/>
      <c r="AB124" s="425"/>
    </row>
    <row r="125" spans="1:28" ht="17.649999999999999" customHeight="1" thickBot="1" x14ac:dyDescent="0.25">
      <c r="B125" s="1136" t="s">
        <v>5</v>
      </c>
      <c r="C125" s="1137" t="s">
        <v>17</v>
      </c>
      <c r="D125" s="1138">
        <f>D45+D44</f>
        <v>0</v>
      </c>
      <c r="E125" s="1139">
        <v>0</v>
      </c>
      <c r="F125" s="1138">
        <f>F45+F44</f>
        <v>0</v>
      </c>
      <c r="G125" s="1140">
        <v>0</v>
      </c>
      <c r="H125" s="1138">
        <f>H45+H44</f>
        <v>0</v>
      </c>
      <c r="I125" s="1141">
        <v>0</v>
      </c>
      <c r="J125" s="1138">
        <f>J45+J44</f>
        <v>0</v>
      </c>
      <c r="K125" s="1139"/>
      <c r="L125" s="1138">
        <f>L45+L44</f>
        <v>0</v>
      </c>
      <c r="M125" s="1139"/>
      <c r="N125" s="7"/>
      <c r="O125" s="36"/>
      <c r="P125" s="36"/>
      <c r="Q125" s="36"/>
      <c r="R125" s="36"/>
      <c r="S125" s="37"/>
      <c r="T125" s="37"/>
      <c r="U125" s="37"/>
      <c r="V125" s="37"/>
      <c r="W125" s="37"/>
      <c r="X125" s="37"/>
      <c r="Y125" s="37"/>
      <c r="Z125" s="23"/>
      <c r="AA125" s="23"/>
    </row>
    <row r="126" spans="1:28" ht="17.25" customHeight="1" x14ac:dyDescent="0.25">
      <c r="B126" s="1389" t="str">
        <f>IF(D46+D52&lt;0,"VIRHE! KORJAA LUVUT + MERKKISIKSI!","")</f>
        <v/>
      </c>
      <c r="D126" s="991" t="str">
        <f>IF(D125&lt;0,"MUUTA KAIKKI TAULUKON LUVUT +MERKKISIKSI!","")</f>
        <v/>
      </c>
      <c r="N126" s="3"/>
      <c r="O126" s="22"/>
      <c r="P126" s="22"/>
      <c r="Q126" s="1"/>
      <c r="R126" s="1"/>
      <c r="S126" s="1"/>
      <c r="T126" s="1"/>
      <c r="U126" s="1"/>
      <c r="V126" s="1"/>
      <c r="W126" s="1"/>
      <c r="X126" s="1"/>
      <c r="Y126" s="1"/>
      <c r="Z126" s="23"/>
      <c r="AA126" s="23"/>
    </row>
    <row r="127" spans="1:28" s="2" customFormat="1" x14ac:dyDescent="0.2">
      <c r="A127" s="4"/>
      <c r="D127" s="205"/>
      <c r="E127" s="359"/>
      <c r="F127" s="359"/>
      <c r="G127" s="359"/>
      <c r="H127" s="359"/>
      <c r="I127" s="1883">
        <f>OHJE!I5</f>
        <v>0</v>
      </c>
      <c r="J127" s="1883"/>
      <c r="K127" s="1883"/>
      <c r="L127" s="1883"/>
      <c r="M127" s="1883"/>
      <c r="N127" s="3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23"/>
      <c r="AA127" s="23"/>
    </row>
    <row r="128" spans="1:28" s="2" customFormat="1" x14ac:dyDescent="0.2">
      <c r="B128" s="1999" t="str">
        <f>OHJE!G24</f>
        <v>YT22 Toimivan yrityksen tulossuunnitelma</v>
      </c>
      <c r="C128" s="1999"/>
      <c r="D128" s="359"/>
      <c r="E128" s="359"/>
      <c r="F128" s="2008" t="str">
        <f>OHJE!I21</f>
        <v>Kehittämisyhtiö Witas Oy</v>
      </c>
      <c r="G128" s="2008"/>
      <c r="H128" s="2008"/>
      <c r="I128" s="2008"/>
      <c r="J128" s="2008"/>
      <c r="K128" s="2008"/>
      <c r="L128" s="2008"/>
      <c r="M128" s="2008"/>
      <c r="N128" s="3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23"/>
      <c r="AA128" s="23"/>
    </row>
    <row r="129" spans="1:27" s="2" customFormat="1" x14ac:dyDescent="0.2">
      <c r="B129" s="4"/>
      <c r="N129" s="3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23"/>
      <c r="AA129" s="23"/>
    </row>
    <row r="130" spans="1:27" ht="6.75" customHeight="1" x14ac:dyDescent="0.2"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23"/>
      <c r="AA130" s="23"/>
    </row>
    <row r="131" spans="1:27" x14ac:dyDescent="0.2">
      <c r="B131" s="28"/>
      <c r="C131" s="357" t="s">
        <v>248</v>
      </c>
      <c r="D131" s="15"/>
      <c r="E131" s="15"/>
      <c r="F131" s="9"/>
      <c r="G131" s="15"/>
      <c r="H131" s="9"/>
      <c r="I131" s="15"/>
      <c r="J131" s="9"/>
      <c r="K131" s="15"/>
      <c r="L131" s="9"/>
      <c r="M131" s="15"/>
      <c r="N131" s="9"/>
      <c r="O131" s="9"/>
      <c r="P131" s="9"/>
      <c r="Q131" s="8"/>
      <c r="R131" s="23"/>
      <c r="S131" s="23"/>
      <c r="T131" s="23"/>
      <c r="U131" s="23"/>
      <c r="V131" s="23"/>
      <c r="W131" s="23"/>
      <c r="X131" s="23"/>
      <c r="Y131" s="23"/>
      <c r="Z131" s="23"/>
      <c r="AA131" s="23"/>
    </row>
    <row r="132" spans="1:27" s="2" customFormat="1" x14ac:dyDescent="0.2">
      <c r="B132" s="30"/>
      <c r="C132" s="45" t="s">
        <v>249</v>
      </c>
      <c r="D132" s="29"/>
      <c r="E132" s="29"/>
      <c r="F132" s="18"/>
      <c r="G132" s="29"/>
      <c r="H132" s="9"/>
      <c r="I132" s="29"/>
      <c r="J132" s="9"/>
      <c r="K132" s="29"/>
      <c r="L132" s="9"/>
      <c r="M132" s="29"/>
      <c r="N132" s="9"/>
      <c r="O132" s="9"/>
      <c r="P132" s="9"/>
      <c r="Q132" s="8"/>
      <c r="R132" s="23"/>
      <c r="S132" s="23"/>
      <c r="T132" s="23"/>
      <c r="U132" s="23"/>
      <c r="V132" s="23"/>
      <c r="W132" s="23"/>
      <c r="X132" s="23"/>
      <c r="Y132" s="23"/>
      <c r="Z132" s="23"/>
      <c r="AA132" s="23"/>
    </row>
    <row r="133" spans="1:27" s="2" customFormat="1" ht="12.75" customHeight="1" x14ac:dyDescent="0.2">
      <c r="B133" s="30"/>
      <c r="C133" s="45" t="s">
        <v>250</v>
      </c>
      <c r="D133" s="29"/>
      <c r="E133" s="29"/>
      <c r="F133" s="9"/>
      <c r="G133" s="29"/>
      <c r="H133" s="9"/>
      <c r="I133" s="29"/>
      <c r="J133" s="9"/>
      <c r="K133" s="29"/>
      <c r="L133" s="9"/>
      <c r="M133" s="29"/>
      <c r="N133" s="9"/>
      <c r="O133" s="9"/>
      <c r="P133" s="9"/>
      <c r="Q133" s="8"/>
      <c r="R133" s="23"/>
      <c r="S133" s="23"/>
      <c r="T133" s="23"/>
      <c r="U133" s="23"/>
      <c r="V133" s="23"/>
      <c r="W133" s="23"/>
      <c r="X133" s="23"/>
      <c r="Y133" s="23"/>
      <c r="Z133" s="23"/>
      <c r="AA133" s="23"/>
    </row>
    <row r="134" spans="1:27" s="434" customFormat="1" x14ac:dyDescent="0.2">
      <c r="B134" s="1383"/>
      <c r="N134" s="427"/>
      <c r="O134" s="427"/>
      <c r="P134" s="427"/>
      <c r="Q134" s="1384"/>
      <c r="R134" s="29"/>
      <c r="S134" s="1384"/>
      <c r="T134" s="1384"/>
      <c r="U134" s="1384"/>
      <c r="V134" s="1384"/>
      <c r="W134" s="1384"/>
      <c r="X134" s="1384"/>
      <c r="Y134" s="1384"/>
      <c r="Z134" s="1384"/>
      <c r="AA134" s="1384"/>
    </row>
    <row r="135" spans="1:27" s="2" customFormat="1" x14ac:dyDescent="0.2">
      <c r="B135" s="1383"/>
      <c r="N135" s="1385"/>
      <c r="O135" s="1385"/>
      <c r="P135" s="1385"/>
      <c r="Q135" s="1384"/>
      <c r="R135" s="29"/>
      <c r="S135" s="1384"/>
      <c r="T135" s="1384"/>
      <c r="U135" s="1384"/>
      <c r="V135" s="1384"/>
      <c r="W135" s="1384"/>
      <c r="X135" s="1384"/>
      <c r="Y135" s="1384"/>
      <c r="Z135" s="1384"/>
      <c r="AA135" s="1384"/>
    </row>
    <row r="136" spans="1:27" s="434" customFormat="1" x14ac:dyDescent="0.2">
      <c r="B136" s="30"/>
      <c r="N136" s="9"/>
      <c r="O136" s="9"/>
      <c r="P136" s="9"/>
      <c r="Q136" s="1384"/>
      <c r="R136" s="1384"/>
      <c r="S136" s="1384"/>
      <c r="T136" s="1384"/>
      <c r="U136" s="1384"/>
      <c r="V136" s="1384"/>
      <c r="W136" s="1384"/>
      <c r="X136" s="1384"/>
      <c r="Y136" s="1384"/>
      <c r="Z136" s="1384"/>
      <c r="AA136" s="1384"/>
    </row>
    <row r="137" spans="1:27" s="434" customFormat="1" x14ac:dyDescent="0.2">
      <c r="B137" s="1383"/>
      <c r="N137" s="427"/>
      <c r="O137" s="427"/>
      <c r="P137" s="427"/>
      <c r="Q137" s="1384"/>
      <c r="R137" s="1384"/>
      <c r="S137" s="1384"/>
      <c r="T137" s="1384"/>
      <c r="U137" s="1384"/>
      <c r="V137" s="1384"/>
      <c r="W137" s="1384"/>
      <c r="X137" s="1384"/>
      <c r="Y137" s="1384"/>
      <c r="Z137" s="1384"/>
      <c r="AA137" s="1384"/>
    </row>
    <row r="138" spans="1:27" s="434" customFormat="1" x14ac:dyDescent="0.2">
      <c r="B138" s="30"/>
      <c r="N138" s="9"/>
      <c r="O138" s="9"/>
      <c r="P138" s="9"/>
      <c r="Q138" s="1384"/>
      <c r="R138" s="1384"/>
      <c r="S138" s="1384"/>
      <c r="T138" s="1384"/>
      <c r="U138" s="1384"/>
      <c r="V138" s="1384"/>
      <c r="W138" s="1384"/>
      <c r="X138" s="1384"/>
      <c r="Y138" s="1384"/>
      <c r="Z138" s="1384"/>
      <c r="AA138" s="1384"/>
    </row>
    <row r="139" spans="1:27" s="434" customFormat="1" ht="12.75" customHeight="1" x14ac:dyDescent="0.2">
      <c r="B139" s="1384"/>
      <c r="N139" s="1386"/>
      <c r="O139" s="1386"/>
      <c r="P139" s="1386"/>
      <c r="Q139" s="1384"/>
      <c r="R139" s="1384"/>
      <c r="S139" s="1384"/>
      <c r="T139" s="1384"/>
      <c r="U139" s="1384"/>
      <c r="V139" s="1384"/>
      <c r="W139" s="1384"/>
      <c r="X139" s="1384"/>
      <c r="Y139" s="1384"/>
      <c r="Z139" s="1384"/>
      <c r="AA139" s="1384"/>
    </row>
    <row r="140" spans="1:27" s="434" customFormat="1" ht="12.75" customHeight="1" x14ac:dyDescent="0.2">
      <c r="B140" s="1384"/>
      <c r="C140" s="1387"/>
      <c r="D140" s="10"/>
      <c r="E140" s="10"/>
      <c r="F140" s="1386"/>
      <c r="G140" s="10"/>
      <c r="H140" s="427"/>
      <c r="I140" s="10"/>
      <c r="J140" s="427"/>
      <c r="K140" s="10"/>
      <c r="L140" s="427"/>
      <c r="M140" s="10"/>
      <c r="N140" s="427"/>
      <c r="O140" s="427"/>
      <c r="P140" s="427"/>
      <c r="Q140" s="1384"/>
      <c r="R140" s="1384"/>
      <c r="S140" s="1384"/>
      <c r="T140" s="1384"/>
      <c r="U140" s="1384"/>
      <c r="V140" s="1384"/>
      <c r="W140" s="1384"/>
      <c r="X140" s="1384"/>
      <c r="Y140" s="1384"/>
      <c r="Z140" s="1384"/>
      <c r="AA140" s="1384"/>
    </row>
    <row r="141" spans="1:27" s="434" customFormat="1" ht="12.75" customHeight="1" x14ac:dyDescent="0.2">
      <c r="B141" s="1384"/>
      <c r="C141" s="1387"/>
      <c r="D141" s="1384"/>
      <c r="E141" s="1384"/>
      <c r="F141" s="1386"/>
      <c r="G141" s="1384"/>
      <c r="H141" s="1386"/>
      <c r="I141" s="1384"/>
      <c r="J141" s="1386"/>
      <c r="K141" s="1384"/>
      <c r="L141" s="1386"/>
      <c r="M141" s="1384"/>
      <c r="N141" s="1386"/>
      <c r="O141" s="1386"/>
      <c r="P141" s="1386"/>
      <c r="Q141" s="1384"/>
      <c r="R141" s="1384"/>
      <c r="S141" s="1384"/>
      <c r="T141" s="1384"/>
      <c r="U141" s="1384"/>
      <c r="V141" s="1384"/>
      <c r="W141" s="1384"/>
      <c r="X141" s="1384"/>
      <c r="Y141" s="1384"/>
      <c r="Z141" s="1384"/>
      <c r="AA141" s="1384"/>
    </row>
    <row r="142" spans="1:27" s="434" customFormat="1" ht="12.75" customHeight="1" x14ac:dyDescent="0.2">
      <c r="B142" s="1384"/>
      <c r="C142" s="1387"/>
      <c r="D142" s="29"/>
      <c r="E142" s="29"/>
      <c r="F142" s="1386"/>
      <c r="G142" s="29"/>
      <c r="H142" s="1388"/>
      <c r="I142" s="29"/>
      <c r="J142" s="1388"/>
      <c r="K142" s="29"/>
      <c r="L142" s="1388"/>
      <c r="M142" s="29"/>
      <c r="N142" s="1388"/>
      <c r="O142" s="1388"/>
      <c r="P142" s="1388"/>
      <c r="Q142" s="1384"/>
      <c r="R142" s="1384"/>
      <c r="S142" s="1384"/>
      <c r="T142" s="1384"/>
      <c r="U142" s="1384"/>
      <c r="V142" s="1384"/>
      <c r="W142" s="1384"/>
      <c r="X142" s="1384"/>
      <c r="Y142" s="1384"/>
      <c r="Z142" s="1384"/>
      <c r="AA142" s="1384"/>
    </row>
    <row r="143" spans="1:27" s="434" customFormat="1" ht="12.75" customHeight="1" x14ac:dyDescent="0.2">
      <c r="A143" s="1349"/>
      <c r="B143" s="29"/>
      <c r="C143" s="1387"/>
      <c r="D143" s="29"/>
      <c r="E143" s="29"/>
      <c r="F143" s="1386"/>
      <c r="G143" s="29"/>
      <c r="H143" s="1388"/>
      <c r="I143" s="29"/>
      <c r="J143" s="1388"/>
      <c r="K143" s="29"/>
      <c r="L143" s="1388"/>
      <c r="M143" s="29"/>
      <c r="N143" s="1388"/>
      <c r="O143" s="1388"/>
      <c r="P143" s="1388"/>
      <c r="Q143" s="1384"/>
      <c r="R143" s="1384"/>
      <c r="S143" s="1384"/>
      <c r="T143" s="1384"/>
      <c r="U143" s="1384"/>
      <c r="V143" s="1384"/>
      <c r="W143" s="1384"/>
      <c r="X143" s="1384"/>
      <c r="Y143" s="1384"/>
      <c r="Z143" s="1384"/>
      <c r="AA143" s="1384"/>
    </row>
    <row r="144" spans="1:27" s="434" customFormat="1" ht="12.75" customHeight="1" x14ac:dyDescent="0.2">
      <c r="B144" s="1384"/>
      <c r="C144" s="1387"/>
      <c r="D144" s="31"/>
      <c r="E144" s="31"/>
      <c r="F144" s="1386"/>
      <c r="G144" s="31"/>
      <c r="H144" s="1388"/>
      <c r="I144" s="31"/>
      <c r="J144" s="1388"/>
      <c r="K144" s="31"/>
      <c r="L144" s="1388"/>
      <c r="M144" s="31"/>
      <c r="N144" s="1388"/>
      <c r="O144" s="1388"/>
      <c r="P144" s="1388"/>
      <c r="Q144" s="1384"/>
      <c r="R144" s="1384"/>
      <c r="S144" s="1384"/>
      <c r="T144" s="1384"/>
      <c r="U144" s="1384"/>
      <c r="V144" s="1384"/>
      <c r="W144" s="1384"/>
      <c r="X144" s="1384"/>
      <c r="Y144" s="1384"/>
      <c r="Z144" s="1384"/>
      <c r="AA144" s="1384"/>
    </row>
    <row r="145" spans="1:27" s="434" customFormat="1" ht="12.75" customHeight="1" x14ac:dyDescent="0.2">
      <c r="A145" s="1349"/>
      <c r="B145" s="1384"/>
      <c r="C145" s="1384"/>
      <c r="D145" s="29"/>
      <c r="E145" s="29"/>
      <c r="F145" s="1384"/>
      <c r="G145" s="29"/>
      <c r="H145" s="1384"/>
      <c r="I145" s="29"/>
      <c r="J145" s="1384"/>
      <c r="K145" s="29"/>
      <c r="L145" s="1384"/>
      <c r="M145" s="29"/>
      <c r="N145" s="1384"/>
      <c r="O145" s="1384"/>
      <c r="P145" s="1384"/>
      <c r="Q145" s="1384"/>
      <c r="R145" s="1384"/>
      <c r="S145" s="1384"/>
      <c r="T145" s="1384"/>
      <c r="U145" s="1384"/>
      <c r="V145" s="1384"/>
      <c r="W145" s="1384"/>
      <c r="X145" s="1384"/>
      <c r="Y145" s="1384"/>
      <c r="Z145" s="1384"/>
      <c r="AA145" s="1384"/>
    </row>
    <row r="146" spans="1:27" s="434" customFormat="1" ht="12.75" customHeight="1" x14ac:dyDescent="0.2">
      <c r="A146" s="1349"/>
      <c r="B146" s="1384"/>
      <c r="C146" s="1384"/>
      <c r="D146" s="1384"/>
      <c r="E146" s="1384"/>
      <c r="F146" s="30"/>
      <c r="G146" s="1384"/>
      <c r="H146" s="11"/>
      <c r="I146" s="1384"/>
      <c r="J146" s="11"/>
      <c r="K146" s="1384"/>
      <c r="L146" s="11"/>
      <c r="M146" s="1384"/>
      <c r="N146" s="11"/>
      <c r="O146" s="11"/>
      <c r="P146" s="11"/>
      <c r="Q146" s="1384"/>
      <c r="R146" s="1384"/>
      <c r="S146" s="1384"/>
      <c r="T146" s="1384"/>
      <c r="U146" s="1384"/>
      <c r="V146" s="1384"/>
      <c r="W146" s="1384"/>
      <c r="X146" s="1384"/>
      <c r="Y146" s="1384"/>
      <c r="Z146" s="1384"/>
      <c r="AA146" s="1384"/>
    </row>
    <row r="147" spans="1:27" s="434" customFormat="1" ht="12.75" customHeight="1" x14ac:dyDescent="0.2">
      <c r="A147" s="2"/>
      <c r="B147" s="1384"/>
      <c r="C147" s="1384"/>
      <c r="D147" s="1384"/>
      <c r="E147" s="1384"/>
      <c r="F147" s="30"/>
      <c r="G147" s="1384"/>
      <c r="H147" s="9"/>
      <c r="I147" s="1384"/>
      <c r="J147" s="9"/>
      <c r="K147" s="1384"/>
      <c r="L147" s="9"/>
      <c r="M147" s="1384"/>
      <c r="N147" s="9"/>
      <c r="O147" s="9"/>
      <c r="P147" s="9"/>
      <c r="Q147" s="1384"/>
      <c r="R147" s="1384"/>
      <c r="S147" s="1384"/>
      <c r="T147" s="1384"/>
      <c r="U147" s="1384"/>
      <c r="V147" s="1384"/>
      <c r="W147" s="1384"/>
      <c r="X147" s="1384"/>
      <c r="Y147" s="1384"/>
      <c r="Z147" s="1384"/>
      <c r="AA147" s="1384"/>
    </row>
    <row r="148" spans="1:27" s="434" customFormat="1" ht="12.75" customHeight="1" x14ac:dyDescent="0.2">
      <c r="A148" s="1349"/>
      <c r="B148" s="1384"/>
      <c r="C148" s="1384"/>
      <c r="D148" s="1384"/>
      <c r="E148" s="1384"/>
      <c r="F148" s="1384"/>
      <c r="G148" s="1384"/>
      <c r="H148" s="1384"/>
      <c r="I148" s="1384"/>
      <c r="J148" s="1384"/>
      <c r="K148" s="1384"/>
      <c r="L148" s="1384"/>
      <c r="M148" s="1384"/>
      <c r="N148" s="1384"/>
      <c r="O148" s="1384"/>
      <c r="P148" s="1384"/>
      <c r="Q148" s="1384"/>
      <c r="R148" s="1384"/>
      <c r="S148" s="1384"/>
      <c r="T148" s="1384"/>
      <c r="U148" s="1384"/>
      <c r="V148" s="1384"/>
      <c r="W148" s="1384"/>
      <c r="X148" s="1384"/>
      <c r="Y148" s="1384"/>
      <c r="Z148" s="1384"/>
      <c r="AA148" s="1384"/>
    </row>
    <row r="149" spans="1:27" s="434" customFormat="1" ht="12.75" customHeight="1" x14ac:dyDescent="0.2">
      <c r="B149" s="1384"/>
      <c r="C149" s="1384"/>
      <c r="D149" s="29"/>
      <c r="E149" s="29"/>
      <c r="F149" s="30"/>
      <c r="G149" s="29"/>
      <c r="H149" s="12"/>
      <c r="I149" s="29"/>
      <c r="J149" s="12"/>
      <c r="K149" s="29"/>
      <c r="L149" s="12"/>
      <c r="M149" s="29"/>
      <c r="N149" s="12"/>
      <c r="O149" s="12"/>
      <c r="P149" s="12"/>
      <c r="Q149" s="1384"/>
      <c r="R149" s="1384"/>
      <c r="S149" s="1384"/>
      <c r="T149" s="1384"/>
      <c r="U149" s="1384"/>
      <c r="V149" s="1384"/>
      <c r="W149" s="1384"/>
      <c r="X149" s="1384"/>
      <c r="Y149" s="1384"/>
      <c r="Z149" s="1384"/>
      <c r="AA149" s="1384"/>
    </row>
    <row r="150" spans="1:27" s="434" customFormat="1" ht="12.75" customHeight="1" x14ac:dyDescent="0.2">
      <c r="A150" s="1349"/>
    </row>
    <row r="151" spans="1:27" s="434" customFormat="1" ht="12.75" customHeight="1" x14ac:dyDescent="0.2"/>
    <row r="152" spans="1:27" s="434" customFormat="1" ht="12.75" customHeight="1" x14ac:dyDescent="0.2">
      <c r="A152" s="1349"/>
    </row>
    <row r="153" spans="1:27" s="434" customFormat="1" ht="12.75" customHeight="1" x14ac:dyDescent="0.2">
      <c r="A153" s="2"/>
    </row>
    <row r="154" spans="1:27" s="434" customFormat="1" ht="12.75" customHeight="1" x14ac:dyDescent="0.2">
      <c r="A154" s="1349"/>
    </row>
    <row r="155" spans="1:27" s="434" customFormat="1" ht="12.75" customHeight="1" x14ac:dyDescent="0.2"/>
    <row r="156" spans="1:27" s="434" customFormat="1" ht="12.75" customHeight="1" x14ac:dyDescent="0.2">
      <c r="A156" s="1349"/>
    </row>
    <row r="157" spans="1:27" s="434" customFormat="1" ht="12.75" customHeight="1" x14ac:dyDescent="0.2"/>
    <row r="158" spans="1:27" s="434" customFormat="1" ht="12.75" customHeight="1" x14ac:dyDescent="0.2">
      <c r="A158" s="1349"/>
    </row>
    <row r="159" spans="1:27" s="434" customFormat="1" ht="12.75" customHeight="1" x14ac:dyDescent="0.2">
      <c r="A159" s="2"/>
    </row>
    <row r="160" spans="1:27" s="434" customFormat="1" ht="12.75" customHeight="1" x14ac:dyDescent="0.2">
      <c r="A160" s="1349"/>
    </row>
    <row r="161" spans="1:1" s="434" customFormat="1" ht="12.75" customHeight="1" x14ac:dyDescent="0.2"/>
    <row r="162" spans="1:1" s="434" customFormat="1" x14ac:dyDescent="0.2">
      <c r="A162" s="1349"/>
    </row>
    <row r="163" spans="1:1" s="434" customFormat="1" x14ac:dyDescent="0.2"/>
    <row r="164" spans="1:1" s="434" customFormat="1" x14ac:dyDescent="0.2">
      <c r="A164" s="1349"/>
    </row>
    <row r="165" spans="1:1" s="434" customFormat="1" x14ac:dyDescent="0.2">
      <c r="A165" s="2"/>
    </row>
    <row r="166" spans="1:1" s="434" customFormat="1" x14ac:dyDescent="0.2">
      <c r="A166" s="1349"/>
    </row>
    <row r="167" spans="1:1" s="434" customFormat="1" x14ac:dyDescent="0.2">
      <c r="A167" s="4"/>
    </row>
    <row r="168" spans="1:1" s="434" customFormat="1" x14ac:dyDescent="0.2"/>
    <row r="169" spans="1:1" s="434" customFormat="1" x14ac:dyDescent="0.2"/>
    <row r="170" spans="1:1" s="434" customFormat="1" x14ac:dyDescent="0.2"/>
    <row r="171" spans="1:1" s="434" customFormat="1" x14ac:dyDescent="0.2"/>
    <row r="172" spans="1:1" s="434" customFormat="1" x14ac:dyDescent="0.2"/>
    <row r="173" spans="1:1" s="434" customFormat="1" x14ac:dyDescent="0.2"/>
    <row r="174" spans="1:1" s="434" customFormat="1" x14ac:dyDescent="0.2"/>
    <row r="175" spans="1:1" s="434" customFormat="1" x14ac:dyDescent="0.2"/>
    <row r="176" spans="1:1" s="434" customFormat="1" x14ac:dyDescent="0.2"/>
    <row r="177" s="434" customFormat="1" x14ac:dyDescent="0.2"/>
    <row r="178" s="434" customFormat="1" x14ac:dyDescent="0.2"/>
    <row r="179" s="434" customFormat="1" x14ac:dyDescent="0.2"/>
    <row r="180" s="434" customFormat="1" x14ac:dyDescent="0.2"/>
    <row r="181" s="434" customFormat="1" x14ac:dyDescent="0.2"/>
    <row r="182" s="434" customFormat="1" x14ac:dyDescent="0.2"/>
    <row r="183" s="434" customFormat="1" x14ac:dyDescent="0.2"/>
    <row r="184" s="434" customFormat="1" x14ac:dyDescent="0.2"/>
    <row r="185" s="434" customFormat="1" x14ac:dyDescent="0.2"/>
    <row r="186" s="434" customFormat="1" x14ac:dyDescent="0.2"/>
    <row r="187" s="434" customFormat="1" x14ac:dyDescent="0.2"/>
    <row r="188" s="434" customFormat="1" x14ac:dyDescent="0.2"/>
    <row r="189" s="434" customFormat="1" x14ac:dyDescent="0.2"/>
    <row r="190" s="434" customFormat="1" x14ac:dyDescent="0.2"/>
    <row r="191" s="434" customFormat="1" x14ac:dyDescent="0.2"/>
    <row r="192" s="434" customFormat="1" x14ac:dyDescent="0.2"/>
    <row r="193" s="434" customFormat="1" x14ac:dyDescent="0.2"/>
    <row r="194" s="434" customFormat="1" x14ac:dyDescent="0.2"/>
    <row r="195" s="434" customFormat="1" x14ac:dyDescent="0.2"/>
    <row r="196" s="434" customFormat="1" x14ac:dyDescent="0.2"/>
    <row r="197" s="434" customFormat="1" x14ac:dyDescent="0.2"/>
    <row r="198" s="434" customFormat="1" x14ac:dyDescent="0.2"/>
    <row r="199" s="434" customFormat="1" x14ac:dyDescent="0.2"/>
    <row r="200" s="434" customFormat="1" x14ac:dyDescent="0.2"/>
    <row r="201" s="434" customFormat="1" x14ac:dyDescent="0.2"/>
    <row r="202" s="434" customFormat="1" x14ac:dyDescent="0.2"/>
    <row r="203" s="434" customFormat="1" x14ac:dyDescent="0.2"/>
    <row r="204" s="434" customFormat="1" x14ac:dyDescent="0.2"/>
    <row r="205" s="434" customFormat="1" x14ac:dyDescent="0.2"/>
    <row r="206" s="434" customFormat="1" x14ac:dyDescent="0.2"/>
    <row r="207" s="434" customFormat="1" x14ac:dyDescent="0.2"/>
    <row r="208" s="434" customFormat="1" x14ac:dyDescent="0.2"/>
    <row r="209" s="434" customFormat="1" x14ac:dyDescent="0.2"/>
    <row r="210" s="434" customFormat="1" x14ac:dyDescent="0.2"/>
    <row r="211" s="434" customFormat="1" x14ac:dyDescent="0.2"/>
    <row r="212" s="434" customFormat="1" x14ac:dyDescent="0.2"/>
    <row r="213" s="434" customFormat="1" x14ac:dyDescent="0.2"/>
    <row r="214" s="434" customFormat="1" x14ac:dyDescent="0.2"/>
    <row r="215" s="434" customFormat="1" x14ac:dyDescent="0.2"/>
    <row r="216" s="434" customFormat="1" x14ac:dyDescent="0.2"/>
    <row r="217" s="434" customFormat="1" x14ac:dyDescent="0.2"/>
    <row r="218" s="434" customFormat="1" x14ac:dyDescent="0.2"/>
    <row r="219" s="434" customFormat="1" x14ac:dyDescent="0.2"/>
    <row r="220" s="434" customFormat="1" x14ac:dyDescent="0.2"/>
    <row r="221" s="434" customFormat="1" x14ac:dyDescent="0.2"/>
    <row r="222" s="434" customFormat="1" x14ac:dyDescent="0.2"/>
    <row r="223" s="434" customFormat="1" x14ac:dyDescent="0.2"/>
    <row r="224" s="434" customFormat="1" x14ac:dyDescent="0.2"/>
    <row r="225" s="434" customFormat="1" x14ac:dyDescent="0.2"/>
    <row r="226" s="434" customFormat="1" x14ac:dyDescent="0.2"/>
    <row r="227" s="434" customFormat="1" x14ac:dyDescent="0.2"/>
    <row r="228" s="434" customFormat="1" x14ac:dyDescent="0.2"/>
    <row r="229" s="434" customFormat="1" x14ac:dyDescent="0.2"/>
    <row r="230" s="434" customFormat="1" x14ac:dyDescent="0.2"/>
    <row r="231" s="434" customFormat="1" x14ac:dyDescent="0.2"/>
    <row r="232" s="434" customFormat="1" x14ac:dyDescent="0.2"/>
    <row r="233" s="434" customFormat="1" x14ac:dyDescent="0.2"/>
    <row r="234" s="434" customFormat="1" x14ac:dyDescent="0.2"/>
    <row r="235" s="434" customFormat="1" x14ac:dyDescent="0.2"/>
  </sheetData>
  <sheetProtection algorithmName="SHA-512" hashValue="yHPYaaCe8mJh7Zjq96lGMxTJXNhFavyVT9/S1tgFdJnbltwphu2dH2zEN3VXSwTesZs8TsefeFARnGFZMBhl7A==" saltValue="op8gQijYf3CuPd38ijbzWw==" spinCount="100000" sheet="1" objects="1" scenarios="1"/>
  <mergeCells count="26">
    <mergeCell ref="E2:F2"/>
    <mergeCell ref="L10:M10"/>
    <mergeCell ref="F8:G8"/>
    <mergeCell ref="H8:I8"/>
    <mergeCell ref="J8:K8"/>
    <mergeCell ref="J7:K7"/>
    <mergeCell ref="H10:I10"/>
    <mergeCell ref="J10:K10"/>
    <mergeCell ref="K4:L4"/>
    <mergeCell ref="K5:L5"/>
    <mergeCell ref="B7:C9"/>
    <mergeCell ref="O3:Q3"/>
    <mergeCell ref="E3:F3"/>
    <mergeCell ref="E5:I5"/>
    <mergeCell ref="B128:C128"/>
    <mergeCell ref="D10:E10"/>
    <mergeCell ref="F10:G10"/>
    <mergeCell ref="O11:R11"/>
    <mergeCell ref="D7:E7"/>
    <mergeCell ref="H7:I7"/>
    <mergeCell ref="F7:G7"/>
    <mergeCell ref="L7:M7"/>
    <mergeCell ref="L8:M8"/>
    <mergeCell ref="D8:E8"/>
    <mergeCell ref="F128:M128"/>
    <mergeCell ref="I127:M127"/>
  </mergeCells>
  <phoneticPr fontId="7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5" orientation="portrait" r:id="rId1"/>
  <headerFooter alignWithMargins="0"/>
  <rowBreaks count="1" manualBreakCount="1">
    <brk id="68" min="1" max="25" man="1"/>
  </rowBreaks>
  <colBreaks count="1" manualBreakCount="1">
    <brk id="13" min="1" max="123" man="1"/>
  </colBreaks>
  <ignoredErrors>
    <ignoredError sqref="H13 J13 L13 R13" unlockedFormula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ul41">
    <tabColor rgb="FF0152A1"/>
  </sheetPr>
  <dimension ref="A2:Y91"/>
  <sheetViews>
    <sheetView showGridLines="0" showZeros="0" workbookViewId="0"/>
  </sheetViews>
  <sheetFormatPr defaultRowHeight="12.75" x14ac:dyDescent="0.2"/>
  <cols>
    <col min="1" max="1" width="8.7109375" customWidth="1"/>
    <col min="2" max="2" width="31.140625" customWidth="1"/>
    <col min="3" max="3" width="6.7109375" customWidth="1"/>
    <col min="4" max="4" width="4.28515625" style="33" customWidth="1"/>
    <col min="5" max="9" width="13.28515625" customWidth="1"/>
    <col min="10" max="10" width="5.28515625" customWidth="1"/>
    <col min="15" max="22" width="8.85546875" customWidth="1"/>
  </cols>
  <sheetData>
    <row r="2" spans="1:25" ht="15.75" x14ac:dyDescent="0.25">
      <c r="B2" s="19" t="s">
        <v>65</v>
      </c>
      <c r="C2" s="19"/>
      <c r="D2"/>
      <c r="E2" s="19"/>
      <c r="G2" s="19"/>
      <c r="K2" s="2" t="str">
        <f>B2</f>
        <v>E2  LIIKEVAIHDON MUODOSTUMINEN</v>
      </c>
      <c r="O2" s="347"/>
    </row>
    <row r="3" spans="1:25" ht="13.5" customHeight="1" x14ac:dyDescent="0.2">
      <c r="A3" s="1368" t="s">
        <v>535</v>
      </c>
      <c r="B3" s="376">
        <f>'3. T3 TASE '!D10</f>
        <v>0</v>
      </c>
      <c r="C3" s="376"/>
      <c r="D3" s="6"/>
      <c r="E3" s="5"/>
      <c r="G3" s="6"/>
      <c r="H3" s="6"/>
      <c r="I3" s="6"/>
      <c r="O3" s="348"/>
    </row>
    <row r="4" spans="1:25" ht="17.25" customHeight="1" x14ac:dyDescent="0.2">
      <c r="B4" s="38" t="s">
        <v>537</v>
      </c>
      <c r="C4" s="38"/>
      <c r="D4" s="47"/>
      <c r="E4" s="14" t="s">
        <v>0</v>
      </c>
      <c r="F4" s="38" t="s">
        <v>538</v>
      </c>
      <c r="H4" s="14" t="s">
        <v>0</v>
      </c>
      <c r="I4" s="41"/>
      <c r="J4" s="24" t="s">
        <v>0</v>
      </c>
      <c r="K4" s="24" t="s">
        <v>0</v>
      </c>
      <c r="L4" s="24" t="s">
        <v>0</v>
      </c>
    </row>
    <row r="5" spans="1:25" ht="14.25" customHeight="1" x14ac:dyDescent="0.2">
      <c r="B5" s="503">
        <f>'2. &amp; 7. T2 TULOSSUUN. '!B5:D5</f>
        <v>0</v>
      </c>
      <c r="C5" s="503"/>
      <c r="D5" s="503"/>
      <c r="E5" s="506"/>
      <c r="F5" s="2014">
        <f>'1. T1 INVESTOINTISUUN.'!B9</f>
        <v>0</v>
      </c>
      <c r="G5" s="2014"/>
      <c r="H5" s="2014"/>
      <c r="I5" s="1573"/>
      <c r="J5" s="17"/>
      <c r="K5" s="1809"/>
      <c r="L5" s="1809"/>
      <c r="X5" s="8"/>
      <c r="Y5" s="8"/>
    </row>
    <row r="6" spans="1:25" ht="6" customHeight="1" x14ac:dyDescent="0.2">
      <c r="G6" s="13"/>
      <c r="H6" s="13"/>
      <c r="I6" s="13"/>
      <c r="M6" s="349"/>
      <c r="N6" s="132"/>
      <c r="O6" s="132"/>
      <c r="P6" s="132"/>
      <c r="Q6" s="1"/>
      <c r="R6" s="1"/>
      <c r="S6" s="1"/>
      <c r="T6" s="1"/>
      <c r="U6" s="1"/>
      <c r="V6" s="1"/>
      <c r="W6" s="1"/>
      <c r="X6" s="8"/>
      <c r="Y6" s="8"/>
    </row>
    <row r="7" spans="1:25" x14ac:dyDescent="0.2">
      <c r="B7" s="2021"/>
      <c r="C7" s="2021"/>
      <c r="D7" s="2022"/>
      <c r="E7" s="1316" t="s">
        <v>64</v>
      </c>
      <c r="F7" s="1316" t="str">
        <f>'1. T1 INVESTOINTISUUN.'!D15</f>
        <v>Ennuste 1</v>
      </c>
      <c r="G7" s="1316" t="s">
        <v>55</v>
      </c>
      <c r="H7" s="1316" t="s">
        <v>57</v>
      </c>
      <c r="I7" s="1246" t="s">
        <v>195</v>
      </c>
    </row>
    <row r="8" spans="1:25" x14ac:dyDescent="0.2">
      <c r="B8" s="2022"/>
      <c r="C8" s="2022"/>
      <c r="D8" s="2022"/>
      <c r="E8" s="1142">
        <f>'5. E1 KUSTANNUKSET '!D$8</f>
        <v>2025</v>
      </c>
      <c r="F8" s="1142">
        <f>'5. E1 KUSTANNUKSET '!F$8</f>
        <v>2027</v>
      </c>
      <c r="G8" s="1142">
        <f>'5. E1 KUSTANNUKSET '!H$8</f>
        <v>2028</v>
      </c>
      <c r="H8" s="1142">
        <f>'5. E1 KUSTANNUKSET '!J$8</f>
        <v>2029</v>
      </c>
      <c r="I8" s="1315">
        <f>'2. &amp; 7. T2 TULOSSUUN. '!O8</f>
        <v>2030</v>
      </c>
      <c r="J8" s="34"/>
      <c r="K8" s="283"/>
      <c r="L8" s="283"/>
      <c r="M8" s="283"/>
      <c r="N8" s="283"/>
      <c r="O8" s="156"/>
      <c r="P8" s="156"/>
      <c r="Q8" s="156"/>
      <c r="R8" s="156"/>
      <c r="S8" s="156"/>
      <c r="T8" s="156"/>
      <c r="U8" s="156"/>
      <c r="V8" s="156"/>
    </row>
    <row r="9" spans="1:25" x14ac:dyDescent="0.2">
      <c r="B9" s="2012" t="s">
        <v>299</v>
      </c>
      <c r="C9" s="2012"/>
      <c r="D9" s="2012"/>
      <c r="E9" s="1317" t="str">
        <f>'5. E1 KUSTANNUKSET '!D10</f>
        <v>12</v>
      </c>
      <c r="F9" s="1317">
        <f>'5. E1 KUSTANNUKSET '!F10</f>
        <v>12</v>
      </c>
      <c r="G9" s="1317" t="str">
        <f>'5. E1 KUSTANNUKSET '!H10</f>
        <v>12</v>
      </c>
      <c r="H9" s="1317" t="str">
        <f>'5. E1 KUSTANNUKSET '!J10</f>
        <v>12</v>
      </c>
      <c r="I9" s="1315" t="str">
        <f>'5. E1 KUSTANNUKSET '!L10</f>
        <v>12</v>
      </c>
      <c r="J9" s="34"/>
      <c r="K9" s="283"/>
      <c r="L9" s="283"/>
      <c r="M9" s="283"/>
      <c r="N9" s="283"/>
      <c r="O9" s="156"/>
      <c r="P9" s="156"/>
      <c r="Q9" s="156"/>
      <c r="R9" s="156"/>
      <c r="S9" s="156"/>
      <c r="T9" s="156"/>
      <c r="U9" s="156"/>
      <c r="V9" s="156"/>
    </row>
    <row r="10" spans="1:25" ht="12.6" customHeight="1" x14ac:dyDescent="0.2">
      <c r="B10" s="2017" t="s">
        <v>554</v>
      </c>
      <c r="C10" s="2018"/>
      <c r="D10" s="361" t="s">
        <v>518</v>
      </c>
      <c r="E10" s="692">
        <f>(E17+E24+E31+E38+E45+E52+E59+E66+E73+E80)</f>
        <v>0</v>
      </c>
      <c r="F10" s="693">
        <f>(F17+F24+F31+F38+F45+F52+F59+F66+F73+F80)</f>
        <v>0</v>
      </c>
      <c r="G10" s="693">
        <f>(G17+G24+G31+G38+G45+G52+G59+G66+G73+G80)</f>
        <v>0</v>
      </c>
      <c r="H10" s="693">
        <f>(H17+H24+H31+H38+H45+H52+H59+H66+H73+H80)</f>
        <v>0</v>
      </c>
      <c r="I10" s="693">
        <f>(I17+I24+I31+I38+I45+I52+I59+I66+I73+I80)</f>
        <v>0</v>
      </c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</row>
    <row r="11" spans="1:25" ht="12.6" customHeight="1" x14ac:dyDescent="0.2">
      <c r="B11" s="2017" t="s">
        <v>612</v>
      </c>
      <c r="C11" s="2018"/>
      <c r="D11" s="361" t="s">
        <v>518</v>
      </c>
      <c r="E11" s="692">
        <f>(E21+E28+E35+E42+E49+E56+E63+E70+E77+E84)</f>
        <v>0</v>
      </c>
      <c r="F11" s="693">
        <f>(F21+F28+F35+F42+F49+F56+F63+F70+F77+F84)</f>
        <v>0</v>
      </c>
      <c r="G11" s="693">
        <f>(G21+G28+G35+G42+G49+G56+G63+G70+G77+G84)</f>
        <v>0</v>
      </c>
      <c r="H11" s="693">
        <f>(H21+H28+H35+H42+H49+H56+H63+H70+H77+H84)</f>
        <v>0</v>
      </c>
      <c r="I11" s="693">
        <f>(I21+I28+I35+I42+I49+I56+I63+I70+I77+I84)</f>
        <v>0</v>
      </c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</row>
    <row r="12" spans="1:25" ht="12.6" customHeight="1" x14ac:dyDescent="0.2">
      <c r="B12" s="2017" t="s">
        <v>553</v>
      </c>
      <c r="C12" s="2018"/>
      <c r="D12" s="361"/>
      <c r="E12" s="694">
        <f>IF(E11=0,0,E11/E10)</f>
        <v>0</v>
      </c>
      <c r="F12" s="695">
        <f>IF(F11=0,0,F11/F10)</f>
        <v>0</v>
      </c>
      <c r="G12" s="695">
        <f>IF(G11=0,0,G11/G10)</f>
        <v>0</v>
      </c>
      <c r="H12" s="695">
        <f>IF(H11=0,0,H11/H10)</f>
        <v>0</v>
      </c>
      <c r="I12" s="695">
        <f>IF(I11=0,0,I11/I10)</f>
        <v>0</v>
      </c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</row>
    <row r="13" spans="1:25" ht="12.6" customHeight="1" x14ac:dyDescent="0.2">
      <c r="B13" s="2017" t="s">
        <v>555</v>
      </c>
      <c r="C13" s="2018"/>
      <c r="D13" s="361" t="s">
        <v>518</v>
      </c>
      <c r="E13" s="696"/>
      <c r="F13" s="693">
        <f>(F16*F17+F23*F24+F30*F31+F37*F38+F44*F45+F51*F52+F58*F59+F65*F66+F72*F73+F79*F80)</f>
        <v>0</v>
      </c>
      <c r="G13" s="693">
        <f>(G16*G17+G23*G24+G30*G31+G37*G38+G44*G45+G51*G52+G58*G59+G65*G66+G72*G73+G79*G80)</f>
        <v>0</v>
      </c>
      <c r="H13" s="693">
        <f>(H16*H17+H23*H24+H30*H31+H37*H38+H44*H45+H51*H52+H58*H59+H65*H66+H72*H73+H79*H80)</f>
        <v>0</v>
      </c>
      <c r="I13" s="693">
        <f>(I16*I17+I23*I24+I30*I31+I37*I38+I44*I45+I51*I52+I58*I59+I65*I66+I72*I73+I79*I80)</f>
        <v>0</v>
      </c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</row>
    <row r="14" spans="1:25" ht="12.6" customHeight="1" x14ac:dyDescent="0.2">
      <c r="B14" s="2017" t="s">
        <v>556</v>
      </c>
      <c r="C14" s="2018"/>
      <c r="D14" s="361" t="s">
        <v>518</v>
      </c>
      <c r="E14" s="696"/>
      <c r="F14" s="693">
        <f>F12*F13</f>
        <v>0</v>
      </c>
      <c r="G14" s="693">
        <f>G12*G13</f>
        <v>0</v>
      </c>
      <c r="H14" s="693">
        <f>H12*H13</f>
        <v>0</v>
      </c>
      <c r="I14" s="693">
        <f>I12*I13</f>
        <v>0</v>
      </c>
      <c r="K14" s="1605" t="s">
        <v>46</v>
      </c>
      <c r="L14" s="1333"/>
      <c r="M14" s="1208"/>
      <c r="N14" s="1208"/>
      <c r="O14" s="1208"/>
      <c r="P14" s="1208"/>
      <c r="Q14" s="1334"/>
      <c r="R14" s="1334"/>
      <c r="S14" s="1334"/>
      <c r="T14" s="1334"/>
      <c r="U14" s="1334"/>
      <c r="V14" s="1335"/>
    </row>
    <row r="15" spans="1:25" ht="6" customHeight="1" x14ac:dyDescent="0.2">
      <c r="B15" s="1416"/>
      <c r="C15" s="1416"/>
      <c r="D15" s="1417"/>
      <c r="E15" s="1418"/>
      <c r="F15" s="1419"/>
      <c r="G15" s="1419"/>
      <c r="H15" s="1419"/>
      <c r="I15" s="1419"/>
      <c r="K15" s="1336"/>
      <c r="L15" s="283"/>
      <c r="M15" s="283"/>
      <c r="N15" s="283"/>
      <c r="O15" s="156"/>
      <c r="P15" s="156"/>
      <c r="Q15" s="156"/>
      <c r="R15" s="156"/>
      <c r="S15" s="156"/>
      <c r="T15" s="156"/>
      <c r="U15" s="156"/>
      <c r="V15" s="307"/>
    </row>
    <row r="16" spans="1:25" ht="12" customHeight="1" x14ac:dyDescent="0.2">
      <c r="A16" s="46"/>
      <c r="B16" s="1313"/>
      <c r="C16" s="1314"/>
      <c r="D16" s="1314"/>
      <c r="E16" s="1493" t="s">
        <v>587</v>
      </c>
      <c r="F16" s="589">
        <v>0.255</v>
      </c>
      <c r="G16" s="589">
        <f>F16</f>
        <v>0.255</v>
      </c>
      <c r="H16" s="589">
        <f>G16</f>
        <v>0.255</v>
      </c>
      <c r="I16" s="1312">
        <f>H16</f>
        <v>0.255</v>
      </c>
      <c r="J16" s="34"/>
      <c r="K16" s="2002" t="s">
        <v>381</v>
      </c>
      <c r="L16" s="2003"/>
      <c r="M16" s="2003"/>
      <c r="N16" s="2003"/>
      <c r="O16" s="286"/>
      <c r="P16" s="286"/>
      <c r="Q16" s="286"/>
      <c r="R16" s="286"/>
      <c r="S16" s="286"/>
      <c r="T16" s="286"/>
      <c r="U16" s="286"/>
      <c r="V16" s="422"/>
    </row>
    <row r="17" spans="1:22" ht="12.75" customHeight="1" x14ac:dyDescent="0.2">
      <c r="B17" s="1311" t="s">
        <v>627</v>
      </c>
      <c r="C17" s="2015" t="s">
        <v>622</v>
      </c>
      <c r="D17" s="2016"/>
      <c r="E17" s="522">
        <v>0</v>
      </c>
      <c r="F17" s="1588">
        <f>F18*F19</f>
        <v>0</v>
      </c>
      <c r="G17" s="1588">
        <f>G18*G19</f>
        <v>0</v>
      </c>
      <c r="H17" s="568">
        <f>H18*H19</f>
        <v>0</v>
      </c>
      <c r="I17" s="1588">
        <f>I18*I19</f>
        <v>0</v>
      </c>
      <c r="K17" s="270">
        <f>F$8</f>
        <v>2027</v>
      </c>
      <c r="L17" s="270">
        <f>G$8</f>
        <v>2028</v>
      </c>
      <c r="M17" s="270">
        <f>H$8</f>
        <v>2029</v>
      </c>
      <c r="N17" s="270">
        <f>I$8</f>
        <v>2030</v>
      </c>
      <c r="O17" s="286"/>
      <c r="P17" s="286"/>
      <c r="Q17" s="286"/>
      <c r="R17" s="286"/>
      <c r="S17" s="286"/>
      <c r="T17" s="286"/>
      <c r="U17" s="286"/>
      <c r="V17" s="422"/>
    </row>
    <row r="18" spans="1:22" ht="12" customHeight="1" x14ac:dyDescent="0.2">
      <c r="A18" s="46"/>
      <c r="B18" s="1586" t="s">
        <v>637</v>
      </c>
      <c r="C18" s="1589"/>
      <c r="D18" s="1320" t="s">
        <v>623</v>
      </c>
      <c r="E18" s="522">
        <v>0</v>
      </c>
      <c r="F18" s="522">
        <f>E18</f>
        <v>0</v>
      </c>
      <c r="G18" s="522">
        <f t="shared" ref="G18:G19" si="0">F18+F18*L18</f>
        <v>0</v>
      </c>
      <c r="H18" s="522">
        <f>G18+G18*M18</f>
        <v>0</v>
      </c>
      <c r="I18" s="522">
        <f>H18+H18*N18</f>
        <v>0</v>
      </c>
      <c r="K18" s="344">
        <v>0</v>
      </c>
      <c r="L18" s="344">
        <f t="shared" ref="L18:N19" si="1">K18</f>
        <v>0</v>
      </c>
      <c r="M18" s="344">
        <f t="shared" si="1"/>
        <v>0</v>
      </c>
      <c r="N18" s="344">
        <f t="shared" si="1"/>
        <v>0</v>
      </c>
      <c r="O18" s="286"/>
      <c r="P18" s="1337"/>
      <c r="Q18" s="286"/>
      <c r="R18" s="286"/>
      <c r="S18" s="286"/>
      <c r="T18" s="286"/>
      <c r="U18" s="286"/>
      <c r="V18" s="422"/>
    </row>
    <row r="19" spans="1:22" ht="12" customHeight="1" x14ac:dyDescent="0.2">
      <c r="A19" s="2"/>
      <c r="B19" s="1586" t="s">
        <v>638</v>
      </c>
      <c r="C19" s="1589"/>
      <c r="D19" s="1320" t="s">
        <v>518</v>
      </c>
      <c r="E19" s="684">
        <f>IF(E18=0,0,E17/E18)</f>
        <v>0</v>
      </c>
      <c r="F19" s="685">
        <f>E19+E19*K19</f>
        <v>0</v>
      </c>
      <c r="G19" s="685">
        <f t="shared" si="0"/>
        <v>0</v>
      </c>
      <c r="H19" s="685">
        <f>G19+G19*M19</f>
        <v>0</v>
      </c>
      <c r="I19" s="685">
        <f>H19+H19*N19</f>
        <v>0</v>
      </c>
      <c r="K19" s="344">
        <v>0.03</v>
      </c>
      <c r="L19" s="344">
        <f t="shared" si="1"/>
        <v>0.03</v>
      </c>
      <c r="M19" s="344">
        <f t="shared" si="1"/>
        <v>0.03</v>
      </c>
      <c r="N19" s="344">
        <f t="shared" si="1"/>
        <v>0.03</v>
      </c>
      <c r="O19" s="286"/>
      <c r="P19" s="286"/>
      <c r="Q19" s="286"/>
      <c r="R19" s="286"/>
      <c r="S19" s="286"/>
      <c r="T19" s="286"/>
      <c r="U19" s="286"/>
      <c r="V19" s="422"/>
    </row>
    <row r="20" spans="1:22" ht="12" customHeight="1" x14ac:dyDescent="0.2">
      <c r="A20" s="46"/>
      <c r="B20" s="1586" t="s">
        <v>639</v>
      </c>
      <c r="C20" s="1589"/>
      <c r="D20" s="312" t="s">
        <v>14</v>
      </c>
      <c r="E20" s="686">
        <f>IF(E17=0,0,E21/E17)</f>
        <v>0</v>
      </c>
      <c r="F20" s="687">
        <f>E20</f>
        <v>0</v>
      </c>
      <c r="G20" s="687">
        <f>F20</f>
        <v>0</v>
      </c>
      <c r="H20" s="687">
        <f>G20</f>
        <v>0</v>
      </c>
      <c r="I20" s="687">
        <f>H20</f>
        <v>0</v>
      </c>
      <c r="K20" s="341"/>
      <c r="L20" s="454"/>
      <c r="M20" s="286"/>
      <c r="N20" s="286"/>
      <c r="O20" s="286"/>
      <c r="P20" s="286"/>
      <c r="Q20" s="286"/>
      <c r="R20" s="286"/>
      <c r="S20" s="286"/>
      <c r="T20" s="286"/>
      <c r="U20" s="286"/>
      <c r="V20" s="422"/>
    </row>
    <row r="21" spans="1:22" ht="12" customHeight="1" x14ac:dyDescent="0.2">
      <c r="B21" s="1586" t="s">
        <v>640</v>
      </c>
      <c r="C21" s="1589"/>
      <c r="D21" s="312" t="s">
        <v>518</v>
      </c>
      <c r="E21" s="522">
        <v>0</v>
      </c>
      <c r="F21" s="1060">
        <f>IF(F20=0,0,F17*F20)</f>
        <v>0</v>
      </c>
      <c r="G21" s="1060">
        <f>IF(G20=0,0,G17*G20)</f>
        <v>0</v>
      </c>
      <c r="H21" s="1060">
        <f>IF(H20=0,0,H17*H20)</f>
        <v>0</v>
      </c>
      <c r="I21" s="1060">
        <f>IF(I20=0,0,I17*I20)</f>
        <v>0</v>
      </c>
      <c r="K21" s="341"/>
      <c r="L21" s="286"/>
      <c r="M21" s="286"/>
      <c r="N21" s="286"/>
      <c r="O21" s="286"/>
      <c r="P21" s="286"/>
      <c r="Q21" s="286"/>
      <c r="R21" s="286"/>
      <c r="S21" s="286"/>
      <c r="T21" s="286"/>
      <c r="U21" s="286"/>
      <c r="V21" s="422"/>
    </row>
    <row r="22" spans="1:22" ht="6" customHeight="1" x14ac:dyDescent="0.2">
      <c r="B22" s="42"/>
      <c r="C22" s="42"/>
      <c r="D22" s="66"/>
      <c r="E22" s="1298"/>
      <c r="F22" s="1295"/>
      <c r="G22" s="1295"/>
      <c r="H22" s="1295"/>
      <c r="I22" s="1295"/>
      <c r="K22" s="341"/>
      <c r="L22" s="286"/>
      <c r="M22" s="286"/>
      <c r="N22" s="286"/>
      <c r="O22" s="286"/>
      <c r="P22" s="286"/>
      <c r="Q22" s="286"/>
      <c r="R22" s="286"/>
      <c r="S22" s="286"/>
      <c r="T22" s="286"/>
      <c r="U22" s="286"/>
      <c r="V22" s="422"/>
    </row>
    <row r="23" spans="1:22" ht="12" customHeight="1" x14ac:dyDescent="0.2">
      <c r="B23" s="42"/>
      <c r="C23" s="42"/>
      <c r="D23" s="66"/>
      <c r="E23" s="1493" t="s">
        <v>587</v>
      </c>
      <c r="F23" s="687">
        <v>0.255</v>
      </c>
      <c r="G23" s="1318">
        <f>F23</f>
        <v>0.255</v>
      </c>
      <c r="H23" s="1318">
        <f>G23</f>
        <v>0.255</v>
      </c>
      <c r="I23" s="1319">
        <f>H23</f>
        <v>0.255</v>
      </c>
      <c r="K23" s="341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422"/>
    </row>
    <row r="24" spans="1:22" ht="12" customHeight="1" x14ac:dyDescent="0.2">
      <c r="B24" s="1311">
        <v>0</v>
      </c>
      <c r="C24" s="2015" t="s">
        <v>622</v>
      </c>
      <c r="D24" s="2016"/>
      <c r="E24" s="522">
        <v>0</v>
      </c>
      <c r="F24" s="1588">
        <f>F25*F26</f>
        <v>0</v>
      </c>
      <c r="G24" s="1590">
        <f>G25*G26</f>
        <v>0</v>
      </c>
      <c r="H24" s="1591">
        <f>H25*H26</f>
        <v>0</v>
      </c>
      <c r="I24" s="1590">
        <f>I25*I26</f>
        <v>0</v>
      </c>
      <c r="K24" s="1347"/>
      <c r="L24" s="1339"/>
      <c r="M24" s="1339"/>
      <c r="N24" s="1339"/>
      <c r="O24" s="286"/>
      <c r="P24" s="286"/>
      <c r="Q24" s="286"/>
      <c r="R24" s="286"/>
      <c r="S24" s="286"/>
      <c r="T24" s="286"/>
      <c r="U24" s="286"/>
      <c r="V24" s="422"/>
    </row>
    <row r="25" spans="1:22" ht="12" customHeight="1" x14ac:dyDescent="0.2">
      <c r="B25" s="1586" t="s">
        <v>637</v>
      </c>
      <c r="C25" s="1589"/>
      <c r="D25" s="380"/>
      <c r="E25" s="522">
        <v>0</v>
      </c>
      <c r="F25" s="522">
        <f>E25+E25*K25</f>
        <v>0</v>
      </c>
      <c r="G25" s="522">
        <f>F25+F25*L25</f>
        <v>0</v>
      </c>
      <c r="H25" s="522">
        <f t="shared" ref="H25:I26" si="2">G25+G25*M25</f>
        <v>0</v>
      </c>
      <c r="I25" s="522">
        <f t="shared" si="2"/>
        <v>0</v>
      </c>
      <c r="K25" s="1327">
        <v>0</v>
      </c>
      <c r="L25" s="1327">
        <f t="shared" ref="L25" si="3">K25</f>
        <v>0</v>
      </c>
      <c r="M25" s="1327">
        <f t="shared" ref="M25" si="4">L25</f>
        <v>0</v>
      </c>
      <c r="N25" s="1327">
        <f t="shared" ref="N25" si="5">M25</f>
        <v>0</v>
      </c>
      <c r="O25" s="286"/>
      <c r="P25" s="286"/>
      <c r="Q25" s="286"/>
      <c r="R25" s="286"/>
      <c r="S25" s="286"/>
      <c r="T25" s="286"/>
      <c r="U25" s="286"/>
      <c r="V25" s="422"/>
    </row>
    <row r="26" spans="1:22" ht="12" customHeight="1" x14ac:dyDescent="0.2">
      <c r="B26" s="1586" t="s">
        <v>638</v>
      </c>
      <c r="C26" s="1589"/>
      <c r="D26" s="380" t="s">
        <v>518</v>
      </c>
      <c r="E26" s="684">
        <f>IF(E25=0,0,E24/E25)</f>
        <v>0</v>
      </c>
      <c r="F26" s="685">
        <f>E26+E26*K26</f>
        <v>0</v>
      </c>
      <c r="G26" s="685">
        <f t="shared" ref="G26" si="6">F26+F26*L26</f>
        <v>0</v>
      </c>
      <c r="H26" s="685">
        <f t="shared" si="2"/>
        <v>0</v>
      </c>
      <c r="I26" s="685">
        <f t="shared" si="2"/>
        <v>0</v>
      </c>
      <c r="K26" s="344">
        <v>0.03</v>
      </c>
      <c r="L26" s="344">
        <f t="shared" ref="L26" si="7">K26</f>
        <v>0.03</v>
      </c>
      <c r="M26" s="344">
        <f t="shared" ref="M26:N26" si="8">L26</f>
        <v>0.03</v>
      </c>
      <c r="N26" s="344">
        <f t="shared" si="8"/>
        <v>0.03</v>
      </c>
      <c r="O26" s="286"/>
      <c r="P26" s="286"/>
      <c r="Q26" s="286"/>
      <c r="R26" s="286"/>
      <c r="S26" s="286"/>
      <c r="T26" s="286"/>
      <c r="U26" s="286"/>
      <c r="V26" s="422"/>
    </row>
    <row r="27" spans="1:22" ht="12" customHeight="1" x14ac:dyDescent="0.2">
      <c r="B27" s="1586" t="s">
        <v>639</v>
      </c>
      <c r="C27" s="1589"/>
      <c r="D27" s="312" t="s">
        <v>14</v>
      </c>
      <c r="E27" s="686">
        <f>IF(E24=0,0,E28/E24)</f>
        <v>0</v>
      </c>
      <c r="F27" s="687">
        <f>E27</f>
        <v>0</v>
      </c>
      <c r="G27" s="687">
        <f>F27</f>
        <v>0</v>
      </c>
      <c r="H27" s="687">
        <f>G27</f>
        <v>0</v>
      </c>
      <c r="I27" s="687">
        <f>H27</f>
        <v>0</v>
      </c>
      <c r="K27" s="341"/>
      <c r="L27" s="454"/>
      <c r="M27" s="286"/>
      <c r="N27" s="286"/>
      <c r="O27" s="286"/>
      <c r="P27" s="286"/>
      <c r="Q27" s="286"/>
      <c r="R27" s="286"/>
      <c r="S27" s="286"/>
      <c r="T27" s="286"/>
      <c r="U27" s="286"/>
      <c r="V27" s="422"/>
    </row>
    <row r="28" spans="1:22" ht="12" customHeight="1" x14ac:dyDescent="0.2">
      <c r="B28" s="1586" t="s">
        <v>640</v>
      </c>
      <c r="C28" s="1589"/>
      <c r="D28" s="312" t="s">
        <v>518</v>
      </c>
      <c r="E28" s="522">
        <v>0</v>
      </c>
      <c r="F28" s="1060">
        <f>IF(F27=0,0,F24*F27)</f>
        <v>0</v>
      </c>
      <c r="G28" s="1060">
        <f>IF(G27=0,0,G24*G27)</f>
        <v>0</v>
      </c>
      <c r="H28" s="1060">
        <f>IF(H27=0,0,H24*H27)</f>
        <v>0</v>
      </c>
      <c r="I28" s="1060">
        <f>IF(I27=0,0,I24*I27)</f>
        <v>0</v>
      </c>
      <c r="K28" s="341"/>
      <c r="L28" s="286"/>
      <c r="M28" s="286"/>
      <c r="N28" s="286"/>
      <c r="O28" s="286"/>
      <c r="P28" s="286"/>
      <c r="Q28" s="286"/>
      <c r="R28" s="286"/>
      <c r="S28" s="286"/>
      <c r="T28" s="286"/>
      <c r="U28" s="286"/>
      <c r="V28" s="422"/>
    </row>
    <row r="29" spans="1:22" ht="6" customHeight="1" x14ac:dyDescent="0.2">
      <c r="B29" s="42"/>
      <c r="C29" s="42"/>
      <c r="D29" s="66"/>
      <c r="E29" s="1298"/>
      <c r="F29" s="1295"/>
      <c r="G29" s="1295"/>
      <c r="H29" s="1295"/>
      <c r="I29" s="1295"/>
      <c r="K29" s="341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422"/>
    </row>
    <row r="30" spans="1:22" ht="12" customHeight="1" x14ac:dyDescent="0.2">
      <c r="A30" s="46"/>
      <c r="B30" s="42"/>
      <c r="C30" s="42"/>
      <c r="D30" s="66"/>
      <c r="E30" s="1493" t="s">
        <v>587</v>
      </c>
      <c r="F30" s="1318">
        <v>0.255</v>
      </c>
      <c r="G30" s="1318">
        <f>F30</f>
        <v>0.255</v>
      </c>
      <c r="H30" s="1318">
        <f>G30</f>
        <v>0.255</v>
      </c>
      <c r="I30" s="1319">
        <f>H30</f>
        <v>0.255</v>
      </c>
      <c r="K30" s="341"/>
      <c r="L30" s="286"/>
      <c r="M30" s="286"/>
      <c r="N30" s="286"/>
      <c r="O30" s="286"/>
      <c r="P30" s="286"/>
      <c r="Q30" s="286"/>
      <c r="R30" s="286"/>
      <c r="S30" s="286"/>
      <c r="T30" s="286"/>
      <c r="U30" s="286"/>
      <c r="V30" s="422"/>
    </row>
    <row r="31" spans="1:22" ht="12" customHeight="1" x14ac:dyDescent="0.2">
      <c r="B31" s="1311">
        <v>0</v>
      </c>
      <c r="C31" s="2015" t="s">
        <v>622</v>
      </c>
      <c r="D31" s="2016"/>
      <c r="E31" s="522">
        <v>0</v>
      </c>
      <c r="F31" s="1590">
        <f>F32*F33</f>
        <v>0</v>
      </c>
      <c r="G31" s="1590">
        <f>G32*G33</f>
        <v>0</v>
      </c>
      <c r="H31" s="1591">
        <f>H32*H33</f>
        <v>0</v>
      </c>
      <c r="I31" s="1590">
        <f>I32*I33</f>
        <v>0</v>
      </c>
      <c r="K31" s="1345"/>
      <c r="L31" s="1346"/>
      <c r="M31" s="1346"/>
      <c r="N31" s="1346"/>
      <c r="O31" s="286"/>
      <c r="P31" s="286"/>
      <c r="Q31" s="286"/>
      <c r="R31" s="286"/>
      <c r="S31" s="286"/>
      <c r="T31" s="286"/>
      <c r="U31" s="286"/>
      <c r="V31" s="422"/>
    </row>
    <row r="32" spans="1:22" ht="12" customHeight="1" x14ac:dyDescent="0.2">
      <c r="B32" s="1586" t="s">
        <v>637</v>
      </c>
      <c r="C32" s="1589"/>
      <c r="D32" s="380"/>
      <c r="E32" s="522"/>
      <c r="F32" s="522">
        <f>E32+E32*K32</f>
        <v>0</v>
      </c>
      <c r="G32" s="522">
        <f>F32+F32*L32</f>
        <v>0</v>
      </c>
      <c r="H32" s="522">
        <f t="shared" ref="H32:I33" si="9">G32+G32*M32</f>
        <v>0</v>
      </c>
      <c r="I32" s="522">
        <f t="shared" si="9"/>
        <v>0</v>
      </c>
      <c r="K32" s="344">
        <v>0</v>
      </c>
      <c r="L32" s="344">
        <f t="shared" ref="L32:L33" si="10">K32</f>
        <v>0</v>
      </c>
      <c r="M32" s="344">
        <f t="shared" ref="M32:N33" si="11">L32</f>
        <v>0</v>
      </c>
      <c r="N32" s="344">
        <f t="shared" si="11"/>
        <v>0</v>
      </c>
      <c r="O32" s="286"/>
      <c r="P32" s="286"/>
      <c r="Q32" s="286"/>
      <c r="R32" s="286"/>
      <c r="S32" s="286"/>
      <c r="T32" s="286"/>
      <c r="U32" s="286"/>
      <c r="V32" s="422"/>
    </row>
    <row r="33" spans="2:22" ht="12" customHeight="1" x14ac:dyDescent="0.2">
      <c r="B33" s="1586" t="s">
        <v>638</v>
      </c>
      <c r="C33" s="1589"/>
      <c r="D33" s="380" t="s">
        <v>518</v>
      </c>
      <c r="E33" s="684">
        <f>IF(E32=0,0,E31/E32)</f>
        <v>0</v>
      </c>
      <c r="F33" s="685">
        <f>E33+E33*K33</f>
        <v>0</v>
      </c>
      <c r="G33" s="685">
        <f t="shared" ref="G33" si="12">F33+F33*L33</f>
        <v>0</v>
      </c>
      <c r="H33" s="685">
        <f>G33+G33*M33</f>
        <v>0</v>
      </c>
      <c r="I33" s="685">
        <f t="shared" si="9"/>
        <v>0</v>
      </c>
      <c r="K33" s="344">
        <v>0.03</v>
      </c>
      <c r="L33" s="344">
        <f t="shared" si="10"/>
        <v>0.03</v>
      </c>
      <c r="M33" s="344">
        <f t="shared" si="11"/>
        <v>0.03</v>
      </c>
      <c r="N33" s="344">
        <f t="shared" si="11"/>
        <v>0.03</v>
      </c>
      <c r="O33" s="286"/>
      <c r="P33" s="286"/>
      <c r="Q33" s="286"/>
      <c r="R33" s="286"/>
      <c r="S33" s="286"/>
      <c r="T33" s="286"/>
      <c r="U33" s="286"/>
      <c r="V33" s="422"/>
    </row>
    <row r="34" spans="2:22" ht="12" customHeight="1" x14ac:dyDescent="0.2">
      <c r="B34" s="1586" t="s">
        <v>639</v>
      </c>
      <c r="C34" s="1589"/>
      <c r="D34" s="312" t="s">
        <v>14</v>
      </c>
      <c r="E34" s="686">
        <f>IF(E31=0,0,E35/E31)</f>
        <v>0</v>
      </c>
      <c r="F34" s="687">
        <f>E34</f>
        <v>0</v>
      </c>
      <c r="G34" s="687">
        <f>F34</f>
        <v>0</v>
      </c>
      <c r="H34" s="687">
        <f>G34</f>
        <v>0</v>
      </c>
      <c r="I34" s="687">
        <f>H34</f>
        <v>0</v>
      </c>
      <c r="K34" s="1213"/>
      <c r="L34" s="339"/>
      <c r="M34" s="282"/>
      <c r="N34" s="282"/>
      <c r="O34" s="286"/>
      <c r="P34" s="286"/>
      <c r="Q34" s="286"/>
      <c r="R34" s="286"/>
      <c r="S34" s="286"/>
      <c r="T34" s="286"/>
      <c r="U34" s="286"/>
      <c r="V34" s="422"/>
    </row>
    <row r="35" spans="2:22" ht="12" customHeight="1" x14ac:dyDescent="0.2">
      <c r="B35" s="1586" t="s">
        <v>640</v>
      </c>
      <c r="C35" s="1589"/>
      <c r="D35" s="312" t="s">
        <v>518</v>
      </c>
      <c r="E35" s="522">
        <v>0</v>
      </c>
      <c r="F35" s="1060">
        <f>IF(F34=0,0,F31*F34)</f>
        <v>0</v>
      </c>
      <c r="G35" s="1060">
        <f>IF(G34=0,0,G31*G34)</f>
        <v>0</v>
      </c>
      <c r="H35" s="1060">
        <f>IF(H34=0,0,H31*H34)</f>
        <v>0</v>
      </c>
      <c r="I35" s="1060">
        <f>IF(I34=0,0,I31*I34)</f>
        <v>0</v>
      </c>
      <c r="K35" s="1213"/>
      <c r="L35" s="282"/>
      <c r="M35" s="282"/>
      <c r="N35" s="282"/>
      <c r="O35" s="286"/>
      <c r="P35" s="286"/>
      <c r="Q35" s="286"/>
      <c r="R35" s="286"/>
      <c r="S35" s="286"/>
      <c r="T35" s="286"/>
      <c r="U35" s="286"/>
      <c r="V35" s="422"/>
    </row>
    <row r="36" spans="2:22" ht="6" customHeight="1" x14ac:dyDescent="0.2">
      <c r="B36" s="42"/>
      <c r="C36" s="42"/>
      <c r="D36" s="66"/>
      <c r="E36" s="1298"/>
      <c r="F36" s="1295"/>
      <c r="G36" s="1295"/>
      <c r="H36" s="1295"/>
      <c r="I36" s="1295"/>
      <c r="K36" s="1213"/>
      <c r="L36" s="282"/>
      <c r="M36" s="282"/>
      <c r="N36" s="282"/>
      <c r="O36" s="286"/>
      <c r="P36" s="286"/>
      <c r="Q36" s="286"/>
      <c r="R36" s="286"/>
      <c r="S36" s="286"/>
      <c r="T36" s="286"/>
      <c r="U36" s="286"/>
      <c r="V36" s="422"/>
    </row>
    <row r="37" spans="2:22" ht="12" customHeight="1" x14ac:dyDescent="0.2">
      <c r="B37" s="42"/>
      <c r="C37" s="42"/>
      <c r="D37" s="66"/>
      <c r="E37" s="1493" t="s">
        <v>587</v>
      </c>
      <c r="F37" s="594">
        <v>0.255</v>
      </c>
      <c r="G37" s="594">
        <f>F37</f>
        <v>0.255</v>
      </c>
      <c r="H37" s="594">
        <f>G37</f>
        <v>0.255</v>
      </c>
      <c r="I37" s="687">
        <f>H37</f>
        <v>0.255</v>
      </c>
      <c r="K37" s="1213"/>
      <c r="L37" s="282"/>
      <c r="M37" s="282"/>
      <c r="N37" s="282"/>
      <c r="O37" s="286"/>
      <c r="P37" s="286"/>
      <c r="Q37" s="286"/>
      <c r="R37" s="286"/>
      <c r="S37" s="286"/>
      <c r="T37" s="286"/>
      <c r="U37" s="286"/>
      <c r="V37" s="422"/>
    </row>
    <row r="38" spans="2:22" ht="12" customHeight="1" x14ac:dyDescent="0.2">
      <c r="B38" s="1311">
        <v>0</v>
      </c>
      <c r="C38" s="2015" t="s">
        <v>622</v>
      </c>
      <c r="D38" s="2016"/>
      <c r="E38" s="522">
        <v>0</v>
      </c>
      <c r="F38" s="1588">
        <f>F39*F40</f>
        <v>0</v>
      </c>
      <c r="G38" s="1588">
        <f>G39*G40</f>
        <v>0</v>
      </c>
      <c r="H38" s="568">
        <f>H39*H40</f>
        <v>0</v>
      </c>
      <c r="I38" s="1588">
        <f>I39*I40</f>
        <v>0</v>
      </c>
      <c r="K38" s="1345"/>
      <c r="L38" s="1346"/>
      <c r="M38" s="1346"/>
      <c r="N38" s="1346"/>
      <c r="O38" s="286"/>
      <c r="P38" s="286"/>
      <c r="Q38" s="286"/>
      <c r="R38" s="286"/>
      <c r="S38" s="286"/>
      <c r="T38" s="286"/>
      <c r="U38" s="286"/>
      <c r="V38" s="422"/>
    </row>
    <row r="39" spans="2:22" ht="12" customHeight="1" x14ac:dyDescent="0.2">
      <c r="B39" s="1586" t="s">
        <v>637</v>
      </c>
      <c r="C39" s="1589"/>
      <c r="D39" s="1320"/>
      <c r="E39" s="522">
        <v>0</v>
      </c>
      <c r="F39" s="522">
        <f>E39+E39*K39</f>
        <v>0</v>
      </c>
      <c r="G39" s="522">
        <f>F39+F39*L39</f>
        <v>0</v>
      </c>
      <c r="H39" s="690">
        <f>G39+G39*M39</f>
        <v>0</v>
      </c>
      <c r="I39" s="520">
        <f t="shared" ref="G39:I40" si="13">H39+H39*N39</f>
        <v>0</v>
      </c>
      <c r="K39" s="344">
        <v>0</v>
      </c>
      <c r="L39" s="344">
        <f t="shared" ref="L39:N40" si="14">K39</f>
        <v>0</v>
      </c>
      <c r="M39" s="344">
        <f t="shared" si="14"/>
        <v>0</v>
      </c>
      <c r="N39" s="344">
        <f t="shared" si="14"/>
        <v>0</v>
      </c>
      <c r="O39" s="286"/>
      <c r="P39" s="286"/>
      <c r="Q39" s="286"/>
      <c r="R39" s="286"/>
      <c r="S39" s="286"/>
      <c r="T39" s="286"/>
      <c r="U39" s="286"/>
      <c r="V39" s="422"/>
    </row>
    <row r="40" spans="2:22" ht="12" customHeight="1" x14ac:dyDescent="0.2">
      <c r="B40" s="1586" t="s">
        <v>638</v>
      </c>
      <c r="C40" s="1589"/>
      <c r="D40" s="1320" t="s">
        <v>518</v>
      </c>
      <c r="E40" s="684">
        <f>IF(E39=0,0,E38/E39)</f>
        <v>0</v>
      </c>
      <c r="F40" s="685">
        <f>E40+E40*K40</f>
        <v>0</v>
      </c>
      <c r="G40" s="685">
        <f t="shared" si="13"/>
        <v>0</v>
      </c>
      <c r="H40" s="689">
        <f>G40+G40*M40</f>
        <v>0</v>
      </c>
      <c r="I40" s="685">
        <f t="shared" si="13"/>
        <v>0</v>
      </c>
      <c r="K40" s="344">
        <v>0.03</v>
      </c>
      <c r="L40" s="344">
        <f t="shared" si="14"/>
        <v>0.03</v>
      </c>
      <c r="M40" s="344">
        <f t="shared" si="14"/>
        <v>0.03</v>
      </c>
      <c r="N40" s="344">
        <f t="shared" si="14"/>
        <v>0.03</v>
      </c>
      <c r="O40" s="286"/>
      <c r="P40" s="286"/>
      <c r="Q40" s="286"/>
      <c r="R40" s="286"/>
      <c r="S40" s="286"/>
      <c r="T40" s="286"/>
      <c r="U40" s="286"/>
      <c r="V40" s="422"/>
    </row>
    <row r="41" spans="2:22" ht="12" customHeight="1" x14ac:dyDescent="0.2">
      <c r="B41" s="1586" t="s">
        <v>639</v>
      </c>
      <c r="C41" s="1589"/>
      <c r="D41" s="312"/>
      <c r="E41" s="686">
        <f>IF(E38=0,0,E42/E38)</f>
        <v>0</v>
      </c>
      <c r="F41" s="687">
        <f>E41</f>
        <v>0</v>
      </c>
      <c r="G41" s="687">
        <f>F41</f>
        <v>0</v>
      </c>
      <c r="H41" s="687">
        <f>G41</f>
        <v>0</v>
      </c>
      <c r="I41" s="687">
        <f>H41</f>
        <v>0</v>
      </c>
      <c r="K41" s="341"/>
      <c r="L41" s="454"/>
      <c r="M41" s="286"/>
      <c r="N41" s="286"/>
      <c r="O41" s="286"/>
      <c r="P41" s="286"/>
      <c r="Q41" s="286"/>
      <c r="R41" s="286"/>
      <c r="S41" s="286"/>
      <c r="T41" s="286"/>
      <c r="U41" s="286"/>
      <c r="V41" s="422"/>
    </row>
    <row r="42" spans="2:22" ht="12" customHeight="1" x14ac:dyDescent="0.2">
      <c r="B42" s="1586" t="s">
        <v>640</v>
      </c>
      <c r="C42" s="1589"/>
      <c r="D42" s="312" t="s">
        <v>518</v>
      </c>
      <c r="E42" s="522">
        <v>0</v>
      </c>
      <c r="F42" s="1060">
        <f>IF(F41=0,0,F38*F41)</f>
        <v>0</v>
      </c>
      <c r="G42" s="1060">
        <f>IF(G41=0,0,G38*G41)</f>
        <v>0</v>
      </c>
      <c r="H42" s="691">
        <f>IF(H41=0,0,H38*H41)</f>
        <v>0</v>
      </c>
      <c r="I42" s="1060">
        <f>IF(I41=0,0,I38*I41)</f>
        <v>0</v>
      </c>
      <c r="K42" s="341"/>
      <c r="L42" s="286"/>
      <c r="M42" s="286"/>
      <c r="N42" s="286"/>
      <c r="O42" s="286"/>
      <c r="P42" s="286"/>
      <c r="Q42" s="286"/>
      <c r="R42" s="286"/>
      <c r="S42" s="286"/>
      <c r="T42" s="286"/>
      <c r="U42" s="286"/>
      <c r="V42" s="422"/>
    </row>
    <row r="43" spans="2:22" ht="6" customHeight="1" x14ac:dyDescent="0.2">
      <c r="B43" s="42"/>
      <c r="C43" s="42"/>
      <c r="D43" s="66"/>
      <c r="E43" s="1298"/>
      <c r="F43" s="1295"/>
      <c r="G43" s="1295"/>
      <c r="H43" s="1295"/>
      <c r="I43" s="1295"/>
      <c r="K43" s="341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422"/>
    </row>
    <row r="44" spans="2:22" ht="12" customHeight="1" x14ac:dyDescent="0.2">
      <c r="B44" s="42"/>
      <c r="C44" s="42"/>
      <c r="D44" s="66"/>
      <c r="E44" s="1493" t="s">
        <v>587</v>
      </c>
      <c r="F44" s="594">
        <v>0.255</v>
      </c>
      <c r="G44" s="594">
        <f>F44</f>
        <v>0.255</v>
      </c>
      <c r="H44" s="594">
        <f>G44</f>
        <v>0.255</v>
      </c>
      <c r="I44" s="687">
        <f>H44</f>
        <v>0.255</v>
      </c>
      <c r="K44" s="341"/>
      <c r="L44" s="286"/>
      <c r="M44" s="286"/>
      <c r="N44" s="286"/>
      <c r="O44" s="286"/>
      <c r="P44" s="286"/>
      <c r="Q44" s="286"/>
      <c r="R44" s="286"/>
      <c r="S44" s="286"/>
      <c r="T44" s="286"/>
      <c r="U44" s="286"/>
      <c r="V44" s="422"/>
    </row>
    <row r="45" spans="2:22" ht="12" customHeight="1" x14ac:dyDescent="0.2">
      <c r="B45" s="1311">
        <v>0</v>
      </c>
      <c r="C45" s="2015" t="s">
        <v>622</v>
      </c>
      <c r="D45" s="2016"/>
      <c r="E45" s="522">
        <v>0</v>
      </c>
      <c r="F45" s="1588">
        <f>F46*F47</f>
        <v>0</v>
      </c>
      <c r="G45" s="1588">
        <f>G46*G47</f>
        <v>0</v>
      </c>
      <c r="H45" s="568">
        <f>H46*H47</f>
        <v>0</v>
      </c>
      <c r="I45" s="1588">
        <f>I46*I47</f>
        <v>0</v>
      </c>
      <c r="K45" s="1345"/>
      <c r="L45" s="1346"/>
      <c r="M45" s="1346"/>
      <c r="N45" s="1346"/>
      <c r="O45" s="286"/>
      <c r="P45" s="286"/>
      <c r="Q45" s="286"/>
      <c r="R45" s="286"/>
      <c r="S45" s="286"/>
      <c r="T45" s="286"/>
      <c r="U45" s="286"/>
      <c r="V45" s="422"/>
    </row>
    <row r="46" spans="2:22" ht="12" customHeight="1" x14ac:dyDescent="0.2">
      <c r="B46" s="1586" t="s">
        <v>637</v>
      </c>
      <c r="C46" s="1589"/>
      <c r="D46" s="1320"/>
      <c r="E46" s="522">
        <v>0</v>
      </c>
      <c r="F46" s="522">
        <f>E46+E46*K46</f>
        <v>0</v>
      </c>
      <c r="G46" s="522">
        <f>F46+F46*L46</f>
        <v>0</v>
      </c>
      <c r="H46" s="690">
        <f t="shared" ref="G46:I47" si="15">G46+G46*M46</f>
        <v>0</v>
      </c>
      <c r="I46" s="522">
        <f t="shared" si="15"/>
        <v>0</v>
      </c>
      <c r="K46" s="344">
        <v>0</v>
      </c>
      <c r="L46" s="344">
        <f t="shared" ref="L46:N47" si="16">K46</f>
        <v>0</v>
      </c>
      <c r="M46" s="344">
        <f t="shared" si="16"/>
        <v>0</v>
      </c>
      <c r="N46" s="344">
        <f t="shared" si="16"/>
        <v>0</v>
      </c>
      <c r="O46" s="286"/>
      <c r="P46" s="286"/>
      <c r="Q46" s="286"/>
      <c r="R46" s="286"/>
      <c r="S46" s="286"/>
      <c r="T46" s="286"/>
      <c r="U46" s="286"/>
      <c r="V46" s="422"/>
    </row>
    <row r="47" spans="2:22" ht="12" customHeight="1" x14ac:dyDescent="0.2">
      <c r="B47" s="1586" t="s">
        <v>638</v>
      </c>
      <c r="C47" s="1589"/>
      <c r="D47" s="1320" t="s">
        <v>518</v>
      </c>
      <c r="E47" s="684">
        <f>IF(E46=0,0,E45/E46)</f>
        <v>0</v>
      </c>
      <c r="F47" s="685">
        <f>E47+E47*K47</f>
        <v>0</v>
      </c>
      <c r="G47" s="685">
        <f t="shared" si="15"/>
        <v>0</v>
      </c>
      <c r="H47" s="689">
        <f t="shared" si="15"/>
        <v>0</v>
      </c>
      <c r="I47" s="685">
        <f t="shared" si="15"/>
        <v>0</v>
      </c>
      <c r="K47" s="344">
        <v>0.03</v>
      </c>
      <c r="L47" s="344">
        <f t="shared" si="16"/>
        <v>0.03</v>
      </c>
      <c r="M47" s="344">
        <f t="shared" si="16"/>
        <v>0.03</v>
      </c>
      <c r="N47" s="344">
        <f t="shared" si="16"/>
        <v>0.03</v>
      </c>
      <c r="O47" s="286"/>
      <c r="P47" s="286"/>
      <c r="Q47" s="286"/>
      <c r="R47" s="286"/>
      <c r="S47" s="286"/>
      <c r="T47" s="286"/>
      <c r="U47" s="286"/>
      <c r="V47" s="422"/>
    </row>
    <row r="48" spans="2:22" ht="12" customHeight="1" x14ac:dyDescent="0.2">
      <c r="B48" s="1586" t="s">
        <v>639</v>
      </c>
      <c r="C48" s="1589"/>
      <c r="D48" s="312" t="s">
        <v>14</v>
      </c>
      <c r="E48" s="686">
        <f>IF(E45=0,0,E49/E45)</f>
        <v>0</v>
      </c>
      <c r="F48" s="687">
        <f>E48</f>
        <v>0</v>
      </c>
      <c r="G48" s="687">
        <f>F48</f>
        <v>0</v>
      </c>
      <c r="H48" s="687">
        <f>G48</f>
        <v>0</v>
      </c>
      <c r="I48" s="687">
        <f>H48</f>
        <v>0</v>
      </c>
      <c r="K48" s="341"/>
      <c r="L48" s="454"/>
      <c r="M48" s="286"/>
      <c r="N48" s="286"/>
      <c r="O48" s="286"/>
      <c r="P48" s="286"/>
      <c r="Q48" s="286"/>
      <c r="R48" s="286"/>
      <c r="S48" s="286"/>
      <c r="T48" s="286"/>
      <c r="U48" s="286"/>
      <c r="V48" s="422"/>
    </row>
    <row r="49" spans="2:22" ht="12" customHeight="1" x14ac:dyDescent="0.2">
      <c r="B49" s="1586" t="s">
        <v>640</v>
      </c>
      <c r="C49" s="1589"/>
      <c r="D49" s="312" t="s">
        <v>518</v>
      </c>
      <c r="E49" s="522">
        <v>0</v>
      </c>
      <c r="F49" s="1060">
        <f>IF(F48=0,0,F45*F48)</f>
        <v>0</v>
      </c>
      <c r="G49" s="1060">
        <f>IF(G48=0,0,G45*G48)</f>
        <v>0</v>
      </c>
      <c r="H49" s="691">
        <f>IF(H48=0,0,H45*H48)</f>
        <v>0</v>
      </c>
      <c r="I49" s="1060">
        <f>IF(I48=0,0,I45*I48)</f>
        <v>0</v>
      </c>
      <c r="K49" s="341"/>
      <c r="L49" s="286"/>
      <c r="M49" s="286"/>
      <c r="N49" s="286"/>
      <c r="O49" s="286"/>
      <c r="P49" s="286"/>
      <c r="Q49" s="286"/>
      <c r="R49" s="286"/>
      <c r="S49" s="286"/>
      <c r="T49" s="286"/>
      <c r="U49" s="286"/>
      <c r="V49" s="422"/>
    </row>
    <row r="50" spans="2:22" ht="6" customHeight="1" x14ac:dyDescent="0.2">
      <c r="B50" s="42"/>
      <c r="C50" s="42"/>
      <c r="D50" s="66"/>
      <c r="E50" s="1298"/>
      <c r="F50" s="1295"/>
      <c r="G50" s="1295"/>
      <c r="H50" s="1295"/>
      <c r="I50" s="1295"/>
      <c r="K50" s="341"/>
      <c r="L50" s="286"/>
      <c r="M50" s="286"/>
      <c r="N50" s="286"/>
      <c r="O50" s="286"/>
      <c r="P50" s="286"/>
      <c r="Q50" s="286"/>
      <c r="R50" s="286"/>
      <c r="S50" s="286"/>
      <c r="T50" s="286"/>
      <c r="U50" s="286"/>
      <c r="V50" s="422"/>
    </row>
    <row r="51" spans="2:22" ht="12" customHeight="1" x14ac:dyDescent="0.2">
      <c r="B51" s="42"/>
      <c r="C51" s="42"/>
      <c r="D51" s="66"/>
      <c r="E51" s="1493" t="s">
        <v>587</v>
      </c>
      <c r="F51" s="594">
        <v>0.255</v>
      </c>
      <c r="G51" s="594">
        <f>F51</f>
        <v>0.255</v>
      </c>
      <c r="H51" s="594">
        <f>G51</f>
        <v>0.255</v>
      </c>
      <c r="I51" s="687">
        <f>H51</f>
        <v>0.255</v>
      </c>
      <c r="K51" s="341"/>
      <c r="L51" s="286"/>
      <c r="M51" s="286"/>
      <c r="N51" s="286"/>
      <c r="O51" s="286"/>
      <c r="P51" s="286"/>
      <c r="Q51" s="286"/>
      <c r="R51" s="286"/>
      <c r="S51" s="286"/>
      <c r="T51" s="286"/>
      <c r="U51" s="286"/>
      <c r="V51" s="422"/>
    </row>
    <row r="52" spans="2:22" ht="12" customHeight="1" x14ac:dyDescent="0.2">
      <c r="B52" s="1311">
        <v>0</v>
      </c>
      <c r="C52" s="2015" t="s">
        <v>622</v>
      </c>
      <c r="D52" s="2016"/>
      <c r="E52" s="522">
        <v>0</v>
      </c>
      <c r="F52" s="1588">
        <f>F53*F54</f>
        <v>0</v>
      </c>
      <c r="G52" s="1588">
        <f>G53*G54</f>
        <v>0</v>
      </c>
      <c r="H52" s="568">
        <f>H53*H54</f>
        <v>0</v>
      </c>
      <c r="I52" s="1588">
        <f>I53*I54</f>
        <v>0</v>
      </c>
      <c r="K52" s="1345"/>
      <c r="L52" s="1346"/>
      <c r="M52" s="1346"/>
      <c r="N52" s="1346"/>
      <c r="O52" s="286"/>
      <c r="P52" s="286"/>
      <c r="Q52" s="286"/>
      <c r="R52" s="286"/>
      <c r="S52" s="286"/>
      <c r="T52" s="286"/>
      <c r="U52" s="286"/>
      <c r="V52" s="422"/>
    </row>
    <row r="53" spans="2:22" ht="12" customHeight="1" x14ac:dyDescent="0.2">
      <c r="B53" s="1586" t="s">
        <v>637</v>
      </c>
      <c r="C53" s="1589"/>
      <c r="D53" s="1320"/>
      <c r="E53" s="522">
        <v>0</v>
      </c>
      <c r="F53" s="522">
        <f>E53+E53*K53</f>
        <v>0</v>
      </c>
      <c r="G53" s="522">
        <f t="shared" ref="G53:I54" si="17">F53+F53*L53</f>
        <v>0</v>
      </c>
      <c r="H53" s="690">
        <f t="shared" si="17"/>
        <v>0</v>
      </c>
      <c r="I53" s="522">
        <f t="shared" si="17"/>
        <v>0</v>
      </c>
      <c r="K53" s="344">
        <v>0</v>
      </c>
      <c r="L53" s="344">
        <f t="shared" ref="L53:N54" si="18">K53</f>
        <v>0</v>
      </c>
      <c r="M53" s="344">
        <f t="shared" si="18"/>
        <v>0</v>
      </c>
      <c r="N53" s="344">
        <f t="shared" si="18"/>
        <v>0</v>
      </c>
      <c r="O53" s="286"/>
      <c r="P53" s="286"/>
      <c r="Q53" s="286"/>
      <c r="R53" s="286"/>
      <c r="S53" s="286"/>
      <c r="T53" s="286"/>
      <c r="U53" s="286"/>
      <c r="V53" s="422"/>
    </row>
    <row r="54" spans="2:22" ht="12" customHeight="1" x14ac:dyDescent="0.2">
      <c r="B54" s="1586" t="s">
        <v>638</v>
      </c>
      <c r="C54" s="1589"/>
      <c r="D54" s="1320" t="s">
        <v>518</v>
      </c>
      <c r="E54" s="684">
        <f>IF(E53=0,0,E52/E53)</f>
        <v>0</v>
      </c>
      <c r="F54" s="685">
        <f>E54+E54*K54</f>
        <v>0</v>
      </c>
      <c r="G54" s="685">
        <f t="shared" si="17"/>
        <v>0</v>
      </c>
      <c r="H54" s="689">
        <f t="shared" si="17"/>
        <v>0</v>
      </c>
      <c r="I54" s="685">
        <f t="shared" si="17"/>
        <v>0</v>
      </c>
      <c r="K54" s="344">
        <v>0.03</v>
      </c>
      <c r="L54" s="344">
        <f t="shared" si="18"/>
        <v>0.03</v>
      </c>
      <c r="M54" s="344">
        <f t="shared" si="18"/>
        <v>0.03</v>
      </c>
      <c r="N54" s="344">
        <f t="shared" si="18"/>
        <v>0.03</v>
      </c>
      <c r="O54" s="286"/>
      <c r="P54" s="286"/>
      <c r="Q54" s="286"/>
      <c r="R54" s="286"/>
      <c r="S54" s="286"/>
      <c r="T54" s="286"/>
      <c r="U54" s="286"/>
      <c r="V54" s="422"/>
    </row>
    <row r="55" spans="2:22" ht="12" customHeight="1" x14ac:dyDescent="0.2">
      <c r="B55" s="1586" t="s">
        <v>639</v>
      </c>
      <c r="C55" s="1589"/>
      <c r="D55" s="312" t="s">
        <v>14</v>
      </c>
      <c r="E55" s="686">
        <f>IF(E52=0,0,E56/E52)</f>
        <v>0</v>
      </c>
      <c r="F55" s="687">
        <f>E55</f>
        <v>0</v>
      </c>
      <c r="G55" s="687">
        <f>F55</f>
        <v>0</v>
      </c>
      <c r="H55" s="687">
        <f>G55</f>
        <v>0</v>
      </c>
      <c r="I55" s="687">
        <f>H55</f>
        <v>0</v>
      </c>
      <c r="K55" s="341"/>
      <c r="L55" s="454"/>
      <c r="M55" s="286"/>
      <c r="N55" s="286"/>
      <c r="O55" s="286"/>
      <c r="P55" s="286"/>
      <c r="Q55" s="286"/>
      <c r="R55" s="286"/>
      <c r="S55" s="286"/>
      <c r="T55" s="286"/>
      <c r="U55" s="286"/>
      <c r="V55" s="422"/>
    </row>
    <row r="56" spans="2:22" ht="12" customHeight="1" x14ac:dyDescent="0.2">
      <c r="B56" s="1586" t="s">
        <v>640</v>
      </c>
      <c r="C56" s="1589"/>
      <c r="D56" s="312" t="s">
        <v>518</v>
      </c>
      <c r="E56" s="522">
        <v>0</v>
      </c>
      <c r="F56" s="1060">
        <f>IF(F55=0,0,F52*F55)</f>
        <v>0</v>
      </c>
      <c r="G56" s="1060">
        <f>IF(G55=0,0,G52*G55)</f>
        <v>0</v>
      </c>
      <c r="H56" s="691">
        <f>IF(H55=0,0,H52*H55)</f>
        <v>0</v>
      </c>
      <c r="I56" s="1060">
        <f>IF(I55=0,0,I52*I55)</f>
        <v>0</v>
      </c>
      <c r="K56" s="341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422"/>
    </row>
    <row r="57" spans="2:22" ht="6" customHeight="1" x14ac:dyDescent="0.2">
      <c r="B57" s="42"/>
      <c r="C57" s="42"/>
      <c r="D57" s="66"/>
      <c r="E57" s="1298"/>
      <c r="F57" s="1295"/>
      <c r="G57" s="1295"/>
      <c r="H57" s="1295"/>
      <c r="I57" s="1295"/>
      <c r="K57" s="341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422"/>
    </row>
    <row r="58" spans="2:22" ht="12" customHeight="1" x14ac:dyDescent="0.2">
      <c r="B58" s="42"/>
      <c r="C58" s="42"/>
      <c r="D58" s="1308"/>
      <c r="E58" s="1493" t="s">
        <v>587</v>
      </c>
      <c r="F58" s="594">
        <v>0.255</v>
      </c>
      <c r="G58" s="594">
        <f>F58</f>
        <v>0.255</v>
      </c>
      <c r="H58" s="594">
        <f>G58</f>
        <v>0.255</v>
      </c>
      <c r="I58" s="687">
        <f>H58</f>
        <v>0.255</v>
      </c>
      <c r="K58" s="341"/>
      <c r="L58" s="286"/>
      <c r="M58" s="286"/>
      <c r="N58" s="286"/>
      <c r="O58" s="286"/>
      <c r="P58" s="286"/>
      <c r="Q58" s="286"/>
      <c r="R58" s="286"/>
      <c r="S58" s="286"/>
      <c r="T58" s="286"/>
      <c r="U58" s="286"/>
      <c r="V58" s="422"/>
    </row>
    <row r="59" spans="2:22" ht="12" customHeight="1" x14ac:dyDescent="0.2">
      <c r="B59" s="1311">
        <v>0</v>
      </c>
      <c r="C59" s="2015" t="s">
        <v>622</v>
      </c>
      <c r="D59" s="2016"/>
      <c r="E59" s="522">
        <v>0</v>
      </c>
      <c r="F59" s="1588">
        <f>F60*F61</f>
        <v>0</v>
      </c>
      <c r="G59" s="1588">
        <f>G60*G61</f>
        <v>0</v>
      </c>
      <c r="H59" s="568">
        <f>H60*H61</f>
        <v>0</v>
      </c>
      <c r="I59" s="1588">
        <f>I60*I61</f>
        <v>0</v>
      </c>
      <c r="K59" s="1345"/>
      <c r="L59" s="1346"/>
      <c r="M59" s="1346"/>
      <c r="N59" s="1346"/>
      <c r="O59" s="286"/>
      <c r="P59" s="286"/>
      <c r="Q59" s="286"/>
      <c r="R59" s="286"/>
      <c r="S59" s="286"/>
      <c r="T59" s="286"/>
      <c r="U59" s="286"/>
      <c r="V59" s="422"/>
    </row>
    <row r="60" spans="2:22" ht="12.75" customHeight="1" x14ac:dyDescent="0.2">
      <c r="B60" s="1586" t="s">
        <v>637</v>
      </c>
      <c r="C60" s="1589"/>
      <c r="D60" s="1320"/>
      <c r="E60" s="522">
        <v>0</v>
      </c>
      <c r="F60" s="522">
        <f t="shared" ref="F60:I61" si="19">E60+E60*K60</f>
        <v>0</v>
      </c>
      <c r="G60" s="522">
        <f t="shared" si="19"/>
        <v>0</v>
      </c>
      <c r="H60" s="690">
        <f t="shared" si="19"/>
        <v>0</v>
      </c>
      <c r="I60" s="522">
        <f t="shared" si="19"/>
        <v>0</v>
      </c>
      <c r="K60" s="344">
        <v>0</v>
      </c>
      <c r="L60" s="344">
        <f t="shared" ref="L60:N61" si="20">K60</f>
        <v>0</v>
      </c>
      <c r="M60" s="344">
        <f t="shared" si="20"/>
        <v>0</v>
      </c>
      <c r="N60" s="344">
        <f t="shared" si="20"/>
        <v>0</v>
      </c>
      <c r="O60" s="286"/>
      <c r="P60" s="286"/>
      <c r="Q60" s="286"/>
      <c r="R60" s="286"/>
      <c r="S60" s="286"/>
      <c r="T60" s="286"/>
      <c r="U60" s="286"/>
      <c r="V60" s="422"/>
    </row>
    <row r="61" spans="2:22" ht="12.75" customHeight="1" x14ac:dyDescent="0.2">
      <c r="B61" s="1586" t="s">
        <v>638</v>
      </c>
      <c r="C61" s="1589"/>
      <c r="D61" s="1320" t="s">
        <v>518</v>
      </c>
      <c r="E61" s="684">
        <f>IF(E60=0,0,E59/E60)</f>
        <v>0</v>
      </c>
      <c r="F61" s="685">
        <f>E61+E61*K61</f>
        <v>0</v>
      </c>
      <c r="G61" s="685">
        <f t="shared" si="19"/>
        <v>0</v>
      </c>
      <c r="H61" s="685">
        <f t="shared" si="19"/>
        <v>0</v>
      </c>
      <c r="I61" s="685">
        <f t="shared" si="19"/>
        <v>0</v>
      </c>
      <c r="K61" s="344">
        <v>0.03</v>
      </c>
      <c r="L61" s="344">
        <f t="shared" si="20"/>
        <v>0.03</v>
      </c>
      <c r="M61" s="344">
        <f t="shared" si="20"/>
        <v>0.03</v>
      </c>
      <c r="N61" s="344">
        <f t="shared" si="20"/>
        <v>0.03</v>
      </c>
      <c r="O61" s="286"/>
      <c r="P61" s="286"/>
      <c r="Q61" s="286"/>
      <c r="R61" s="286"/>
      <c r="S61" s="286"/>
      <c r="T61" s="286"/>
      <c r="U61" s="286"/>
      <c r="V61" s="422"/>
    </row>
    <row r="62" spans="2:22" x14ac:dyDescent="0.2">
      <c r="B62" s="1586" t="s">
        <v>639</v>
      </c>
      <c r="C62" s="1589"/>
      <c r="D62" s="312" t="s">
        <v>14</v>
      </c>
      <c r="E62" s="686">
        <f>IF(E59=0,0,E63/E59)</f>
        <v>0</v>
      </c>
      <c r="F62" s="687">
        <f>E62</f>
        <v>0</v>
      </c>
      <c r="G62" s="687">
        <f>F62</f>
        <v>0</v>
      </c>
      <c r="H62" s="687">
        <f>G62</f>
        <v>0</v>
      </c>
      <c r="I62" s="687">
        <f>H62</f>
        <v>0</v>
      </c>
      <c r="K62" s="1338"/>
      <c r="L62" s="156"/>
      <c r="M62" s="156"/>
      <c r="N62" s="156"/>
      <c r="O62" s="286"/>
      <c r="P62" s="286"/>
      <c r="Q62" s="286"/>
      <c r="R62" s="286"/>
      <c r="S62" s="286"/>
      <c r="T62" s="286"/>
      <c r="U62" s="286"/>
      <c r="V62" s="422"/>
    </row>
    <row r="63" spans="2:22" x14ac:dyDescent="0.2">
      <c r="B63" s="1586" t="s">
        <v>640</v>
      </c>
      <c r="C63" s="1589"/>
      <c r="D63" s="312" t="s">
        <v>518</v>
      </c>
      <c r="E63" s="522">
        <v>0</v>
      </c>
      <c r="F63" s="1060">
        <f>IF(F62=0,0,F59*F62)</f>
        <v>0</v>
      </c>
      <c r="G63" s="1060">
        <f>IF(G62=0,0,G59*G62)</f>
        <v>0</v>
      </c>
      <c r="H63" s="691">
        <f>IF(H62=0,0,H59*H62)</f>
        <v>0</v>
      </c>
      <c r="I63" s="1060">
        <f>IF(I62=0,0,I59*I62)</f>
        <v>0</v>
      </c>
      <c r="K63" s="378"/>
      <c r="L63" s="156"/>
      <c r="M63" s="156"/>
      <c r="N63" s="156"/>
      <c r="O63" s="286"/>
      <c r="P63" s="286"/>
      <c r="Q63" s="286"/>
      <c r="R63" s="286"/>
      <c r="S63" s="286"/>
      <c r="T63" s="286"/>
      <c r="U63" s="286"/>
      <c r="V63" s="422"/>
    </row>
    <row r="64" spans="2:22" ht="6" customHeight="1" x14ac:dyDescent="0.2">
      <c r="B64" s="42"/>
      <c r="C64" s="42"/>
      <c r="D64" s="66"/>
      <c r="E64" s="1298"/>
      <c r="F64" s="1295"/>
      <c r="G64" s="1295"/>
      <c r="H64" s="1295"/>
      <c r="I64" s="1295"/>
      <c r="K64" s="378"/>
      <c r="L64" s="156"/>
      <c r="M64" s="156"/>
      <c r="N64" s="156"/>
      <c r="O64" s="286"/>
      <c r="P64" s="286"/>
      <c r="Q64" s="286"/>
      <c r="R64" s="286"/>
      <c r="S64" s="286"/>
      <c r="T64" s="286"/>
      <c r="U64" s="286"/>
      <c r="V64" s="422"/>
    </row>
    <row r="65" spans="2:22" ht="12" customHeight="1" x14ac:dyDescent="0.2">
      <c r="B65" s="156"/>
      <c r="C65" s="156"/>
      <c r="D65" s="1309"/>
      <c r="E65" s="1493" t="s">
        <v>587</v>
      </c>
      <c r="F65" s="594">
        <v>0.255</v>
      </c>
      <c r="G65" s="594">
        <f>F65</f>
        <v>0.255</v>
      </c>
      <c r="H65" s="594">
        <f>G65</f>
        <v>0.255</v>
      </c>
      <c r="I65" s="687">
        <f>H65</f>
        <v>0.255</v>
      </c>
      <c r="K65" s="378"/>
      <c r="L65" s="156"/>
      <c r="M65" s="156"/>
      <c r="N65" s="156"/>
      <c r="O65" s="286"/>
      <c r="P65" s="286"/>
      <c r="Q65" s="286"/>
      <c r="R65" s="286"/>
      <c r="S65" s="286"/>
      <c r="T65" s="286"/>
      <c r="U65" s="286"/>
      <c r="V65" s="422"/>
    </row>
    <row r="66" spans="2:22" ht="12" customHeight="1" x14ac:dyDescent="0.2">
      <c r="B66" s="1311">
        <v>0</v>
      </c>
      <c r="C66" s="2015" t="s">
        <v>622</v>
      </c>
      <c r="D66" s="2016"/>
      <c r="E66" s="522">
        <v>0</v>
      </c>
      <c r="F66" s="1588">
        <f>F67*F68</f>
        <v>0</v>
      </c>
      <c r="G66" s="1588">
        <f>G67*G68</f>
        <v>0</v>
      </c>
      <c r="H66" s="568">
        <f>H67*H68</f>
        <v>0</v>
      </c>
      <c r="I66" s="1588">
        <f>I67*I68</f>
        <v>0</v>
      </c>
      <c r="K66" s="1345"/>
      <c r="L66" s="1346"/>
      <c r="M66" s="1346"/>
      <c r="N66" s="1346"/>
      <c r="O66" s="286"/>
      <c r="P66" s="286"/>
      <c r="Q66" s="286"/>
      <c r="R66" s="286"/>
      <c r="S66" s="286"/>
      <c r="T66" s="286"/>
      <c r="U66" s="286"/>
      <c r="V66" s="422"/>
    </row>
    <row r="67" spans="2:22" ht="12" customHeight="1" x14ac:dyDescent="0.2">
      <c r="B67" s="1586" t="s">
        <v>637</v>
      </c>
      <c r="C67" s="1589"/>
      <c r="D67" s="1320"/>
      <c r="E67" s="522">
        <v>0</v>
      </c>
      <c r="F67" s="522">
        <f t="shared" ref="F67:I68" si="21">E67+E67*K67</f>
        <v>0</v>
      </c>
      <c r="G67" s="522">
        <f t="shared" si="21"/>
        <v>0</v>
      </c>
      <c r="H67" s="690">
        <f t="shared" si="21"/>
        <v>0</v>
      </c>
      <c r="I67" s="522">
        <f>H67+H67*N67</f>
        <v>0</v>
      </c>
      <c r="K67" s="344">
        <v>0</v>
      </c>
      <c r="L67" s="344">
        <f t="shared" ref="L67:N68" si="22">K67</f>
        <v>0</v>
      </c>
      <c r="M67" s="344">
        <f t="shared" si="22"/>
        <v>0</v>
      </c>
      <c r="N67" s="344">
        <f t="shared" si="22"/>
        <v>0</v>
      </c>
      <c r="O67" s="286"/>
      <c r="P67" s="286"/>
      <c r="Q67" s="286"/>
      <c r="R67" s="286"/>
      <c r="S67" s="286"/>
      <c r="T67" s="286"/>
      <c r="U67" s="286"/>
      <c r="V67" s="422"/>
    </row>
    <row r="68" spans="2:22" ht="12" customHeight="1" x14ac:dyDescent="0.2">
      <c r="B68" s="1586" t="s">
        <v>638</v>
      </c>
      <c r="C68" s="1589"/>
      <c r="D68" s="1320"/>
      <c r="E68" s="684">
        <f>IF(E67=0,0,E66/E67)</f>
        <v>0</v>
      </c>
      <c r="F68" s="685">
        <f>E68+E68*K68</f>
        <v>0</v>
      </c>
      <c r="G68" s="685">
        <f t="shared" si="21"/>
        <v>0</v>
      </c>
      <c r="H68" s="685">
        <f t="shared" si="21"/>
        <v>0</v>
      </c>
      <c r="I68" s="685">
        <f t="shared" si="21"/>
        <v>0</v>
      </c>
      <c r="K68" s="344">
        <v>0.03</v>
      </c>
      <c r="L68" s="344">
        <f t="shared" si="22"/>
        <v>0.03</v>
      </c>
      <c r="M68" s="344">
        <f t="shared" si="22"/>
        <v>0.03</v>
      </c>
      <c r="N68" s="344">
        <f t="shared" si="22"/>
        <v>0.03</v>
      </c>
      <c r="O68" s="286"/>
      <c r="P68" s="286"/>
      <c r="Q68" s="286"/>
      <c r="R68" s="286"/>
      <c r="S68" s="286"/>
      <c r="T68" s="286"/>
      <c r="U68" s="286"/>
      <c r="V68" s="422"/>
    </row>
    <row r="69" spans="2:22" ht="12" customHeight="1" x14ac:dyDescent="0.2">
      <c r="B69" s="1586" t="s">
        <v>639</v>
      </c>
      <c r="C69" s="1589"/>
      <c r="D69" s="312" t="s">
        <v>14</v>
      </c>
      <c r="E69" s="686">
        <f>IF(E66=0,0,E70/E66)</f>
        <v>0</v>
      </c>
      <c r="F69" s="687">
        <f>E69</f>
        <v>0</v>
      </c>
      <c r="G69" s="687">
        <f>F69</f>
        <v>0</v>
      </c>
      <c r="H69" s="687">
        <f>G69</f>
        <v>0</v>
      </c>
      <c r="I69" s="687">
        <f>H69</f>
        <v>0</v>
      </c>
      <c r="K69" s="341"/>
      <c r="L69" s="286"/>
      <c r="M69" s="286"/>
      <c r="N69" s="286"/>
      <c r="O69" s="286"/>
      <c r="P69" s="286"/>
      <c r="Q69" s="286"/>
      <c r="R69" s="286"/>
      <c r="S69" s="286"/>
      <c r="T69" s="286"/>
      <c r="U69" s="286"/>
      <c r="V69" s="422"/>
    </row>
    <row r="70" spans="2:22" ht="12" customHeight="1" x14ac:dyDescent="0.2">
      <c r="B70" s="1586" t="s">
        <v>640</v>
      </c>
      <c r="C70" s="1589"/>
      <c r="D70" s="312" t="s">
        <v>518</v>
      </c>
      <c r="E70" s="522">
        <v>0</v>
      </c>
      <c r="F70" s="1060">
        <f>IF(F69=0,0,F66*F69)</f>
        <v>0</v>
      </c>
      <c r="G70" s="1060">
        <f>IF(G69=0,0,G66*G69)</f>
        <v>0</v>
      </c>
      <c r="H70" s="691">
        <f>IF(H69=0,0,H66*H69)</f>
        <v>0</v>
      </c>
      <c r="I70" s="1060">
        <f>IF(I69=0,0,I66*I69)</f>
        <v>0</v>
      </c>
      <c r="K70" s="341"/>
      <c r="L70" s="286"/>
      <c r="M70" s="286"/>
      <c r="N70" s="286"/>
      <c r="O70" s="286"/>
      <c r="P70" s="286"/>
      <c r="Q70" s="286"/>
      <c r="R70" s="286"/>
      <c r="S70" s="286"/>
      <c r="T70" s="286"/>
      <c r="U70" s="286"/>
      <c r="V70" s="422"/>
    </row>
    <row r="71" spans="2:22" ht="6" customHeight="1" x14ac:dyDescent="0.2">
      <c r="B71" s="42"/>
      <c r="C71" s="42"/>
      <c r="D71" s="66"/>
      <c r="E71" s="1298"/>
      <c r="F71" s="1295"/>
      <c r="G71" s="1295"/>
      <c r="H71" s="1295"/>
      <c r="I71" s="1295"/>
      <c r="K71" s="341"/>
      <c r="L71" s="286"/>
      <c r="M71" s="286"/>
      <c r="N71" s="286"/>
      <c r="O71" s="286"/>
      <c r="P71" s="286"/>
      <c r="Q71" s="286"/>
      <c r="R71" s="286"/>
      <c r="S71" s="286"/>
      <c r="T71" s="286"/>
      <c r="U71" s="286"/>
      <c r="V71" s="422"/>
    </row>
    <row r="72" spans="2:22" ht="12" customHeight="1" x14ac:dyDescent="0.2">
      <c r="B72" s="46"/>
      <c r="C72" s="46"/>
      <c r="D72" s="1310"/>
      <c r="E72" s="1493" t="s">
        <v>587</v>
      </c>
      <c r="F72" s="594">
        <v>0.255</v>
      </c>
      <c r="G72" s="594">
        <f>F72</f>
        <v>0.255</v>
      </c>
      <c r="H72" s="594">
        <f>G72</f>
        <v>0.255</v>
      </c>
      <c r="I72" s="687">
        <f>H72</f>
        <v>0.255</v>
      </c>
      <c r="K72" s="341"/>
      <c r="L72" s="286"/>
      <c r="M72" s="286"/>
      <c r="N72" s="286"/>
      <c r="O72" s="286"/>
      <c r="P72" s="286"/>
      <c r="Q72" s="286"/>
      <c r="R72" s="286"/>
      <c r="S72" s="286"/>
      <c r="T72" s="286"/>
      <c r="U72" s="286"/>
      <c r="V72" s="422"/>
    </row>
    <row r="73" spans="2:22" ht="12" customHeight="1" x14ac:dyDescent="0.2">
      <c r="B73" s="1311">
        <v>0</v>
      </c>
      <c r="C73" s="2015" t="s">
        <v>622</v>
      </c>
      <c r="D73" s="2016"/>
      <c r="E73" s="522">
        <v>0</v>
      </c>
      <c r="F73" s="1588">
        <f>F74*F75</f>
        <v>0</v>
      </c>
      <c r="G73" s="1588">
        <f>G74*G75</f>
        <v>0</v>
      </c>
      <c r="H73" s="568">
        <f>H74*H75</f>
        <v>0</v>
      </c>
      <c r="I73" s="1588">
        <f>I74*I75</f>
        <v>0</v>
      </c>
      <c r="K73" s="1345"/>
      <c r="L73" s="1346"/>
      <c r="M73" s="1346"/>
      <c r="N73" s="1346"/>
      <c r="O73" s="286"/>
      <c r="P73" s="286"/>
      <c r="Q73" s="286"/>
      <c r="R73" s="286"/>
      <c r="S73" s="286"/>
      <c r="T73" s="286"/>
      <c r="U73" s="286"/>
      <c r="V73" s="422"/>
    </row>
    <row r="74" spans="2:22" ht="12" customHeight="1" x14ac:dyDescent="0.2">
      <c r="B74" s="1586" t="s">
        <v>637</v>
      </c>
      <c r="C74" s="1589"/>
      <c r="D74" s="1320"/>
      <c r="E74" s="522">
        <v>0</v>
      </c>
      <c r="F74" s="522">
        <f t="shared" ref="F74:I75" si="23">E74+E74*K74</f>
        <v>0</v>
      </c>
      <c r="G74" s="522">
        <f t="shared" si="23"/>
        <v>0</v>
      </c>
      <c r="H74" s="690">
        <f t="shared" si="23"/>
        <v>0</v>
      </c>
      <c r="I74" s="522">
        <f t="shared" si="23"/>
        <v>0</v>
      </c>
      <c r="K74" s="344">
        <v>0</v>
      </c>
      <c r="L74" s="344">
        <f t="shared" ref="L74:N75" si="24">K74</f>
        <v>0</v>
      </c>
      <c r="M74" s="344">
        <f t="shared" si="24"/>
        <v>0</v>
      </c>
      <c r="N74" s="344">
        <f t="shared" si="24"/>
        <v>0</v>
      </c>
      <c r="O74" s="286"/>
      <c r="P74" s="286"/>
      <c r="Q74" s="286"/>
      <c r="R74" s="286"/>
      <c r="S74" s="286"/>
      <c r="T74" s="286"/>
      <c r="U74" s="286"/>
      <c r="V74" s="422"/>
    </row>
    <row r="75" spans="2:22" ht="12" customHeight="1" x14ac:dyDescent="0.2">
      <c r="B75" s="1586" t="s">
        <v>638</v>
      </c>
      <c r="C75" s="1589"/>
      <c r="D75" s="1320" t="s">
        <v>518</v>
      </c>
      <c r="E75" s="684">
        <f>IF(E74=0,0,E73/E74)</f>
        <v>0</v>
      </c>
      <c r="F75" s="685">
        <f t="shared" si="23"/>
        <v>0</v>
      </c>
      <c r="G75" s="685">
        <f t="shared" si="23"/>
        <v>0</v>
      </c>
      <c r="H75" s="685">
        <f t="shared" si="23"/>
        <v>0</v>
      </c>
      <c r="I75" s="685">
        <f t="shared" si="23"/>
        <v>0</v>
      </c>
      <c r="K75" s="344">
        <v>0.03</v>
      </c>
      <c r="L75" s="344">
        <f t="shared" si="24"/>
        <v>0.03</v>
      </c>
      <c r="M75" s="344">
        <f t="shared" si="24"/>
        <v>0.03</v>
      </c>
      <c r="N75" s="344">
        <f t="shared" si="24"/>
        <v>0.03</v>
      </c>
      <c r="O75" s="286"/>
      <c r="P75" s="286"/>
      <c r="Q75" s="286"/>
      <c r="R75" s="286"/>
      <c r="S75" s="286"/>
      <c r="T75" s="286"/>
      <c r="U75" s="286"/>
      <c r="V75" s="422"/>
    </row>
    <row r="76" spans="2:22" ht="12" customHeight="1" x14ac:dyDescent="0.2">
      <c r="B76" s="1586" t="s">
        <v>639</v>
      </c>
      <c r="C76" s="1589"/>
      <c r="D76" s="312" t="s">
        <v>14</v>
      </c>
      <c r="E76" s="686">
        <f>IF(E73=0,0,E77/E73)</f>
        <v>0</v>
      </c>
      <c r="F76" s="687">
        <f>E76</f>
        <v>0</v>
      </c>
      <c r="G76" s="687">
        <f>F76</f>
        <v>0</v>
      </c>
      <c r="H76" s="687">
        <f>G76</f>
        <v>0</v>
      </c>
      <c r="I76" s="687">
        <f>H76</f>
        <v>0</v>
      </c>
      <c r="K76" s="341">
        <v>0</v>
      </c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422"/>
    </row>
    <row r="77" spans="2:22" ht="12" customHeight="1" x14ac:dyDescent="0.2">
      <c r="B77" s="1586" t="s">
        <v>640</v>
      </c>
      <c r="C77" s="1589"/>
      <c r="D77" s="312" t="s">
        <v>518</v>
      </c>
      <c r="E77" s="522">
        <v>0</v>
      </c>
      <c r="F77" s="1060">
        <f>IF(F76=0,0,F73*F76)</f>
        <v>0</v>
      </c>
      <c r="G77" s="1060">
        <f>IF(G76=0,0,G73*G76)</f>
        <v>0</v>
      </c>
      <c r="H77" s="691">
        <f>IF(H76=0,0,H73*H76)</f>
        <v>0</v>
      </c>
      <c r="I77" s="1060">
        <f>IF(I76=0,0,I73*I76)</f>
        <v>0</v>
      </c>
      <c r="K77" s="341"/>
      <c r="L77" s="286"/>
      <c r="M77" s="286"/>
      <c r="N77" s="286"/>
      <c r="O77" s="286"/>
      <c r="P77" s="286"/>
      <c r="Q77" s="286"/>
      <c r="R77" s="286"/>
      <c r="S77" s="286"/>
      <c r="T77" s="286"/>
      <c r="U77" s="286"/>
      <c r="V77" s="422"/>
    </row>
    <row r="78" spans="2:22" ht="6" customHeight="1" x14ac:dyDescent="0.2">
      <c r="B78" s="42"/>
      <c r="C78" s="42"/>
      <c r="D78" s="66"/>
      <c r="E78" s="1298"/>
      <c r="F78" s="1295"/>
      <c r="G78" s="1295"/>
      <c r="H78" s="1295"/>
      <c r="I78" s="1295"/>
      <c r="K78" s="341"/>
      <c r="L78" s="286"/>
      <c r="M78" s="286"/>
      <c r="N78" s="286"/>
      <c r="O78" s="286"/>
      <c r="P78" s="286"/>
      <c r="Q78" s="286"/>
      <c r="R78" s="286"/>
      <c r="S78" s="286"/>
      <c r="T78" s="286"/>
      <c r="U78" s="286"/>
      <c r="V78" s="422"/>
    </row>
    <row r="79" spans="2:22" ht="12" customHeight="1" x14ac:dyDescent="0.2">
      <c r="B79" s="46"/>
      <c r="C79" s="46"/>
      <c r="D79" s="73"/>
      <c r="E79" s="1493" t="s">
        <v>587</v>
      </c>
      <c r="F79" s="594">
        <v>0.255</v>
      </c>
      <c r="G79" s="594">
        <f>F79</f>
        <v>0.255</v>
      </c>
      <c r="H79" s="594">
        <f>G79</f>
        <v>0.255</v>
      </c>
      <c r="I79" s="687">
        <f>H79</f>
        <v>0.255</v>
      </c>
      <c r="K79" s="341"/>
      <c r="L79" s="286"/>
      <c r="M79" s="286"/>
      <c r="N79" s="286"/>
      <c r="O79" s="286"/>
      <c r="P79" s="286"/>
      <c r="Q79" s="286"/>
      <c r="R79" s="286"/>
      <c r="S79" s="286"/>
      <c r="T79" s="286"/>
      <c r="U79" s="286"/>
      <c r="V79" s="422"/>
    </row>
    <row r="80" spans="2:22" ht="12" customHeight="1" x14ac:dyDescent="0.2">
      <c r="B80" s="1311" t="s">
        <v>420</v>
      </c>
      <c r="C80" s="2015" t="s">
        <v>622</v>
      </c>
      <c r="D80" s="2016"/>
      <c r="E80" s="1587">
        <v>0</v>
      </c>
      <c r="F80" s="1588">
        <f>F81*F82</f>
        <v>0</v>
      </c>
      <c r="G80" s="1588">
        <f>G81*G82</f>
        <v>0</v>
      </c>
      <c r="H80" s="568">
        <f>H81*H82</f>
        <v>0</v>
      </c>
      <c r="I80" s="1588">
        <f>I81*I82</f>
        <v>0</v>
      </c>
      <c r="K80" s="1331"/>
      <c r="L80" s="1332"/>
      <c r="M80" s="1332"/>
      <c r="N80" s="1332"/>
      <c r="O80" s="286"/>
      <c r="P80" s="286"/>
      <c r="Q80" s="286"/>
      <c r="R80" s="286"/>
      <c r="S80" s="286"/>
      <c r="T80" s="286"/>
      <c r="U80" s="286"/>
      <c r="V80" s="422"/>
    </row>
    <row r="81" spans="2:22" ht="12" customHeight="1" x14ac:dyDescent="0.2">
      <c r="B81" s="1586" t="s">
        <v>637</v>
      </c>
      <c r="C81" s="1589"/>
      <c r="D81" s="1320">
        <v>0</v>
      </c>
      <c r="E81" s="522">
        <v>0</v>
      </c>
      <c r="F81" s="522">
        <f>E81+E81*K81</f>
        <v>0</v>
      </c>
      <c r="G81" s="522">
        <f t="shared" ref="F81:I82" si="25">F81+F81*L81</f>
        <v>0</v>
      </c>
      <c r="H81" s="690">
        <f t="shared" si="25"/>
        <v>0</v>
      </c>
      <c r="I81" s="522">
        <f t="shared" si="25"/>
        <v>0</v>
      </c>
      <c r="K81" s="344">
        <v>0</v>
      </c>
      <c r="L81" s="344">
        <f t="shared" ref="L81:N82" si="26">K81</f>
        <v>0</v>
      </c>
      <c r="M81" s="344">
        <f t="shared" si="26"/>
        <v>0</v>
      </c>
      <c r="N81" s="344">
        <f t="shared" si="26"/>
        <v>0</v>
      </c>
      <c r="O81" s="286"/>
      <c r="P81" s="286"/>
      <c r="Q81" s="286"/>
      <c r="R81" s="286"/>
      <c r="S81" s="286"/>
      <c r="T81" s="286"/>
      <c r="U81" s="286"/>
      <c r="V81" s="422"/>
    </row>
    <row r="82" spans="2:22" ht="12" customHeight="1" x14ac:dyDescent="0.2">
      <c r="B82" s="1586" t="s">
        <v>638</v>
      </c>
      <c r="C82" s="1589"/>
      <c r="D82" s="1320" t="s">
        <v>518</v>
      </c>
      <c r="E82" s="684">
        <f>IF(E81=0,0,E80/E81)</f>
        <v>0</v>
      </c>
      <c r="F82" s="685">
        <f t="shared" si="25"/>
        <v>0</v>
      </c>
      <c r="G82" s="685">
        <f t="shared" si="25"/>
        <v>0</v>
      </c>
      <c r="H82" s="685">
        <f t="shared" si="25"/>
        <v>0</v>
      </c>
      <c r="I82" s="685">
        <f t="shared" si="25"/>
        <v>0</v>
      </c>
      <c r="K82" s="1422">
        <v>0.03</v>
      </c>
      <c r="L82" s="1422">
        <f t="shared" si="26"/>
        <v>0.03</v>
      </c>
      <c r="M82" s="1422">
        <f t="shared" si="26"/>
        <v>0.03</v>
      </c>
      <c r="N82" s="1422">
        <f t="shared" si="26"/>
        <v>0.03</v>
      </c>
      <c r="O82" s="341"/>
      <c r="P82" s="286"/>
      <c r="Q82" s="286"/>
      <c r="R82" s="286"/>
      <c r="S82" s="286"/>
      <c r="T82" s="286"/>
      <c r="U82" s="286"/>
      <c r="V82" s="422"/>
    </row>
    <row r="83" spans="2:22" ht="12" customHeight="1" x14ac:dyDescent="0.2">
      <c r="B83" s="1586" t="s">
        <v>639</v>
      </c>
      <c r="C83" s="1589"/>
      <c r="D83" s="312" t="s">
        <v>14</v>
      </c>
      <c r="E83" s="686">
        <f>IF(E80=0,0,E84/E80)</f>
        <v>0</v>
      </c>
      <c r="F83" s="687">
        <f>E83</f>
        <v>0</v>
      </c>
      <c r="G83" s="687">
        <f>F83</f>
        <v>0</v>
      </c>
      <c r="H83" s="687">
        <f>G83</f>
        <v>0</v>
      </c>
      <c r="I83" s="687">
        <f>H83</f>
        <v>0</v>
      </c>
      <c r="K83" s="1206"/>
      <c r="L83" s="454"/>
      <c r="M83" s="454"/>
      <c r="N83" s="454"/>
      <c r="O83" s="286"/>
      <c r="P83" s="286"/>
      <c r="Q83" s="286"/>
      <c r="R83" s="286"/>
      <c r="S83" s="286"/>
      <c r="T83" s="286"/>
      <c r="U83" s="286"/>
      <c r="V83" s="422"/>
    </row>
    <row r="84" spans="2:22" ht="12" customHeight="1" x14ac:dyDescent="0.2">
      <c r="B84" s="1586" t="s">
        <v>640</v>
      </c>
      <c r="C84" s="1589"/>
      <c r="D84" s="312" t="s">
        <v>518</v>
      </c>
      <c r="E84" s="522">
        <v>0</v>
      </c>
      <c r="F84" s="1420">
        <f>IF(F83=0,0,F80*F83)</f>
        <v>0</v>
      </c>
      <c r="G84" s="1420">
        <f>IF(G83=0,0,G80*G83)</f>
        <v>0</v>
      </c>
      <c r="H84" s="1421">
        <f>IF(H83=0,0,H80*H83)</f>
        <v>0</v>
      </c>
      <c r="I84" s="1420">
        <f>IF(I83=0,0,I80*I83)</f>
        <v>0</v>
      </c>
      <c r="K84" s="497"/>
      <c r="L84" s="423"/>
      <c r="M84" s="423"/>
      <c r="N84" s="423"/>
      <c r="O84" s="423"/>
      <c r="P84" s="423"/>
      <c r="Q84" s="423"/>
      <c r="R84" s="423"/>
      <c r="S84" s="423"/>
      <c r="T84" s="423"/>
      <c r="U84" s="423"/>
      <c r="V84" s="425"/>
    </row>
    <row r="85" spans="2:22" ht="4.1500000000000004" customHeight="1" x14ac:dyDescent="0.2"/>
    <row r="86" spans="2:22" x14ac:dyDescent="0.2">
      <c r="B86" s="399" t="str">
        <f>IF(E20&lt;0,"VIRHE! MERKITSE AINEKÄYTTÖ + MERKKISENÄ!","")</f>
        <v/>
      </c>
      <c r="C86" s="399"/>
      <c r="D86" s="359"/>
      <c r="E86" s="120"/>
      <c r="F86" s="120"/>
      <c r="G86" s="2013">
        <f>OHJE!I5</f>
        <v>0</v>
      </c>
      <c r="H86" s="2013"/>
      <c r="I86" s="2013"/>
    </row>
    <row r="87" spans="2:22" x14ac:dyDescent="0.2">
      <c r="B87" s="358" t="str">
        <f>'5. E1 KUSTANNUKSET '!B128</f>
        <v>YT22 Toimivan yrityksen tulossuunnitelma</v>
      </c>
      <c r="C87" s="358"/>
      <c r="E87" s="120"/>
      <c r="F87" s="2019" t="str">
        <f>OHJE!I21</f>
        <v>Kehittämisyhtiö Witas Oy</v>
      </c>
      <c r="G87" s="2020"/>
      <c r="H87" s="2020"/>
      <c r="I87" s="2020"/>
    </row>
    <row r="88" spans="2:22" x14ac:dyDescent="0.2">
      <c r="B88" s="205"/>
      <c r="C88" s="205"/>
    </row>
    <row r="89" spans="2:22" x14ac:dyDescent="0.2">
      <c r="B89" s="357" t="s">
        <v>248</v>
      </c>
      <c r="C89" s="357"/>
    </row>
    <row r="90" spans="2:22" x14ac:dyDescent="0.2">
      <c r="B90" s="45" t="s">
        <v>249</v>
      </c>
      <c r="C90" s="45"/>
    </row>
    <row r="91" spans="2:22" x14ac:dyDescent="0.2">
      <c r="B91" s="45" t="s">
        <v>250</v>
      </c>
      <c r="C91" s="45"/>
    </row>
  </sheetData>
  <sheetProtection algorithmName="SHA-512" hashValue="eDN2WOdGV+oERJAsyhuEnfvSD93TIsg/240qGyZxXW6hq6k2UMpAaIJ7Y2NY42OVAM1ZynWfCHVA+8dWxx+DgQ==" saltValue="pDHeZX83t4tVf1WTL2tmxg==" spinCount="100000" sheet="1" objects="1" scenarios="1"/>
  <mergeCells count="22">
    <mergeCell ref="C73:D73"/>
    <mergeCell ref="C80:D80"/>
    <mergeCell ref="F87:I87"/>
    <mergeCell ref="B7:D8"/>
    <mergeCell ref="K16:N16"/>
    <mergeCell ref="B14:C14"/>
    <mergeCell ref="K5:L5"/>
    <mergeCell ref="B9:D9"/>
    <mergeCell ref="G86:I86"/>
    <mergeCell ref="F5:H5"/>
    <mergeCell ref="C17:D17"/>
    <mergeCell ref="C24:D24"/>
    <mergeCell ref="C31:D31"/>
    <mergeCell ref="C38:D38"/>
    <mergeCell ref="C45:D45"/>
    <mergeCell ref="C52:D52"/>
    <mergeCell ref="C59:D59"/>
    <mergeCell ref="C66:D66"/>
    <mergeCell ref="B10:C10"/>
    <mergeCell ref="B11:C11"/>
    <mergeCell ref="B13:C13"/>
    <mergeCell ref="B12:C12"/>
  </mergeCells>
  <phoneticPr fontId="7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0" fitToWidth="0" orientation="portrait" verticalDpi="4" r:id="rId1"/>
  <headerFooter alignWithMargins="0"/>
  <colBreaks count="1" manualBreakCount="1">
    <brk id="9" min="1" max="7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ul51">
    <tabColor rgb="FF0152A1"/>
  </sheetPr>
  <dimension ref="A1:AD100"/>
  <sheetViews>
    <sheetView showGridLines="0" showZeros="0" zoomScaleNormal="100" workbookViewId="0">
      <selection activeCell="H35" sqref="H35"/>
    </sheetView>
  </sheetViews>
  <sheetFormatPr defaultRowHeight="12.75" x14ac:dyDescent="0.2"/>
  <cols>
    <col min="1" max="1" width="7.5703125" customWidth="1"/>
    <col min="2" max="2" width="3.140625" style="33" customWidth="1"/>
    <col min="3" max="3" width="23.28515625" customWidth="1"/>
    <col min="4" max="4" width="8" customWidth="1"/>
    <col min="5" max="5" width="3.140625" customWidth="1"/>
    <col min="6" max="11" width="11.28515625" customWidth="1"/>
    <col min="12" max="12" width="1.5703125" customWidth="1"/>
    <col min="13" max="14" width="10.7109375" customWidth="1"/>
    <col min="15" max="15" width="13.85546875" customWidth="1"/>
    <col min="16" max="21" width="11.28515625" customWidth="1"/>
    <col min="22" max="22" width="3.85546875" customWidth="1"/>
  </cols>
  <sheetData>
    <row r="1" spans="1:23" x14ac:dyDescent="0.2">
      <c r="P1" s="350"/>
    </row>
    <row r="2" spans="1:23" ht="15.75" x14ac:dyDescent="0.25">
      <c r="C2" s="83" t="s">
        <v>69</v>
      </c>
      <c r="G2" s="41"/>
      <c r="J2" s="53"/>
      <c r="K2" s="53"/>
      <c r="M2" s="83" t="s">
        <v>69</v>
      </c>
      <c r="N2" s="19"/>
      <c r="P2" s="351"/>
    </row>
    <row r="3" spans="1:23" ht="4.5" customHeight="1" x14ac:dyDescent="0.2">
      <c r="B3" s="2079"/>
      <c r="C3" s="2079"/>
      <c r="G3" s="504"/>
      <c r="M3" s="376"/>
      <c r="N3" s="376"/>
      <c r="P3" s="351"/>
    </row>
    <row r="4" spans="1:23" ht="7.5" customHeight="1" x14ac:dyDescent="0.2">
      <c r="B4" s="2079"/>
      <c r="C4" s="2079"/>
      <c r="H4" s="77">
        <v>0</v>
      </c>
      <c r="M4" s="1809"/>
      <c r="N4" s="1809"/>
      <c r="P4" s="352"/>
    </row>
    <row r="5" spans="1:23" s="38" customFormat="1" ht="10.15" customHeight="1" x14ac:dyDescent="0.15">
      <c r="B5" s="41" t="s">
        <v>537</v>
      </c>
      <c r="C5" s="153"/>
      <c r="D5" s="153"/>
      <c r="E5" s="153"/>
      <c r="F5" s="153"/>
      <c r="G5" s="153"/>
      <c r="H5" s="1824"/>
      <c r="I5" s="1824"/>
      <c r="J5" s="1824"/>
      <c r="K5" s="1824"/>
      <c r="M5" s="41" t="s">
        <v>537</v>
      </c>
      <c r="N5" s="153"/>
      <c r="O5" s="153"/>
      <c r="P5" s="153"/>
      <c r="Q5" s="153"/>
      <c r="R5" s="1824"/>
      <c r="S5" s="1824"/>
      <c r="T5" s="1824"/>
      <c r="U5" s="1824"/>
    </row>
    <row r="6" spans="1:23" ht="15.75" customHeight="1" x14ac:dyDescent="0.2">
      <c r="B6" s="2014">
        <f>'2. &amp; 7. T2 TULOSSUUN. '!B5:D5</f>
        <v>0</v>
      </c>
      <c r="C6" s="2014"/>
      <c r="D6" s="2014"/>
      <c r="E6" s="2014"/>
      <c r="F6" s="2014"/>
      <c r="G6" s="511"/>
      <c r="H6" s="2047"/>
      <c r="I6" s="2047"/>
      <c r="J6" s="2047"/>
      <c r="K6" s="2047"/>
      <c r="M6" s="2014">
        <f>B6</f>
        <v>0</v>
      </c>
      <c r="N6" s="2014"/>
      <c r="O6" s="2014"/>
      <c r="P6" s="2014"/>
      <c r="Q6" s="511"/>
      <c r="R6" s="2047"/>
      <c r="S6" s="2047"/>
      <c r="T6" s="2047"/>
      <c r="U6" s="2047"/>
    </row>
    <row r="7" spans="1:23" s="38" customFormat="1" ht="14.25" customHeight="1" x14ac:dyDescent="0.15">
      <c r="B7" s="512" t="s">
        <v>538</v>
      </c>
      <c r="C7" s="513"/>
      <c r="D7" s="513"/>
      <c r="E7" s="513"/>
      <c r="F7" s="513"/>
      <c r="G7" s="513"/>
      <c r="H7" s="513"/>
      <c r="I7" s="513"/>
      <c r="J7" s="2048" t="s">
        <v>51</v>
      </c>
      <c r="K7" s="2048"/>
      <c r="M7" s="512" t="s">
        <v>538</v>
      </c>
      <c r="N7" s="513"/>
      <c r="O7" s="513"/>
      <c r="P7" s="513"/>
      <c r="Q7" s="513"/>
      <c r="R7" s="513"/>
      <c r="S7" s="513"/>
      <c r="T7" s="513" t="s">
        <v>51</v>
      </c>
      <c r="U7" s="513"/>
    </row>
    <row r="8" spans="1:23" ht="15" customHeight="1" x14ac:dyDescent="0.2">
      <c r="B8" s="2080">
        <f>'1. T1 INVESTOINTISUUN.'!B9:D9</f>
        <v>0</v>
      </c>
      <c r="C8" s="2080"/>
      <c r="D8" s="2080"/>
      <c r="E8" s="2080"/>
      <c r="F8" s="2080"/>
      <c r="G8" s="511"/>
      <c r="H8" s="705"/>
      <c r="I8" s="705"/>
      <c r="J8" s="510">
        <f>'1. T1 INVESTOINTISUUN.'!E4</f>
        <v>0</v>
      </c>
      <c r="K8" s="706"/>
      <c r="M8" s="2014">
        <f>B8</f>
        <v>0</v>
      </c>
      <c r="N8" s="2014"/>
      <c r="O8" s="2014"/>
      <c r="P8" s="2014"/>
      <c r="Q8" s="511"/>
      <c r="R8" s="514"/>
      <c r="S8" s="514"/>
      <c r="T8" s="510">
        <f>'1. T1 INVESTOINTISUUN.'!E4</f>
        <v>0</v>
      </c>
      <c r="U8" s="514"/>
    </row>
    <row r="9" spans="1:23" ht="11.25" customHeight="1" thickBot="1" x14ac:dyDescent="0.25">
      <c r="M9" s="447"/>
      <c r="N9" s="447"/>
      <c r="O9" s="447"/>
      <c r="P9" s="447"/>
      <c r="Q9" s="447"/>
      <c r="R9" s="447"/>
      <c r="S9" s="447"/>
      <c r="T9" s="447"/>
      <c r="U9" s="447"/>
    </row>
    <row r="10" spans="1:23" ht="12.75" customHeight="1" x14ac:dyDescent="0.2">
      <c r="B10" s="2063" t="s">
        <v>319</v>
      </c>
      <c r="C10" s="2064"/>
      <c r="D10" s="2064"/>
      <c r="E10" s="2065"/>
      <c r="F10" s="1083" t="str">
        <f>'3. T3 TASE '!F8</f>
        <v>Tot. tilikausi</v>
      </c>
      <c r="G10" s="1083" t="str">
        <f>'6. E2 LIIKEVAIHTO '!E7</f>
        <v>Tot. tilikausi</v>
      </c>
      <c r="H10" s="1083" t="str">
        <f>'1. T1 INVESTOINTISUUN.'!D15</f>
        <v>Ennuste 1</v>
      </c>
      <c r="I10" s="1083" t="str">
        <f>'6. E2 LIIKEVAIHTO '!G7</f>
        <v>Ennuste 2</v>
      </c>
      <c r="J10" s="1083" t="str">
        <f>'6. E2 LIIKEVAIHTO '!H7</f>
        <v>Ennuste 3</v>
      </c>
      <c r="K10" s="1085" t="s">
        <v>195</v>
      </c>
      <c r="M10" s="2057" t="s">
        <v>213</v>
      </c>
      <c r="N10" s="2058"/>
      <c r="O10" s="2059"/>
      <c r="P10" s="1083" t="str">
        <f t="shared" ref="P10:T11" si="0">F10</f>
        <v>Tot. tilikausi</v>
      </c>
      <c r="Q10" s="1083" t="str">
        <f t="shared" si="0"/>
        <v>Tot. tilikausi</v>
      </c>
      <c r="R10" s="1083" t="str">
        <f t="shared" si="0"/>
        <v>Ennuste 1</v>
      </c>
      <c r="S10" s="1083" t="str">
        <f t="shared" si="0"/>
        <v>Ennuste 2</v>
      </c>
      <c r="T10" s="1083" t="str">
        <f t="shared" si="0"/>
        <v>Ennuste 3</v>
      </c>
      <c r="U10" s="1085" t="s">
        <v>195</v>
      </c>
    </row>
    <row r="11" spans="1:23" ht="12.75" customHeight="1" thickBot="1" x14ac:dyDescent="0.3">
      <c r="B11" s="2066"/>
      <c r="C11" s="2067"/>
      <c r="D11" s="2067"/>
      <c r="E11" s="2068"/>
      <c r="F11" s="1087">
        <f>'3. T3 TASE '!F9</f>
        <v>2024</v>
      </c>
      <c r="G11" s="1142">
        <f>'6. E2 LIIKEVAIHTO '!E8</f>
        <v>2025</v>
      </c>
      <c r="H11" s="1142">
        <f>'6. E2 LIIKEVAIHTO '!F8</f>
        <v>2027</v>
      </c>
      <c r="I11" s="1142">
        <f>'6. E2 LIIKEVAIHTO '!G8</f>
        <v>2028</v>
      </c>
      <c r="J11" s="1142">
        <f>'6. E2 LIIKEVAIHTO '!H8</f>
        <v>2029</v>
      </c>
      <c r="K11" s="1143">
        <f>'2. &amp; 7. T2 TULOSSUUN. '!O8</f>
        <v>2030</v>
      </c>
      <c r="M11" s="2060"/>
      <c r="N11" s="2061"/>
      <c r="O11" s="2062"/>
      <c r="P11" s="1144">
        <f t="shared" si="0"/>
        <v>2024</v>
      </c>
      <c r="Q11" s="1144">
        <f t="shared" si="0"/>
        <v>2025</v>
      </c>
      <c r="R11" s="1144">
        <f t="shared" si="0"/>
        <v>2027</v>
      </c>
      <c r="S11" s="1144">
        <f t="shared" si="0"/>
        <v>2028</v>
      </c>
      <c r="T11" s="1144">
        <f t="shared" si="0"/>
        <v>2029</v>
      </c>
      <c r="U11" s="1145">
        <f>K11</f>
        <v>2030</v>
      </c>
      <c r="W11" s="988"/>
    </row>
    <row r="12" spans="1:23" ht="12.75" customHeight="1" thickBot="1" x14ac:dyDescent="0.25">
      <c r="A12" s="46"/>
      <c r="B12" s="2069"/>
      <c r="C12" s="2070"/>
      <c r="D12" s="2070"/>
      <c r="E12" s="2071"/>
      <c r="F12" s="1146" t="s">
        <v>16</v>
      </c>
      <c r="G12" s="1146" t="s">
        <v>16</v>
      </c>
      <c r="H12" s="1146" t="str">
        <f>G12</f>
        <v>Euroa</v>
      </c>
      <c r="I12" s="1146" t="str">
        <f>H12</f>
        <v>Euroa</v>
      </c>
      <c r="J12" s="1146" t="str">
        <f>I12</f>
        <v>Euroa</v>
      </c>
      <c r="K12" s="1147" t="str">
        <f>J12</f>
        <v>Euroa</v>
      </c>
      <c r="M12" s="259" t="s">
        <v>398</v>
      </c>
      <c r="N12" s="149"/>
      <c r="O12" s="149"/>
      <c r="P12" s="256"/>
      <c r="Q12" s="256"/>
      <c r="R12" s="256"/>
      <c r="S12" s="256"/>
      <c r="T12" s="256"/>
      <c r="U12" s="257"/>
    </row>
    <row r="13" spans="1:23" ht="12.75" customHeight="1" x14ac:dyDescent="0.2">
      <c r="B13" s="2049" t="s">
        <v>259</v>
      </c>
      <c r="C13" s="2050"/>
      <c r="D13" s="2050"/>
      <c r="E13" s="2051"/>
      <c r="F13" s="663"/>
      <c r="G13" s="663"/>
      <c r="H13" s="663" t="s">
        <v>68</v>
      </c>
      <c r="I13" s="663"/>
      <c r="J13" s="663"/>
      <c r="K13" s="664"/>
      <c r="M13" s="457" t="s">
        <v>214</v>
      </c>
      <c r="N13" s="458"/>
      <c r="O13" s="458"/>
      <c r="P13" s="596">
        <f>'2. &amp; 7. T2 TULOSSUUN. '!E11</f>
        <v>0</v>
      </c>
      <c r="Q13" s="596">
        <f>'2. &amp; 7. T2 TULOSSUUN. '!G11</f>
        <v>0</v>
      </c>
      <c r="R13" s="596">
        <f>'2. &amp; 7. T2 TULOSSUUN. '!I11</f>
        <v>0</v>
      </c>
      <c r="S13" s="596">
        <f>'2. &amp; 7. T2 TULOSSUUN. '!K11</f>
        <v>0</v>
      </c>
      <c r="T13" s="596">
        <f>'2. &amp; 7. T2 TULOSSUUN. '!M11</f>
        <v>0</v>
      </c>
      <c r="U13" s="597">
        <f>'2. &amp; 7. T2 TULOSSUUN. '!O11</f>
        <v>0</v>
      </c>
    </row>
    <row r="14" spans="1:23" ht="12.75" customHeight="1" x14ac:dyDescent="0.2">
      <c r="A14" s="46"/>
      <c r="B14" s="2052"/>
      <c r="C14" s="2053"/>
      <c r="D14" s="2053"/>
      <c r="E14" s="2054"/>
      <c r="F14" s="665"/>
      <c r="G14" s="665"/>
      <c r="H14" s="665"/>
      <c r="I14" s="665"/>
      <c r="J14" s="665"/>
      <c r="K14" s="666"/>
      <c r="M14" s="459" t="s">
        <v>215</v>
      </c>
      <c r="N14" s="460"/>
      <c r="O14" s="460"/>
      <c r="P14" s="596">
        <f>IF('2. &amp; 7. T2 TULOSSUUN. '!E33=0,0,P13/'2. &amp; 7. T2 TULOSSUUN. '!E33)</f>
        <v>0</v>
      </c>
      <c r="Q14" s="596">
        <f>IF('2. &amp; 7. T2 TULOSSUUN. '!G33=0,0,Q13/'2. &amp; 7. T2 TULOSSUUN. '!G33)</f>
        <v>0</v>
      </c>
      <c r="R14" s="596">
        <f>IF('2. &amp; 7. T2 TULOSSUUN. '!I33=0,0,R13/'2. &amp; 7. T2 TULOSSUUN. '!I33)</f>
        <v>0</v>
      </c>
      <c r="S14" s="596">
        <f>IF('2. &amp; 7. T2 TULOSSUUN. '!K33=0,0,S13/'2. &amp; 7. T2 TULOSSUUN. '!K33)</f>
        <v>0</v>
      </c>
      <c r="T14" s="596">
        <f>IF('2. &amp; 7. T2 TULOSSUUN. '!M33=0,0,T13/'2. &amp; 7. T2 TULOSSUUN. '!M33)</f>
        <v>0</v>
      </c>
      <c r="U14" s="597">
        <f>IF('2. &amp; 7. T2 TULOSSUUN. '!O33=0,0,U13/'2. &amp; 7. T2 TULOSSUUN. '!O33)</f>
        <v>0</v>
      </c>
    </row>
    <row r="15" spans="1:23" ht="12.75" customHeight="1" x14ac:dyDescent="0.2">
      <c r="B15" s="185" t="s">
        <v>2</v>
      </c>
      <c r="C15" s="2025" t="s">
        <v>70</v>
      </c>
      <c r="D15" s="2025"/>
      <c r="E15" s="403" t="s">
        <v>47</v>
      </c>
      <c r="F15" s="377">
        <f>'2. &amp; 7. T2 TULOSSUUN. '!E26+'2. &amp; 7. T2 TULOSSUUN. '!E27-'2. &amp; 7. T2 TULOSSUUN. '!E21</f>
        <v>0</v>
      </c>
      <c r="G15" s="377">
        <f>'2. &amp; 7. T2 TULOSSUUN. '!G26+'2. &amp; 7. T2 TULOSSUUN. '!G27-'2. &amp; 7. T2 TULOSSUUN. '!G21</f>
        <v>0</v>
      </c>
      <c r="H15" s="667">
        <f>'2. &amp; 7. T2 TULOSSUUN. '!I26+'2. &amp; 7. T2 TULOSSUUN. '!I27-'2. &amp; 7. T2 TULOSSUUN. '!I21</f>
        <v>0</v>
      </c>
      <c r="I15" s="667">
        <f>'2. &amp; 7. T2 TULOSSUUN. '!K26+'2. &amp; 7. T2 TULOSSUUN. '!K27-'2. &amp; 7. T2 TULOSSUUN. '!K21</f>
        <v>0</v>
      </c>
      <c r="J15" s="667">
        <f>'2. &amp; 7. T2 TULOSSUUN. '!M26+'2. &amp; 7. T2 TULOSSUUN. '!M27-'2. &amp; 7. T2 TULOSSUUN. '!M21</f>
        <v>0</v>
      </c>
      <c r="K15" s="597">
        <f>'2. &amp; 7. T2 TULOSSUUN. '!O26+'2. &amp; 7. T2 TULOSSUUN. '!O27-'2. &amp; 7. T2 TULOSSUUN. '!O21</f>
        <v>0</v>
      </c>
      <c r="M15" s="459" t="s">
        <v>536</v>
      </c>
      <c r="N15" s="460"/>
      <c r="O15" s="460"/>
      <c r="P15" s="319">
        <f>'2. &amp; 7. T2 TULOSSUUN. '!E33</f>
        <v>1</v>
      </c>
      <c r="Q15" s="319">
        <f>'2. &amp; 7. T2 TULOSSUUN. '!G33</f>
        <v>1</v>
      </c>
      <c r="R15" s="319">
        <f>'2. &amp; 7. T2 TULOSSUUN. '!I33</f>
        <v>1</v>
      </c>
      <c r="S15" s="319">
        <f>'2. &amp; 7. T2 TULOSSUUN. '!K33</f>
        <v>1</v>
      </c>
      <c r="T15" s="319">
        <f>'2. &amp; 7. T2 TULOSSUUN. '!M33</f>
        <v>1</v>
      </c>
      <c r="U15" s="320">
        <f>'2. &amp; 7. T2 TULOSSUUN. '!O33</f>
        <v>1</v>
      </c>
    </row>
    <row r="16" spans="1:23" ht="12.75" customHeight="1" x14ac:dyDescent="0.2">
      <c r="A16" s="46"/>
      <c r="B16" s="185" t="s">
        <v>3</v>
      </c>
      <c r="C16" s="1885" t="s">
        <v>71</v>
      </c>
      <c r="D16" s="1885"/>
      <c r="E16" s="212" t="s">
        <v>47</v>
      </c>
      <c r="F16" s="662">
        <v>0</v>
      </c>
      <c r="G16" s="662">
        <v>0</v>
      </c>
      <c r="H16" s="596">
        <f>'1. T1 INVESTOINTISUUN.'!D48+'1. T1 INVESTOINTISUUN.'!D49</f>
        <v>0</v>
      </c>
      <c r="I16" s="596">
        <f>'1. T1 INVESTOINTISUUN.'!E48+'1. T1 INVESTOINTISUUN.'!E49</f>
        <v>0</v>
      </c>
      <c r="J16" s="596">
        <f>'1. T1 INVESTOINTISUUN.'!F48+'1. T1 INVESTOINTISUUN.'!F49</f>
        <v>0</v>
      </c>
      <c r="K16" s="597">
        <f>'1. T1 INVESTOINTISUUN.'!G48+'1. T1 INVESTOINTISUUN.'!G49</f>
        <v>0</v>
      </c>
      <c r="M16" s="2035" t="s">
        <v>218</v>
      </c>
      <c r="N16" s="2036"/>
      <c r="O16" s="2037"/>
      <c r="P16" s="596">
        <f t="shared" ref="P16:U16" si="1">P82</f>
        <v>0</v>
      </c>
      <c r="Q16" s="596">
        <f t="shared" si="1"/>
        <v>0</v>
      </c>
      <c r="R16" s="596">
        <f t="shared" si="1"/>
        <v>0</v>
      </c>
      <c r="S16" s="596">
        <f t="shared" si="1"/>
        <v>0</v>
      </c>
      <c r="T16" s="596">
        <f t="shared" si="1"/>
        <v>0</v>
      </c>
      <c r="U16" s="597">
        <f t="shared" si="1"/>
        <v>0</v>
      </c>
    </row>
    <row r="17" spans="1:21" ht="12.75" customHeight="1" x14ac:dyDescent="0.2">
      <c r="A17" s="2"/>
      <c r="B17" s="185" t="s">
        <v>4</v>
      </c>
      <c r="C17" s="1885" t="s">
        <v>356</v>
      </c>
      <c r="D17" s="1885"/>
      <c r="E17" s="212" t="s">
        <v>47</v>
      </c>
      <c r="F17" s="662">
        <v>0</v>
      </c>
      <c r="G17" s="662">
        <v>0</v>
      </c>
      <c r="H17" s="596">
        <f>'4. T7 LAINAT '!F39+IF('3. T3 TASE '!H72-'3. T3 TASE '!G72&gt;0,'3. T3 TASE '!H72-'3. T3 TASE '!G72,0)+IF('3. T3 TASE '!H70-'3. T3 TASE '!G70&gt;0,'3. T3 TASE '!H70-'3. T3 TASE '!G70,0)</f>
        <v>0</v>
      </c>
      <c r="I17" s="596">
        <f>'4. T7 LAINAT '!I39+IF('3. T3 TASE '!I72-'3. T3 TASE '!H72&gt;0,'3. T3 TASE '!I72-'3. T3 TASE '!H72,0)+IF('3. T3 TASE '!I70-'3. T3 TASE '!H70&gt;0,'3. T3 TASE '!I70-'3. T3 TASE '!H70,0)</f>
        <v>0</v>
      </c>
      <c r="J17" s="596">
        <f>'4. T7 LAINAT '!L39+IF('3. T3 TASE '!J72-'3. T3 TASE '!I72&gt;0,'3. T3 TASE '!J72-'3. T3 TASE '!I72,0)+IF('3. T3 TASE '!J70-'3. T3 TASE '!I70&gt;0,'3. T3 TASE '!J70-'3. T3 TASE '!I70,0)</f>
        <v>0</v>
      </c>
      <c r="K17" s="597">
        <f>'4. T7 LAINAT '!O39+IF('3. T3 TASE '!K72-'3. T3 TASE '!J72&gt;0,'3. T3 TASE '!K72-'3. T3 TASE '!J72,0)+IF('3. T3 TASE '!K70-'3. T3 TASE '!J70&gt;0,'3. T3 TASE '!K70-'3. T3 TASE '!J70,0)</f>
        <v>0</v>
      </c>
      <c r="M17" s="155" t="s">
        <v>399</v>
      </c>
      <c r="N17" s="132"/>
      <c r="O17" s="132"/>
      <c r="P17" s="134"/>
      <c r="Q17" s="134"/>
      <c r="R17" s="134"/>
      <c r="S17" s="134"/>
      <c r="T17" s="134"/>
      <c r="U17" s="598"/>
    </row>
    <row r="18" spans="1:21" ht="12.75" customHeight="1" x14ac:dyDescent="0.2">
      <c r="A18" s="46"/>
      <c r="B18" s="185" t="s">
        <v>5</v>
      </c>
      <c r="C18" s="1885" t="s">
        <v>175</v>
      </c>
      <c r="D18" s="1885"/>
      <c r="E18" s="212" t="s">
        <v>47</v>
      </c>
      <c r="F18" s="662">
        <v>0</v>
      </c>
      <c r="G18" s="662">
        <v>0</v>
      </c>
      <c r="H18" s="596">
        <f>'4. T7 LAINAT '!F41</f>
        <v>0</v>
      </c>
      <c r="I18" s="596">
        <f>'4. T7 LAINAT '!I42</f>
        <v>0</v>
      </c>
      <c r="J18" s="596">
        <f>'4. T7 LAINAT '!L43</f>
        <v>0</v>
      </c>
      <c r="K18" s="597">
        <f>'4. T7 LAINAT '!O45</f>
        <v>0</v>
      </c>
      <c r="M18" s="457" t="s">
        <v>421</v>
      </c>
      <c r="N18" s="458"/>
      <c r="O18" s="458"/>
      <c r="P18" s="596">
        <f>'2. &amp; 7. T2 TULOSSUUN. '!E20</f>
        <v>0</v>
      </c>
      <c r="Q18" s="596">
        <f>'2. &amp; 7. T2 TULOSSUUN. '!G20</f>
        <v>0</v>
      </c>
      <c r="R18" s="596">
        <f>'2. &amp; 7. T2 TULOSSUUN. '!I20</f>
        <v>0</v>
      </c>
      <c r="S18" s="596">
        <f>'2. &amp; 7. T2 TULOSSUUN. '!K20</f>
        <v>0</v>
      </c>
      <c r="T18" s="596">
        <f>'2. &amp; 7. T2 TULOSSUUN. '!M20</f>
        <v>0</v>
      </c>
      <c r="U18" s="597">
        <f>'2. &amp; 7. T2 TULOSSUUN. '!O20</f>
        <v>0</v>
      </c>
    </row>
    <row r="19" spans="1:21" ht="12.75" customHeight="1" x14ac:dyDescent="0.2">
      <c r="B19" s="185" t="s">
        <v>6</v>
      </c>
      <c r="C19" s="1885" t="s">
        <v>90</v>
      </c>
      <c r="D19" s="1885"/>
      <c r="E19" s="212" t="s">
        <v>47</v>
      </c>
      <c r="F19" s="662">
        <v>0</v>
      </c>
      <c r="G19" s="662">
        <v>0</v>
      </c>
      <c r="H19" s="596">
        <f>IF('3. T3 TASE '!H76-'3. T3 TASE '!G76&gt;0,'3. T3 TASE '!H76-'3. T3 TASE '!G76,0)+IF('3. T3 TASE '!H77-'3. T3 TASE '!G77&gt;0,'3. T3 TASE '!H77-'3. T3 TASE '!G77,0)</f>
        <v>0</v>
      </c>
      <c r="I19" s="596">
        <f>IF('3. T3 TASE '!I76-'3. T3 TASE '!H76&gt;0,'3. T3 TASE '!I76-'3. T3 TASE '!H76,0)+IF('3. T3 TASE '!I77-'3. T3 TASE '!H77&gt;0,'3. T3 TASE '!I77-'3. T3 TASE '!H77,0)</f>
        <v>0</v>
      </c>
      <c r="J19" s="596">
        <f>IF('3. T3 TASE '!J76-'3. T3 TASE '!I76&gt;0,'3. T3 TASE '!J76-'3. T3 TASE '!I76,0)+IF('3. T3 TASE '!J77-'3. T3 TASE '!I77&gt;0,'3. T3 TASE '!J77-'3. T3 TASE '!I77,0)</f>
        <v>0</v>
      </c>
      <c r="K19" s="597">
        <f>IF('3. T3 TASE '!K76-'3. T3 TASE '!J76&gt;0,'3. T3 TASE '!K76-'3. T3 TASE '!J76,0)+IF('3. T3 TASE '!K77-'3. T3 TASE '!J77&gt;0,'3. T3 TASE '!K77-'3. T3 TASE '!J77,0)</f>
        <v>0</v>
      </c>
      <c r="M19" s="2035" t="s">
        <v>219</v>
      </c>
      <c r="N19" s="2036"/>
      <c r="O19" s="2037"/>
      <c r="P19" s="599">
        <f>'2. &amp; 7. T2 TULOSSUUN. '!F20/100</f>
        <v>0</v>
      </c>
      <c r="Q19" s="599">
        <f>'2. &amp; 7. T2 TULOSSUUN. '!H20/100</f>
        <v>0</v>
      </c>
      <c r="R19" s="599">
        <f>'2. &amp; 7. T2 TULOSSUUN. '!J20/100</f>
        <v>0</v>
      </c>
      <c r="S19" s="599">
        <f>'2. &amp; 7. T2 TULOSSUUN. '!L20/100</f>
        <v>0</v>
      </c>
      <c r="T19" s="599">
        <f>'2. &amp; 7. T2 TULOSSUUN. '!N20/100</f>
        <v>0</v>
      </c>
      <c r="U19" s="600">
        <f>'2. &amp; 7. T2 TULOSSUUN. '!P20/100</f>
        <v>0</v>
      </c>
    </row>
    <row r="20" spans="1:21" ht="25.9" customHeight="1" x14ac:dyDescent="0.2">
      <c r="B20" s="185" t="s">
        <v>7</v>
      </c>
      <c r="C20" s="2073" t="s">
        <v>628</v>
      </c>
      <c r="D20" s="2073"/>
      <c r="E20" s="2073"/>
      <c r="F20" s="2073"/>
      <c r="G20" s="2074"/>
      <c r="H20" s="596">
        <f>'AT1 Avustus, alv-laskenta '!C49+'1. T1 INVESTOINTISUUN.'!D51+'3. T3 TASE '!H34+'3. T3 TASE '!H14+'3. T3 TASE '!H19+'3. T3 TASE '!H22+'3. T3 TASE '!H26+'3. T3 TASE '!H30+'3. T3 TASE '!H68</f>
        <v>0</v>
      </c>
      <c r="I20" s="596">
        <f>'AT1 Avustus, alv-laskenta '!D49+'1. T1 INVESTOINTISUUN.'!E51+'3. T3 TASE '!I34+'3. T3 TASE '!I14+'3. T3 TASE '!I19+'3. T3 TASE '!I22+'3. T3 TASE '!I26+'3. T3 TASE '!I30+'3. T3 TASE '!I68</f>
        <v>0</v>
      </c>
      <c r="J20" s="596">
        <f>'AT1 Avustus, alv-laskenta '!E49+'1. T1 INVESTOINTISUUN.'!F51+'3. T3 TASE '!J34+'3. T3 TASE '!J14+'3. T3 TASE '!J19+'3. T3 TASE '!J22+'3. T3 TASE '!J26+'3. T3 TASE '!J30+'3. T3 TASE '!J68</f>
        <v>0</v>
      </c>
      <c r="K20" s="597">
        <f>'AT1 Avustus, alv-laskenta '!F49+'1. T1 INVESTOINTISUUN.'!G51+'3. T3 TASE '!K34+'3. T3 TASE '!K14+'3. T3 TASE '!K19+'3. T3 TASE '!K22+'3. T3 TASE '!K26+'3. T3 TASE '!K30+'3. T3 TASE '!K68</f>
        <v>0</v>
      </c>
      <c r="M20" s="465" t="s">
        <v>417</v>
      </c>
      <c r="P20" s="707">
        <f>'2. &amp; 7. T2 TULOSSUUN. '!E22</f>
        <v>0</v>
      </c>
      <c r="Q20" s="707">
        <f>'2. &amp; 7. T2 TULOSSUUN. '!G22</f>
        <v>0</v>
      </c>
      <c r="R20" s="707">
        <f>'2. &amp; 7. T2 TULOSSUUN. '!I22</f>
        <v>0</v>
      </c>
      <c r="S20" s="707">
        <f>'2. &amp; 7. T2 TULOSSUUN. '!K22</f>
        <v>0</v>
      </c>
      <c r="T20" s="707">
        <f>'2. &amp; 7. T2 TULOSSUUN. '!M22</f>
        <v>0</v>
      </c>
      <c r="U20" s="708">
        <f>'2. &amp; 7. T2 TULOSSUUN. '!O22</f>
        <v>0</v>
      </c>
    </row>
    <row r="21" spans="1:21" ht="13.5" customHeight="1" thickBot="1" x14ac:dyDescent="0.25">
      <c r="B21" s="302" t="s">
        <v>8</v>
      </c>
      <c r="C21" s="448" t="s">
        <v>17</v>
      </c>
      <c r="D21" s="318"/>
      <c r="E21" s="464"/>
      <c r="F21" s="668">
        <v>0</v>
      </c>
      <c r="G21" s="668">
        <v>0</v>
      </c>
      <c r="H21" s="669">
        <f>SUM(H15:H20)</f>
        <v>0</v>
      </c>
      <c r="I21" s="669">
        <f>SUM(I15:I20)</f>
        <v>0</v>
      </c>
      <c r="J21" s="669">
        <f>SUM(J15:J20)</f>
        <v>0</v>
      </c>
      <c r="K21" s="670">
        <f>SUM(K15:K20)</f>
        <v>0</v>
      </c>
      <c r="M21" s="2035" t="s">
        <v>416</v>
      </c>
      <c r="N21" s="2036"/>
      <c r="O21" s="2037"/>
      <c r="P21" s="599">
        <f>'2. &amp; 7. T2 TULOSSUUN. '!F22/100</f>
        <v>0</v>
      </c>
      <c r="Q21" s="599">
        <f>'2. &amp; 7. T2 TULOSSUUN. '!H22/100</f>
        <v>0</v>
      </c>
      <c r="R21" s="599">
        <f>'2. &amp; 7. T2 TULOSSUUN. '!J22/100</f>
        <v>0</v>
      </c>
      <c r="S21" s="599">
        <f>'2. &amp; 7. T2 TULOSSUUN. '!L22/100</f>
        <v>0</v>
      </c>
      <c r="T21" s="599">
        <f>'2. &amp; 7. T2 TULOSSUUN. '!N22/100</f>
        <v>0</v>
      </c>
      <c r="U21" s="600">
        <f>'2. &amp; 7. T2 TULOSSUUN. '!P22/100</f>
        <v>0</v>
      </c>
    </row>
    <row r="22" spans="1:21" ht="13.5" customHeight="1" thickBot="1" x14ac:dyDescent="0.25">
      <c r="B22" s="263"/>
      <c r="C22" s="264"/>
      <c r="D22" s="265"/>
      <c r="E22" s="265"/>
      <c r="F22" s="263"/>
      <c r="G22" s="671"/>
      <c r="H22" s="672"/>
      <c r="I22" s="672"/>
      <c r="J22" s="672"/>
      <c r="K22" s="673"/>
      <c r="M22" s="2041" t="s">
        <v>508</v>
      </c>
      <c r="N22" s="2042"/>
      <c r="O22" s="2043"/>
      <c r="P22" s="601">
        <f>IF('2. &amp; 7. T2 TULOSSUUN. '!E14=0,0,IF(P21&gt;10%,"Hyvä",IF(P21&lt;5%,"Heikko","Tyydyttävä")))</f>
        <v>0</v>
      </c>
      <c r="Q22" s="601">
        <f>IF(Q21=0,0,IF(Q21&gt;10%,"Hyvä",IF(Q21&lt;5%,"Heikko","Tyydyttävä")))</f>
        <v>0</v>
      </c>
      <c r="R22" s="601">
        <f>IF(R21=0,0,IF(R21&gt;10%,"Hyvä",IF(R21&lt;5%,"Heikko","Tyydyttävä")))</f>
        <v>0</v>
      </c>
      <c r="S22" s="601">
        <f>IF(S21=0,0,IF(S21&gt;10%,"Hyvä",IF(S21&lt;5%,"Heikko","Tyydyttävä")))</f>
        <v>0</v>
      </c>
      <c r="T22" s="601">
        <f>IF(T21=0,0,IF(T21&gt;10%,"Hyvä",IF(T21&lt;5%,"Heikko","Tyydyttävä")))</f>
        <v>0</v>
      </c>
      <c r="U22" s="955">
        <f>IF(U21=0,0,IF(U21&gt;10%,"Hyvä",IF(U21&lt;5%,"Heikko","Tyydyttävä")))</f>
        <v>0</v>
      </c>
    </row>
    <row r="23" spans="1:21" ht="12.75" customHeight="1" x14ac:dyDescent="0.2">
      <c r="B23" s="631" t="s">
        <v>258</v>
      </c>
      <c r="C23" s="411"/>
      <c r="D23" s="410"/>
      <c r="E23" s="150"/>
      <c r="F23" s="674"/>
      <c r="G23" s="674"/>
      <c r="H23" s="675"/>
      <c r="I23" s="675"/>
      <c r="J23" s="675"/>
      <c r="K23" s="676"/>
      <c r="M23" s="1431" t="s">
        <v>220</v>
      </c>
      <c r="N23" s="1432"/>
      <c r="O23" s="1432"/>
      <c r="P23" s="596">
        <f>'2. &amp; 7. T2 TULOSSUUN. '!E31</f>
        <v>0</v>
      </c>
      <c r="Q23" s="596">
        <f>'2. &amp; 7. T2 TULOSSUUN. '!G31</f>
        <v>0</v>
      </c>
      <c r="R23" s="596">
        <f>'2. &amp; 7. T2 TULOSSUUN. '!I31</f>
        <v>0</v>
      </c>
      <c r="S23" s="596">
        <f>'2. &amp; 7. T2 TULOSSUUN. '!K31</f>
        <v>0</v>
      </c>
      <c r="T23" s="596">
        <f>'2. &amp; 7. T2 TULOSSUUN. '!M31</f>
        <v>0</v>
      </c>
      <c r="U23" s="597">
        <f>'2. &amp; 7. T2 TULOSSUUN. '!O31</f>
        <v>0</v>
      </c>
    </row>
    <row r="24" spans="1:21" ht="12.75" customHeight="1" x14ac:dyDescent="0.2">
      <c r="B24" s="185" t="s">
        <v>9</v>
      </c>
      <c r="C24" s="2025" t="s">
        <v>95</v>
      </c>
      <c r="D24" s="2025"/>
      <c r="E24" s="322" t="s">
        <v>47</v>
      </c>
      <c r="F24" s="377"/>
      <c r="G24" s="377"/>
      <c r="H24" s="667">
        <f>'AT1 Avustus, alv-laskenta '!C4</f>
        <v>0</v>
      </c>
      <c r="I24" s="667">
        <f>'AT1 Avustus, alv-laskenta '!D4</f>
        <v>0</v>
      </c>
      <c r="J24" s="667">
        <f>'AT1 Avustus, alv-laskenta '!E4</f>
        <v>0</v>
      </c>
      <c r="K24" s="1325">
        <f>'AT1 Avustus, alv-laskenta '!F4</f>
        <v>0</v>
      </c>
      <c r="M24" s="1431" t="s">
        <v>221</v>
      </c>
      <c r="N24" s="1432"/>
      <c r="O24" s="1432"/>
      <c r="P24" s="599">
        <f>'2. &amp; 7. T2 TULOSSUUN. '!F31/100</f>
        <v>0</v>
      </c>
      <c r="Q24" s="599">
        <f>'2. &amp; 7. T2 TULOSSUUN. '!H31/100</f>
        <v>0</v>
      </c>
      <c r="R24" s="599">
        <f>'2. &amp; 7. T2 TULOSSUUN. '!J31/100</f>
        <v>0</v>
      </c>
      <c r="S24" s="599">
        <f>'2. &amp; 7. T2 TULOSSUUN. '!L31/100</f>
        <v>0</v>
      </c>
      <c r="T24" s="599">
        <f>'2. &amp; 7. T2 TULOSSUUN. '!N31/100</f>
        <v>0</v>
      </c>
      <c r="U24" s="600">
        <f>'2. &amp; 7. T2 TULOSSUUN. '!P31/100</f>
        <v>0</v>
      </c>
    </row>
    <row r="25" spans="1:21" ht="12.75" customHeight="1" x14ac:dyDescent="0.2">
      <c r="B25" s="185" t="s">
        <v>10</v>
      </c>
      <c r="C25" s="1885" t="s">
        <v>96</v>
      </c>
      <c r="D25" s="1885"/>
      <c r="E25" s="212" t="s">
        <v>47</v>
      </c>
      <c r="F25" s="913"/>
      <c r="G25" s="913"/>
      <c r="H25" s="596">
        <f>'AT1 Avustus, alv-laskenta '!C10+'AT1 Avustus, alv-laskenta '!C15</f>
        <v>0</v>
      </c>
      <c r="I25" s="596">
        <f>'AT1 Avustus, alv-laskenta '!D10+'AT1 Avustus, alv-laskenta '!D15</f>
        <v>0</v>
      </c>
      <c r="J25" s="596">
        <f>'AT1 Avustus, alv-laskenta '!E10+'AT1 Avustus, alv-laskenta '!E15</f>
        <v>0</v>
      </c>
      <c r="K25" s="597">
        <f>'AT1 Avustus, alv-laskenta '!F10+'AT1 Avustus, alv-laskenta '!F15</f>
        <v>0</v>
      </c>
      <c r="M25" s="2038" t="s">
        <v>418</v>
      </c>
      <c r="N25" s="2039"/>
      <c r="O25" s="2040"/>
      <c r="P25" s="599">
        <f>IF(P16=0,0,(P23-'2. &amp; 7. T2 TULOSSUUN. '!E27-'2. &amp; 7. T2 TULOSSUUN. '!E25)/'8. T4 RAHOITUSSUUN. '!P16)</f>
        <v>0</v>
      </c>
      <c r="Q25" s="599">
        <f>IF(Q16=0,0,(Q23-'2. &amp; 7. T2 TULOSSUUN. '!G27-'2. &amp; 7. T2 TULOSSUUN. '!G25)/'8. T4 RAHOITUSSUUN. '!Q16)</f>
        <v>0</v>
      </c>
      <c r="R25" s="599">
        <f>IF(R16=0,0,(R23-'2. &amp; 7. T2 TULOSSUUN. '!I27-'2. &amp; 7. T2 TULOSSUUN. '!I25)/'8. T4 RAHOITUSSUUN. '!R16)</f>
        <v>0</v>
      </c>
      <c r="S25" s="599">
        <f>IF(S16=0,0,(S23-'2. &amp; 7. T2 TULOSSUUN. '!K27-'2. &amp; 7. T2 TULOSSUUN. '!K25)/'8. T4 RAHOITUSSUUN. '!S16)</f>
        <v>0</v>
      </c>
      <c r="T25" s="599">
        <f>IF(T16=0,0,(T23-'2. &amp; 7. T2 TULOSSUUN. '!M27-'2. &amp; 7. T2 TULOSSUUN. '!M25)/'8. T4 RAHOITUSSUUN. '!T16)</f>
        <v>0</v>
      </c>
      <c r="U25" s="600">
        <f>IF(U16=0,0,(U23-'2. &amp; 7. T2 TULOSSUUN. '!O27-'2. &amp; 7. T2 TULOSSUUN. '!O25)/'8. T4 RAHOITUSSUUN. '!U16)</f>
        <v>0</v>
      </c>
    </row>
    <row r="26" spans="1:21" ht="12.75" customHeight="1" x14ac:dyDescent="0.2">
      <c r="B26" s="185" t="s">
        <v>11</v>
      </c>
      <c r="C26" s="1885" t="s">
        <v>72</v>
      </c>
      <c r="D26" s="1885"/>
      <c r="E26" s="212" t="s">
        <v>47</v>
      </c>
      <c r="F26" s="913"/>
      <c r="G26" s="913"/>
      <c r="H26" s="596">
        <f>'AT1 Avustus, alv-laskenta '!C23+'AT1 Avustus, alv-laskenta '!C30</f>
        <v>0</v>
      </c>
      <c r="I26" s="596">
        <f>'AT1 Avustus, alv-laskenta '!D23+'AT1 Avustus, alv-laskenta '!D30</f>
        <v>0</v>
      </c>
      <c r="J26" s="596">
        <f>'AT1 Avustus, alv-laskenta '!E23+'AT1 Avustus, alv-laskenta '!E30</f>
        <v>0</v>
      </c>
      <c r="K26" s="597">
        <f>'AT1 Avustus, alv-laskenta '!F23+'AT1 Avustus, alv-laskenta '!F30</f>
        <v>0</v>
      </c>
      <c r="M26" s="2038" t="s">
        <v>599</v>
      </c>
      <c r="N26" s="2039"/>
      <c r="O26" s="2040"/>
      <c r="P26" s="599">
        <f>IF('2. &amp; 7. T2 TULOSSUUN. '!E14=0,0,(('2. &amp; 7. T2 TULOSSUUN. '!E22+'2. &amp; 7. T2 TULOSSUUN. '!E24+'2. &amp; 7. T2 TULOSSUUN. '!E25-'2. &amp; 7. T2 TULOSSUUN. '!E27-'2. &amp; 7. T2 TULOSSUUN. '!E21)/'2. &amp; 7. T2 TULOSSUUN. '!E14))</f>
        <v>0</v>
      </c>
      <c r="Q26" s="599">
        <f>IF('2. &amp; 7. T2 TULOSSUUN. '!G14=0,0,(('2. &amp; 7. T2 TULOSSUUN. '!G22+'2. &amp; 7. T2 TULOSSUUN. '!G24+'2. &amp; 7. T2 TULOSSUUN. '!G25-'2. &amp; 7. T2 TULOSSUUN. '!IG27-'2. &amp; 7. T2 TULOSSUUN. '!G21)/'2. &amp; 7. T2 TULOSSUUN. '!G14))</f>
        <v>0</v>
      </c>
      <c r="R26" s="599">
        <f>IF('2. &amp; 7. T2 TULOSSUUN. '!I14=0,0,(('2. &amp; 7. T2 TULOSSUUN. '!I22+'2. &amp; 7. T2 TULOSSUUN. '!I24+'2. &amp; 7. T2 TULOSSUUN. '!I25-'2. &amp; 7. T2 TULOSSUUN. '!I27-'2. &amp; 7. T2 TULOSSUUN. '!I21)/'2. &amp; 7. T2 TULOSSUUN. '!I14))</f>
        <v>0</v>
      </c>
      <c r="S26" s="599">
        <f>IF('2. &amp; 7. T2 TULOSSUUN. '!K14=0,0,(('2. &amp; 7. T2 TULOSSUUN. '!K22+'2. &amp; 7. T2 TULOSSUUN. '!K24+'2. &amp; 7. T2 TULOSSUUN. '!K25-'2. &amp; 7. T2 TULOSSUUN. '!K27-'2. &amp; 7. T2 TULOSSUUN. '!K21)/'2. &amp; 7. T2 TULOSSUUN. '!K14))</f>
        <v>0</v>
      </c>
      <c r="T26" s="599">
        <f>IF('2. &amp; 7. T2 TULOSSUUN. '!M14=0,0,(('2. &amp; 7. T2 TULOSSUUN. '!M22+'2. &amp; 7. T2 TULOSSUUN. '!M24+'2. &amp; 7. T2 TULOSSUUN. '!M25-'2. &amp; 7. T2 TULOSSUUN. '!M27-'2. &amp; 7. T2 TULOSSUUN. '!M21)/'2. &amp; 7. T2 TULOSSUUN. '!M14))</f>
        <v>0</v>
      </c>
      <c r="U26" s="600">
        <f>IF('2. &amp; 7. T2 TULOSSUUN. '!O14=0,0,(('2. &amp; 7. T2 TULOSSUUN. '!O22+'2. &amp; 7. T2 TULOSSUUN. '!O24+'2. &amp; 7. T2 TULOSSUUN. '!O25-'2. &amp; 7. T2 TULOSSUUN. '!O27-'2. &amp; 7. T2 TULOSSUUN. '!O21)/'2. &amp; 7. T2 TULOSSUUN. '!O14))</f>
        <v>0</v>
      </c>
    </row>
    <row r="27" spans="1:21" ht="12.75" customHeight="1" x14ac:dyDescent="0.2">
      <c r="B27" s="185" t="s">
        <v>115</v>
      </c>
      <c r="C27" s="1885" t="s">
        <v>75</v>
      </c>
      <c r="D27" s="1885"/>
      <c r="E27" s="212" t="s">
        <v>47</v>
      </c>
      <c r="F27" s="913"/>
      <c r="G27" s="913"/>
      <c r="H27" s="596">
        <f>'AT1 Avustus, alv-laskenta '!C36+'AT1 Avustus, alv-laskenta '!C43</f>
        <v>0</v>
      </c>
      <c r="I27" s="596">
        <f>'AT1 Avustus, alv-laskenta '!D36+'AT1 Avustus, alv-laskenta '!D43</f>
        <v>0</v>
      </c>
      <c r="J27" s="596">
        <f>'AT1 Avustus, alv-laskenta '!E36+'AT1 Avustus, alv-laskenta '!E43</f>
        <v>0</v>
      </c>
      <c r="K27" s="597">
        <f>'AT1 Avustus, alv-laskenta '!F36+'AT1 Avustus, alv-laskenta '!F43</f>
        <v>0</v>
      </c>
      <c r="M27" s="1525" t="s">
        <v>508</v>
      </c>
      <c r="N27" s="1526"/>
      <c r="O27" s="1527"/>
      <c r="P27" s="1606">
        <f>IF(P26=0,0,IF(P26&lt;0,"Heikko","Riittävä"))</f>
        <v>0</v>
      </c>
      <c r="Q27" s="1606">
        <f t="shared" ref="Q27:U27" si="2">IF(Q26=0,0,IF(Q26&lt;0,"Heikko","Riittävä"))</f>
        <v>0</v>
      </c>
      <c r="R27" s="1606">
        <f t="shared" si="2"/>
        <v>0</v>
      </c>
      <c r="S27" s="1606">
        <f t="shared" si="2"/>
        <v>0</v>
      </c>
      <c r="T27" s="1606">
        <f t="shared" si="2"/>
        <v>0</v>
      </c>
      <c r="U27" s="1607">
        <f t="shared" si="2"/>
        <v>0</v>
      </c>
    </row>
    <row r="28" spans="1:21" ht="12.75" customHeight="1" x14ac:dyDescent="0.2">
      <c r="B28" s="185" t="s">
        <v>116</v>
      </c>
      <c r="C28" s="1885" t="s">
        <v>360</v>
      </c>
      <c r="D28" s="1885"/>
      <c r="E28" s="309" t="s">
        <v>53</v>
      </c>
      <c r="F28" s="913"/>
      <c r="G28" s="913"/>
      <c r="H28" s="596">
        <f>H61</f>
        <v>0</v>
      </c>
      <c r="I28" s="596">
        <f>I61</f>
        <v>0</v>
      </c>
      <c r="J28" s="596">
        <f>J61</f>
        <v>0</v>
      </c>
      <c r="K28" s="597">
        <f>K61</f>
        <v>0</v>
      </c>
      <c r="M28" s="1433" t="s">
        <v>400</v>
      </c>
      <c r="N28" s="1434"/>
      <c r="O28" s="1435"/>
      <c r="P28" s="134"/>
      <c r="Q28" s="134"/>
      <c r="R28" s="134"/>
      <c r="S28" s="134"/>
      <c r="T28" s="134"/>
      <c r="U28" s="1462"/>
    </row>
    <row r="29" spans="1:21" ht="12.75" customHeight="1" x14ac:dyDescent="0.2">
      <c r="B29" s="185" t="s">
        <v>275</v>
      </c>
      <c r="C29" s="1885" t="s">
        <v>77</v>
      </c>
      <c r="D29" s="1885"/>
      <c r="E29" s="212" t="s">
        <v>47</v>
      </c>
      <c r="F29" s="662"/>
      <c r="G29" s="662"/>
      <c r="H29" s="596">
        <f>'3. T3 TASE '!H46-'3. T3 TASE '!G46</f>
        <v>0</v>
      </c>
      <c r="I29" s="596">
        <f>'3. T3 TASE '!I46-'3. T3 TASE '!H46</f>
        <v>0</v>
      </c>
      <c r="J29" s="596">
        <f>'3. T3 TASE '!J46-'3. T3 TASE '!I46</f>
        <v>0</v>
      </c>
      <c r="K29" s="597">
        <f>'3. T3 TASE '!K46-'3. T3 TASE '!J46</f>
        <v>0</v>
      </c>
      <c r="M29" s="2081" t="s">
        <v>222</v>
      </c>
      <c r="N29" s="2082"/>
      <c r="O29" s="2083"/>
      <c r="P29" s="602">
        <f>IF('3. T3 TASE '!F73=0,0,('3. T3 TASE '!F46+'3. T3 TASE '!F47)/'3. T3 TASE '!F73)</f>
        <v>0</v>
      </c>
      <c r="Q29" s="602">
        <f>IF('3. T3 TASE '!G73=0,0,('3. T3 TASE '!G46+'3. T3 TASE '!G47)/'3. T3 TASE '!G73)</f>
        <v>0</v>
      </c>
      <c r="R29" s="602">
        <f>IF('3. T3 TASE '!H73=0,0,('3. T3 TASE '!H46+'3. T3 TASE '!H47)/'3. T3 TASE '!H73)</f>
        <v>0</v>
      </c>
      <c r="S29" s="602">
        <f>IF('3. T3 TASE '!I73=0,0,('3. T3 TASE '!I46+'3. T3 TASE '!I47)/'3. T3 TASE '!I73)</f>
        <v>0</v>
      </c>
      <c r="T29" s="602">
        <f>IF('3. T3 TASE '!J73=0,0,('3. T3 TASE '!J46+'3. T3 TASE '!J47)/'3. T3 TASE '!J73)</f>
        <v>0</v>
      </c>
      <c r="U29" s="603">
        <f>IF('3. T3 TASE '!K73=0,0,('3. T3 TASE '!K46+'3. T3 TASE '!K47)/'3. T3 TASE '!K73)</f>
        <v>0</v>
      </c>
    </row>
    <row r="30" spans="1:21" ht="12.75" customHeight="1" x14ac:dyDescent="0.2">
      <c r="B30" s="1492" t="s">
        <v>117</v>
      </c>
      <c r="C30" s="2075" t="s">
        <v>355</v>
      </c>
      <c r="D30" s="2075"/>
      <c r="E30" s="212" t="s">
        <v>47</v>
      </c>
      <c r="F30" s="913"/>
      <c r="G30" s="913"/>
      <c r="H30" s="596">
        <f>'4. T7 LAINAT '!F18+'4. T7 LAINAT '!G39</f>
        <v>0</v>
      </c>
      <c r="I30" s="596">
        <f>'4. T7 LAINAT '!I18+'4. T7 LAINAT '!J39</f>
        <v>0</v>
      </c>
      <c r="J30" s="596">
        <f>'4. T7 LAINAT '!L18+'4. T7 LAINAT '!M39</f>
        <v>0</v>
      </c>
      <c r="K30" s="597">
        <f>'4. T7 LAINAT '!O18+'4. T7 LAINAT '!P39</f>
        <v>0</v>
      </c>
      <c r="M30" s="1525" t="s">
        <v>508</v>
      </c>
      <c r="N30" s="1526"/>
      <c r="O30" s="1527"/>
      <c r="P30" s="601">
        <f>IF('3. T3 TASE '!F73=0,0,IF(P29&gt;1,"Hyvä",IF(P29&lt;0.5,"Heikko","Tyydyttävä")))</f>
        <v>0</v>
      </c>
      <c r="Q30" s="601">
        <f>IF('3. T3 TASE '!G73=0,0,IF(Q29&gt;1,"Hyvä",IF(Q29&lt;0.5,"Heikko","Tyydyttävä")))</f>
        <v>0</v>
      </c>
      <c r="R30" s="601">
        <f>IF('3. T3 TASE '!H73=0,0,IF(R29&gt;1,"Hyvä",IF(R29&lt;0.5,"Heikko","Tyydyttävä")))</f>
        <v>0</v>
      </c>
      <c r="S30" s="601">
        <f>IF('3. T3 TASE '!I73=0,0,IF(S29&gt;1,"Hyvä",IF(S29&lt;0.5,"Heikko","Tyydyttävä")))</f>
        <v>0</v>
      </c>
      <c r="T30" s="601">
        <f>IF('3. T3 TASE '!J73=0,0,IF(T29&gt;1,"Hyvä",IF(T29&lt;0.5,"Heikko","Tyydyttävä")))</f>
        <v>0</v>
      </c>
      <c r="U30" s="955">
        <f>IF('3. T3 TASE '!K73=0,0,IF(U29&gt;1,"Hyvä",IF(U29&lt;0.5,"Heikko","Tyydyttävä")))</f>
        <v>0</v>
      </c>
    </row>
    <row r="31" spans="1:21" ht="12.75" customHeight="1" x14ac:dyDescent="0.2">
      <c r="B31" s="185" t="s">
        <v>118</v>
      </c>
      <c r="C31" s="487" t="s">
        <v>364</v>
      </c>
      <c r="D31" s="487"/>
      <c r="E31" s="212" t="s">
        <v>47</v>
      </c>
      <c r="F31" s="913"/>
      <c r="G31" s="913"/>
      <c r="H31" s="596">
        <f>-IF('3. T3 TASE '!H59-'3. T3 TASE '!G59&lt;0,'3. T3 TASE '!H59-'3. T3 TASE '!G59,0)</f>
        <v>0</v>
      </c>
      <c r="I31" s="596">
        <f>-IF('3. T3 TASE '!I59-'3. T3 TASE '!H59&lt;0,'3. T3 TASE '!I59-'3. T3 TASE '!H59,0)</f>
        <v>0</v>
      </c>
      <c r="J31" s="596">
        <f>-IF('3. T3 TASE '!J59-'3. T3 TASE '!I59&lt;0,'3. T3 TASE '!J59-'3. T3 TASE '!I59,0)</f>
        <v>0</v>
      </c>
      <c r="K31" s="597">
        <f>-IF('3. T3 TASE '!K59-'3. T3 TASE '!J59&lt;0,'3. T3 TASE '!K59-'3. T3 TASE '!J59,0)</f>
        <v>0</v>
      </c>
      <c r="M31" s="2038" t="s">
        <v>223</v>
      </c>
      <c r="N31" s="2039"/>
      <c r="O31" s="2040"/>
      <c r="P31" s="602">
        <f>IF('3. T3 TASE '!F73=0,0,('3. T3 TASE '!F37+'3. T3 TASE '!F46+'3. T3 TASE '!F47)/'3. T3 TASE '!F73)</f>
        <v>0</v>
      </c>
      <c r="Q31" s="602">
        <f>IF('3. T3 TASE '!G73=0,0,('3. T3 TASE '!G37+'3. T3 TASE '!G46+'3. T3 TASE '!G47)/'3. T3 TASE '!G73)</f>
        <v>0</v>
      </c>
      <c r="R31" s="602">
        <f>IF('3. T3 TASE '!H73=0,0,('3. T3 TASE '!H37+'3. T3 TASE '!H46+'3. T3 TASE '!H47)/'3. T3 TASE '!H73)</f>
        <v>0</v>
      </c>
      <c r="S31" s="602">
        <f>IF('3. T3 TASE '!I73=0,0,('3. T3 TASE '!I37+'3. T3 TASE '!I46+'3. T3 TASE '!I47)/'3. T3 TASE '!I73)</f>
        <v>0</v>
      </c>
      <c r="T31" s="602">
        <f>IF('3. T3 TASE '!J73=0,0,('3. T3 TASE '!J37+'3. T3 TASE '!J46+'3. T3 TASE '!J47)/'3. T3 TASE '!J73)</f>
        <v>0</v>
      </c>
      <c r="U31" s="603">
        <f>IF('3. T3 TASE '!K73=0,0,('3. T3 TASE '!K37+'3. T3 TASE '!K46+'3. T3 TASE '!K47)/'3. T3 TASE '!K73)</f>
        <v>0</v>
      </c>
    </row>
    <row r="32" spans="1:21" ht="12.75" customHeight="1" x14ac:dyDescent="0.2">
      <c r="B32" s="185" t="s">
        <v>119</v>
      </c>
      <c r="C32" s="487" t="s">
        <v>354</v>
      </c>
      <c r="D32" s="487"/>
      <c r="E32" s="212" t="s">
        <v>47</v>
      </c>
      <c r="F32" s="913"/>
      <c r="G32" s="913"/>
      <c r="H32" s="596">
        <f>-IF('3. T3 TASE '!H67-'3. T3 TASE '!G67&lt;0,'3. T3 TASE '!H67-'3. T3 TASE '!G67+'3. T3 TASE '!H68,0)</f>
        <v>0</v>
      </c>
      <c r="I32" s="596">
        <f>-IF('3. T3 TASE '!I67-'3. T3 TASE '!H67&lt;0,'3. T3 TASE '!I67-'3. T3 TASE '!H67+'3. T3 TASE '!I68,0)</f>
        <v>0</v>
      </c>
      <c r="J32" s="596">
        <f>-IF('3. T3 TASE '!J67-'3. T3 TASE '!I67&lt;0,'3. T3 TASE '!J67-'3. T3 TASE '!I67+'3. T3 TASE '!J68,0)</f>
        <v>0</v>
      </c>
      <c r="K32" s="597">
        <f>-IF('3. T3 TASE '!K67-'3. T3 TASE '!J67&lt;0,'3. T3 TASE '!K67-'3. T3 TASE '!J67+'3. T3 TASE '!K68,0)</f>
        <v>0</v>
      </c>
      <c r="M32" s="1525" t="s">
        <v>508</v>
      </c>
      <c r="N32" s="1526"/>
      <c r="O32" s="1527"/>
      <c r="P32" s="601">
        <f>IF('3. T3 TASE '!F73=0,0,IF(P31&gt;2,"Hyvä",IF(P31&lt;1,"Heikko","Tyydyttävä")))</f>
        <v>0</v>
      </c>
      <c r="Q32" s="601">
        <f>IF('3. T3 TASE '!G73=0,0,IF(Q31&gt;2,"Hyvä",IF(Q31&lt;1,"Heikko","Tyydyttävä")))</f>
        <v>0</v>
      </c>
      <c r="R32" s="601">
        <f>IF('3. T3 TASE '!H73=0,0,IF(R31&gt;2,"Hyvä",IF(R31&lt;1,"Heikko","Tyydyttävä")))</f>
        <v>0</v>
      </c>
      <c r="S32" s="601">
        <f>IF('3. T3 TASE '!I73=0,0,IF(S31&gt;2,"Hyvä",IF(S31&lt;1,"Heikko","Tyydyttävä")))</f>
        <v>0</v>
      </c>
      <c r="T32" s="601">
        <f>IF('3. T3 TASE '!J73=0,0,IF(T31&gt;2,"Hyvä",IF(T31&lt;1,"Heikko","Tyydyttävä")))</f>
        <v>0</v>
      </c>
      <c r="U32" s="955">
        <f>IF('3. T3 TASE '!K73=0,0,IF(U31&gt;2,"Hyvä",IF(U31&lt;1,"Heikko","Tyydyttävä")))</f>
        <v>0</v>
      </c>
    </row>
    <row r="33" spans="2:26" ht="12.75" customHeight="1" x14ac:dyDescent="0.2">
      <c r="B33" s="185" t="s">
        <v>120</v>
      </c>
      <c r="C33" s="2075" t="s">
        <v>370</v>
      </c>
      <c r="D33" s="2075"/>
      <c r="E33" s="212" t="s">
        <v>47</v>
      </c>
      <c r="F33" s="913"/>
      <c r="G33" s="913"/>
      <c r="H33" s="596">
        <f>-IF('3. T3 TASE '!H70-'3. T3 TASE '!G70&lt;0,'3. T3 TASE '!H70-'3. T3 TASE '!G70,0)</f>
        <v>0</v>
      </c>
      <c r="I33" s="596">
        <f>-IF('3. T3 TASE '!I70-'3. T3 TASE '!H70&lt;0,'3. T3 TASE '!I70-'3. T3 TASE '!H70,0)</f>
        <v>0</v>
      </c>
      <c r="J33" s="596">
        <f>-IF('3. T3 TASE '!J70-'3. T3 TASE '!I70&lt;0,'3. T3 TASE '!J70-'3. T3 TASE '!I70,0)</f>
        <v>0</v>
      </c>
      <c r="K33" s="597">
        <f>-IF('3. T3 TASE '!K70-'3. T3 TASE '!J70&lt;0,'3. T3 TASE '!K70-'3. T3 TASE '!J70,0)</f>
        <v>0</v>
      </c>
      <c r="M33" s="2038" t="s">
        <v>318</v>
      </c>
      <c r="N33" s="2039"/>
      <c r="O33" s="2040"/>
      <c r="P33" s="1608"/>
      <c r="Q33" s="1609">
        <f>IF(G15=0,0,('3. T3 TASE '!G65/'8. T4 RAHOITUSSUUN. '!G15))</f>
        <v>0</v>
      </c>
      <c r="R33" s="602">
        <f>IF(H15=0,0,('AT2 Lainat,sotum., alv-osto'!O14+'AT2 Lainat,sotum., alv-osto'!O28)/'8. T4 RAHOITUSSUUN. '!H15)</f>
        <v>0</v>
      </c>
      <c r="S33" s="602">
        <f>IF(I15=0,0,('AT2 Lainat,sotum., alv-osto'!U14+'AT2 Lainat,sotum., alv-osto'!U28)/'8. T4 RAHOITUSSUUN. '!I15)</f>
        <v>0</v>
      </c>
      <c r="T33" s="602">
        <f>IF(J15=0,0,('AT2 Lainat,sotum., alv-osto'!AA14+'AT2 Lainat,sotum., alv-osto'!AA28)/'8. T4 RAHOITUSSUUN. '!J15)</f>
        <v>0</v>
      </c>
      <c r="U33" s="603">
        <f>IF(K15=0,0,('AT2 Lainat,sotum., alv-osto'!AG14+'AT2 Lainat,sotum., alv-osto'!AG28)/'8. T4 RAHOITUSSUUN. '!K15)</f>
        <v>0</v>
      </c>
    </row>
    <row r="34" spans="2:26" ht="12.75" customHeight="1" x14ac:dyDescent="0.2">
      <c r="B34" s="185" t="s">
        <v>121</v>
      </c>
      <c r="C34" s="2075" t="s">
        <v>357</v>
      </c>
      <c r="D34" s="2075"/>
      <c r="E34" s="212" t="s">
        <v>47</v>
      </c>
      <c r="F34" s="913"/>
      <c r="G34" s="913"/>
      <c r="H34" s="596">
        <f>-IF('3. T3 TASE '!H72-'3. T3 TASE '!G72&lt;0,'3. T3 TASE '!H72-'3. T3 TASE '!G72,0)</f>
        <v>0</v>
      </c>
      <c r="I34" s="596">
        <f>-IF('3. T3 TASE '!I72-'3. T3 TASE '!H72&lt;0,'3. T3 TASE '!I72-'3. T3 TASE '!H72,0)</f>
        <v>0</v>
      </c>
      <c r="J34" s="596">
        <f>-IF('3. T3 TASE '!J72-'3. T3 TASE '!I72&lt;0,'3. T3 TASE '!J72-'3. T3 TASE '!I72,0)</f>
        <v>0</v>
      </c>
      <c r="K34" s="597">
        <f>-IF('3. T3 TASE '!K72-'3. T3 TASE '!J72&lt;0,'3. T3 TASE '!K72-'3. T3 TASE '!J72,0)</f>
        <v>0</v>
      </c>
      <c r="M34" s="2038" t="s">
        <v>237</v>
      </c>
      <c r="N34" s="2039"/>
      <c r="O34" s="2040"/>
      <c r="P34" s="604"/>
      <c r="Q34" s="602">
        <f>IF('2. &amp; 7. T2 TULOSSUUN. '!G25+'3. T3 TASE '!G75=0,0,(G15-'2. &amp; 7. T2 TULOSSUUN. '!G25)/(-'2. &amp; 7. T2 TULOSSUUN. '!G25+'3. T3 TASE '!G75))</f>
        <v>0</v>
      </c>
      <c r="R34" s="602">
        <f>IF(-'2. &amp; 7. T2 TULOSSUUN. '!I25+'4. T7 LAINAT '!F18+'4. T7 LAINAT '!G39=0,0,(H15-'2. &amp; 7. T2 TULOSSUUN. '!I25)/(-'2. &amp; 7. T2 TULOSSUUN. '!I25+'4. T7 LAINAT '!F18+'4. T7 LAINAT '!G39))</f>
        <v>0</v>
      </c>
      <c r="S34" s="602">
        <f>IF(-'2. &amp; 7. T2 TULOSSUUN. '!K25+'4. T7 LAINAT '!I18+'4. T7 LAINAT '!J39=0,0,(I15-'2. &amp; 7. T2 TULOSSUUN. '!K25)/(-'2. &amp; 7. T2 TULOSSUUN. '!K25+'4. T7 LAINAT '!I18+'4. T7 LAINAT '!J39))</f>
        <v>0</v>
      </c>
      <c r="T34" s="602">
        <f>IF(-'2. &amp; 7. T2 TULOSSUUN. '!M25+'4. T7 LAINAT '!L18+'4. T7 LAINAT '!M39=0,0,(J15-'2. &amp; 7. T2 TULOSSUUN. '!M25)/(-'2. &amp; 7. T2 TULOSSUUN. '!M25+'4. T7 LAINAT '!L18+'4. T7 LAINAT '!M39))</f>
        <v>0</v>
      </c>
      <c r="U34" s="603">
        <f>IF(-'2. &amp; 7. T2 TULOSSUUN. '!O25+'4. T7 LAINAT '!O18+'4. T7 LAINAT '!P39=0,0,(-'2. &amp; 7. T2 TULOSSUUN. '!O25+'8. T4 RAHOITUSSUUN. '!K15)/(-'2. &amp; 7. T2 TULOSSUUN. '!O25+'4. T7 LAINAT '!O18+'4. T7 LAINAT '!P39))</f>
        <v>0</v>
      </c>
    </row>
    <row r="35" spans="2:26" ht="12.75" customHeight="1" x14ac:dyDescent="0.2">
      <c r="B35" s="185" t="s">
        <v>122</v>
      </c>
      <c r="C35" s="1885" t="s">
        <v>548</v>
      </c>
      <c r="D35" s="1885"/>
      <c r="E35" s="309" t="s">
        <v>53</v>
      </c>
      <c r="F35" s="913"/>
      <c r="G35" s="913"/>
      <c r="H35" s="609">
        <v>0</v>
      </c>
      <c r="I35" s="609">
        <v>0</v>
      </c>
      <c r="J35" s="609">
        <v>0</v>
      </c>
      <c r="K35" s="610">
        <v>0</v>
      </c>
      <c r="M35" s="1525" t="s">
        <v>508</v>
      </c>
      <c r="N35" s="1526"/>
      <c r="O35" s="1527"/>
      <c r="P35" s="605"/>
      <c r="Q35" s="601">
        <f>IF('2. &amp; 7. T2 TULOSSUUN. '!G25+'3. T3 TASE '!G75=0,0,IF(Q34&gt;2,"Hyvä",IF(Q34&lt;1,"Heikko","Tyydyttävä")))</f>
        <v>0</v>
      </c>
      <c r="R35" s="601">
        <f>IF('2. &amp; 7. T2 TULOSSUUN. '!I25+'4. T7 LAINAT '!F18+'4. T7 LAINAT '!G39=0,0,IF(R34&gt;2,"Hyvä",IF(R34&lt;1,"Heikko","Tyydyttävä")))</f>
        <v>0</v>
      </c>
      <c r="S35" s="601">
        <f>IF('2. &amp; 7. T2 TULOSSUUN. '!K25+'4. T7 LAINAT '!I18+'4. T7 LAINAT '!J39=0,0,IF(S34&gt;2,"Hyvä",IF(S34&lt;1,"Heikko","Tyydyttävä")))</f>
        <v>0</v>
      </c>
      <c r="T35" s="601">
        <f>IF('2. &amp; 7. T2 TULOSSUUN. '!M25+'4. T7 LAINAT '!L18+'4. T7 LAINAT '!M39=0,0,IF(T34&gt;2,"Hyvä",IF(T34&lt;1,"Heikko","Tyydyttävä")))</f>
        <v>0</v>
      </c>
      <c r="U35" s="955">
        <f>IF('2. &amp; 7. T2 TULOSSUUN. '!O25+'4. T7 LAINAT '!O18+'4. T7 LAINAT '!P39=0,0,IF(U34&gt;2,"Hyvä",IF(U34&lt;1,"Heikko","Tyydyttävä")))</f>
        <v>0</v>
      </c>
    </row>
    <row r="36" spans="2:26" ht="12.75" customHeight="1" x14ac:dyDescent="0.2">
      <c r="B36" s="185" t="s">
        <v>338</v>
      </c>
      <c r="C36" s="1885" t="s">
        <v>174</v>
      </c>
      <c r="D36" s="1885"/>
      <c r="E36" s="212" t="s">
        <v>47</v>
      </c>
      <c r="F36" s="913"/>
      <c r="G36" s="913"/>
      <c r="H36" s="596">
        <f>'4. T7 LAINAT '!$F$19+'4. T7 LAINAT '!G45</f>
        <v>0</v>
      </c>
      <c r="I36" s="596">
        <f>'4. T7 LAINAT '!I19+'4. T7 LAINAT '!J45</f>
        <v>0</v>
      </c>
      <c r="J36" s="596">
        <f>'4. T7 LAINAT '!L19+'4. T7 LAINAT '!M45</f>
        <v>0</v>
      </c>
      <c r="K36" s="597">
        <f>'4. T7 LAINAT '!O19+'4. T7 LAINAT '!P45</f>
        <v>0</v>
      </c>
      <c r="M36" s="155" t="s">
        <v>401</v>
      </c>
      <c r="N36" s="132"/>
      <c r="O36" s="132"/>
      <c r="P36" s="134"/>
      <c r="Q36" s="134"/>
      <c r="R36" s="134"/>
      <c r="S36" s="134"/>
      <c r="T36" s="134"/>
      <c r="U36" s="598"/>
    </row>
    <row r="37" spans="2:26" ht="12.75" customHeight="1" x14ac:dyDescent="0.2">
      <c r="B37" s="185" t="s">
        <v>358</v>
      </c>
      <c r="C37" s="1885" t="s">
        <v>254</v>
      </c>
      <c r="D37" s="1885"/>
      <c r="E37" s="309" t="s">
        <v>53</v>
      </c>
      <c r="F37" s="913"/>
      <c r="G37" s="913"/>
      <c r="H37" s="596">
        <f>'3. T3 TASE '!H82+'3. T3 TASE '!H89-'3. T3 TASE '!G82-'3. T3 TASE '!G89</f>
        <v>0</v>
      </c>
      <c r="I37" s="596">
        <f>'3. T3 TASE '!I82+'3. T3 TASE '!I89-'3. T3 TASE '!H82-'3. T3 TASE '!H89</f>
        <v>0</v>
      </c>
      <c r="J37" s="596">
        <f>'3. T3 TASE '!J82+'3. T3 TASE '!J89-'3. T3 TASE '!I82-'3. T3 TASE '!I89</f>
        <v>0</v>
      </c>
      <c r="K37" s="597">
        <f>'3. T3 TASE '!K82+'3. T3 TASE '!K89-'3. T3 TASE '!J82-'3. T3 TASE '!J89</f>
        <v>0</v>
      </c>
      <c r="M37" s="2044" t="s">
        <v>225</v>
      </c>
      <c r="N37" s="2045"/>
      <c r="O37" s="2046"/>
      <c r="P37" s="599">
        <f>IF('3. T3 TASE '!F96=0,0,IF('3. T3 TASE '!F96&lt;0,0,'3. T3 TASE '!F54/('3. T3 TASE '!F96-'3. T3 TASE '!F94)))</f>
        <v>0</v>
      </c>
      <c r="Q37" s="599">
        <f>IF('3. T3 TASE '!G96=0,0,IF('3. T3 TASE '!G96&lt;0,0,'3. T3 TASE '!G54/('3. T3 TASE '!G96-'3. T3 TASE '!G94)))</f>
        <v>0</v>
      </c>
      <c r="R37" s="599">
        <f>IF('3. T3 TASE '!H96=0,0,IF('3. T3 TASE '!H96&lt;0,0,'3. T3 TASE '!H54/('3. T3 TASE '!H96-'3. T3 TASE '!H94)))</f>
        <v>0</v>
      </c>
      <c r="S37" s="599">
        <f>IF('3. T3 TASE '!I96=0,0,IF('3. T3 TASE '!I96&lt;0,0,'3. T3 TASE '!I54/('3. T3 TASE '!I96-'3. T3 TASE '!I94)))</f>
        <v>0</v>
      </c>
      <c r="T37" s="599">
        <f>IF('3. T3 TASE '!J96=0,0,IF('3. T3 TASE '!J96&lt;0,0,'3. T3 TASE '!J54/('3. T3 TASE '!J96-'3. T3 TASE '!J94)))</f>
        <v>0</v>
      </c>
      <c r="U37" s="600">
        <f>IF('3. T3 TASE '!K96=0,0,IF('3. T3 TASE '!K96&lt;0,0,'3. T3 TASE '!K54/('3. T3 TASE '!K96-'3. T3 TASE '!K94)))</f>
        <v>0</v>
      </c>
    </row>
    <row r="38" spans="2:26" ht="12.75" customHeight="1" x14ac:dyDescent="0.2">
      <c r="B38" s="185" t="s">
        <v>361</v>
      </c>
      <c r="C38" s="1885" t="s">
        <v>78</v>
      </c>
      <c r="D38" s="1885"/>
      <c r="E38" s="212" t="s">
        <v>47</v>
      </c>
      <c r="F38" s="662"/>
      <c r="G38" s="662"/>
      <c r="H38" s="596">
        <f>-IF('3. T3 TASE '!H76-'3. T3 TASE '!G76&lt;0,'3. T3 TASE '!H76-'3. T3 TASE '!G76,0)-IF('3. T3 TASE '!H77-'3. T3 TASE '!G77&lt;0,'3. T3 TASE '!H77-'3. T3 TASE '!G77,0)</f>
        <v>0</v>
      </c>
      <c r="I38" s="596">
        <f>-IF('3. T3 TASE '!I76-'3. T3 TASE '!H76&lt;0,'3. T3 TASE '!I76-'3. T3 TASE '!H76,0)-IF('3. T3 TASE '!I77-'3. T3 TASE '!H77&lt;0,'3. T3 TASE '!I77-'3. T3 TASE '!H77,0)</f>
        <v>0</v>
      </c>
      <c r="J38" s="596">
        <f>-IF('3. T3 TASE '!J76-'3. T3 TASE '!I76&lt;0,'3. T3 TASE '!J76-'3. T3 TASE '!I76,0)-IF('3. T3 TASE '!J77-'3. T3 TASE '!I77&lt;0,'3. T3 TASE '!J77-'3. T3 TASE '!I77,0)</f>
        <v>0</v>
      </c>
      <c r="K38" s="597">
        <f>-IF('3. T3 TASE '!K76-'3. T3 TASE '!J76&lt;0,'3. T3 TASE '!K76-'3. T3 TASE '!J76,0)-IF('3. T3 TASE '!K77-'3. T3 TASE '!J77&lt;0,'3. T3 TASE '!K77-'3. T3 TASE '!J77,0)</f>
        <v>0</v>
      </c>
      <c r="M38" s="1525" t="s">
        <v>508</v>
      </c>
      <c r="N38" s="1526"/>
      <c r="O38" s="1527"/>
      <c r="P38" s="601">
        <f>IF('3. T3 TASE '!F96=0,0,IF(P37&gt;40%,"Hyvä",IF(P37&lt;20%,"Heikko","Tyydyttävä")))</f>
        <v>0</v>
      </c>
      <c r="Q38" s="601">
        <f>IF('3. T3 TASE '!G96=0,0,IF(Q37&gt;40%,"Hyvä",IF(Q37&lt;20%,"Heikko","Tyydyttävä")))</f>
        <v>0</v>
      </c>
      <c r="R38" s="601">
        <f>IF('3. T3 TASE '!H96=0,0,IF(R37&gt;40%,"Hyvä",IF(R37&lt;20%,"Heikko","Tyydyttävä")))</f>
        <v>0</v>
      </c>
      <c r="S38" s="601">
        <f>IF('3. T3 TASE '!I96=0,0,IF(S37&gt;40%,"Hyvä",IF(S37&lt;20%,"Heikko","Tyydyttävä")))</f>
        <v>0</v>
      </c>
      <c r="T38" s="601">
        <f>IF('3. T3 TASE '!J96=0,0,IF(T37&gt;40%,"Hyvä",IF(T37&lt;20%,"Heikko","Tyydyttävä")))</f>
        <v>0</v>
      </c>
      <c r="U38" s="955">
        <f>IF('3. T3 TASE '!K96=0,0,IF(U37&gt;40%,"Hyvä",IF(U37&lt;20%,"Heikko","Tyydyttävä")))</f>
        <v>0</v>
      </c>
      <c r="W38" s="281"/>
    </row>
    <row r="39" spans="2:26" ht="12.75" customHeight="1" x14ac:dyDescent="0.2">
      <c r="B39" s="185" t="s">
        <v>362</v>
      </c>
      <c r="C39" s="1885" t="s">
        <v>523</v>
      </c>
      <c r="D39" s="1885"/>
      <c r="E39" s="212" t="s">
        <v>47</v>
      </c>
      <c r="F39" s="913"/>
      <c r="G39" s="913"/>
      <c r="H39" s="609">
        <f>R52</f>
        <v>0</v>
      </c>
      <c r="I39" s="609">
        <f>S52</f>
        <v>0</v>
      </c>
      <c r="J39" s="609">
        <f>T52</f>
        <v>0</v>
      </c>
      <c r="K39" s="610">
        <f>U52</f>
        <v>0</v>
      </c>
      <c r="M39" s="2035" t="s">
        <v>365</v>
      </c>
      <c r="N39" s="2036"/>
      <c r="O39" s="2037"/>
      <c r="P39" s="606">
        <f t="shared" ref="P39:U39" si="3">IF(P80=0,0,(P93-P94)/P76)</f>
        <v>0</v>
      </c>
      <c r="Q39" s="606">
        <f t="shared" si="3"/>
        <v>0</v>
      </c>
      <c r="R39" s="1015">
        <f t="shared" si="3"/>
        <v>0</v>
      </c>
      <c r="S39" s="1015">
        <f t="shared" si="3"/>
        <v>0</v>
      </c>
      <c r="T39" s="1015">
        <f t="shared" si="3"/>
        <v>0</v>
      </c>
      <c r="U39" s="1022">
        <f t="shared" si="3"/>
        <v>0</v>
      </c>
    </row>
    <row r="40" spans="2:26" ht="12.75" customHeight="1" x14ac:dyDescent="0.2">
      <c r="B40" s="185" t="s">
        <v>544</v>
      </c>
      <c r="C40" s="1885" t="s">
        <v>148</v>
      </c>
      <c r="D40" s="1885"/>
      <c r="E40" s="309" t="s">
        <v>47</v>
      </c>
      <c r="F40" s="662"/>
      <c r="G40" s="662"/>
      <c r="H40" s="596">
        <f>'3. T3 TASE '!H33</f>
        <v>0</v>
      </c>
      <c r="I40" s="596">
        <f>'3. T3 TASE '!I33</f>
        <v>0</v>
      </c>
      <c r="J40" s="596">
        <f>'3. T3 TASE '!J33</f>
        <v>0</v>
      </c>
      <c r="K40" s="597">
        <f>'3. T3 TASE '!K33</f>
        <v>0</v>
      </c>
      <c r="M40" s="1617" t="s">
        <v>508</v>
      </c>
      <c r="N40" s="1616"/>
      <c r="O40" s="343"/>
      <c r="P40" s="601" t="str">
        <f>IF('3. T3 TASE '!F96=0,"",IF('3. T3 TASE '!F54&lt;0,"Heikko",IF(P39&lt;0,"Nettovelaton",IF(P39&gt;1,"","Hyvä"))))</f>
        <v/>
      </c>
      <c r="Q40" s="601" t="str">
        <f>IF('3. T3 TASE '!G96=0,"",IF('3. T3 TASE '!G54&lt;0,"Heikko",IF(Q39&lt;0,"Nettovelaton",IF(Q39&gt;1,"","Hyvä"))))</f>
        <v/>
      </c>
      <c r="R40" s="601" t="str">
        <f>IF('3. T3 TASE '!H96=0,"",IF('3. T3 TASE '!H54&lt;0,"Heikko",IF(R39&lt;0,"Nettovelaton",IF(R39&gt;1,"","Hyvä"))))</f>
        <v/>
      </c>
      <c r="S40" s="601" t="str">
        <f>IF('3. T3 TASE '!I96=0,"",IF('3. T3 TASE '!I54&lt;0,"Heikko",IF(S39&lt;0,"Nettovelaton",IF(S39&gt;1,"","Hyvä"))))</f>
        <v/>
      </c>
      <c r="T40" s="601" t="str">
        <f>IF('3. T3 TASE '!J96=0,"",IF('3. T3 TASE '!J54&lt;0,"Heikko",IF(T39&lt;0,"Nettovelaton",IF(T39&gt;1,"","Hyvä"))))</f>
        <v/>
      </c>
      <c r="U40" s="955" t="str">
        <f>IF('3. T3 TASE '!K96=0,"",IF('3. T3 TASE '!K54&lt;0,"Heikko",IF(U39&lt;0,"Nettovelaton",IF(U39&gt;1,"","Hyvä"))))</f>
        <v/>
      </c>
    </row>
    <row r="41" spans="2:26" ht="12.75" customHeight="1" x14ac:dyDescent="0.2">
      <c r="B41" s="185" t="s">
        <v>560</v>
      </c>
      <c r="C41" s="295" t="s">
        <v>17</v>
      </c>
      <c r="D41" s="288"/>
      <c r="E41" s="414"/>
      <c r="F41" s="913"/>
      <c r="G41" s="913"/>
      <c r="H41" s="596">
        <f>H24+H25+H26+H27+H28+H29+H30+H36-H37+H38+H39+H40+H35+H31+H32+H33+H34</f>
        <v>0</v>
      </c>
      <c r="I41" s="596">
        <f>I24+I25+I26+I27+I28+I29+I30+I36-I37+I38+I39+I40+I35+I31+I32+I33+I34</f>
        <v>0</v>
      </c>
      <c r="J41" s="596">
        <f>J24+J25+J26+J27+J28+J29+J30+J36-J37+J38+J39+J40+J35+J31+J32+J33+J34</f>
        <v>0</v>
      </c>
      <c r="K41" s="597">
        <f>K24+K25+K26+K27+K28+K29+K30+K36-K37+K38+K39+K40+K35+K31+K32+K33+K34</f>
        <v>0</v>
      </c>
      <c r="M41" s="317" t="s">
        <v>402</v>
      </c>
      <c r="N41" s="120"/>
      <c r="O41" s="120"/>
      <c r="P41" s="238"/>
      <c r="Q41" s="238"/>
      <c r="R41" s="238"/>
      <c r="S41" s="238"/>
      <c r="T41" s="238"/>
      <c r="U41" s="1610"/>
    </row>
    <row r="42" spans="2:26" ht="12.75" customHeight="1" thickBot="1" x14ac:dyDescent="0.25">
      <c r="B42" s="310" t="s">
        <v>561</v>
      </c>
      <c r="C42" s="415" t="s">
        <v>359</v>
      </c>
      <c r="D42" s="415"/>
      <c r="E42" s="416"/>
      <c r="F42" s="677"/>
      <c r="G42" s="677"/>
      <c r="H42" s="678">
        <f>H21-H41</f>
        <v>0</v>
      </c>
      <c r="I42" s="678">
        <f>I21-I41</f>
        <v>0</v>
      </c>
      <c r="J42" s="678">
        <f>J21-J41</f>
        <v>0</v>
      </c>
      <c r="K42" s="679">
        <f>K21-K41</f>
        <v>0</v>
      </c>
      <c r="M42" s="2044" t="s">
        <v>238</v>
      </c>
      <c r="N42" s="2045"/>
      <c r="O42" s="2046"/>
      <c r="P42" s="604"/>
      <c r="Q42" s="604"/>
      <c r="R42" s="596">
        <f>('5. E1 KUSTANNUKSET '!F11+'5. E1 KUSTANNUKSET '!F32-'5. E1 KUSTANNUKSET '!F38+'5. E1 KUSTANNUKSET '!F39)/'2. &amp; 7. T2 TULOSSUUN. '!I33</f>
        <v>0</v>
      </c>
      <c r="S42" s="596">
        <f>('5. E1 KUSTANNUKSET '!H11+'5. E1 KUSTANNUKSET '!H32-'5. E1 KUSTANNUKSET '!H38+'5. E1 KUSTANNUKSET '!H39)/'2. &amp; 7. T2 TULOSSUUN. '!K33</f>
        <v>0</v>
      </c>
      <c r="T42" s="596">
        <f>('5. E1 KUSTANNUKSET '!J11+'5. E1 KUSTANNUKSET '!J32-'5. E1 KUSTANNUKSET '!J38+'5. E1 KUSTANNUKSET '!J39)/'2. &amp; 7. T2 TULOSSUUN. '!M33</f>
        <v>0</v>
      </c>
      <c r="U42" s="597">
        <f>('5. E1 KUSTANNUKSET '!L11+'5. E1 KUSTANNUKSET '!L32-'5. E1 KUSTANNUKSET '!L38+'5. E1 KUSTANNUKSET '!L39)/'2. &amp; 7. T2 TULOSSUUN. '!O33</f>
        <v>0</v>
      </c>
    </row>
    <row r="43" spans="2:26" ht="12.75" customHeight="1" thickBot="1" x14ac:dyDescent="0.25">
      <c r="B43" s="185" t="s">
        <v>562</v>
      </c>
      <c r="C43" s="323" t="s">
        <v>73</v>
      </c>
      <c r="D43" s="412">
        <v>0</v>
      </c>
      <c r="E43" s="324"/>
      <c r="F43" s="680">
        <f>'3. T3 TASE '!F47</f>
        <v>0</v>
      </c>
      <c r="G43" s="680">
        <f>'3. T3 TASE '!G47</f>
        <v>0</v>
      </c>
      <c r="H43" s="680">
        <f>H42+G43</f>
        <v>0</v>
      </c>
      <c r="I43" s="680">
        <f>I42+H43</f>
        <v>0</v>
      </c>
      <c r="J43" s="680">
        <f>J42+I43</f>
        <v>0</v>
      </c>
      <c r="K43" s="681">
        <f>K42+J43</f>
        <v>0</v>
      </c>
      <c r="M43" s="2035" t="s">
        <v>239</v>
      </c>
      <c r="N43" s="2036"/>
      <c r="O43" s="2037"/>
      <c r="P43" s="1611">
        <v>0</v>
      </c>
      <c r="Q43" s="604"/>
      <c r="R43" s="596">
        <f>R42+('5. E1 KUSTANNUKSET '!E38+'5. E1 KUSTANNUKSET '!E46)/'2. &amp; 7. T2 TULOSSUUN. '!I33</f>
        <v>0</v>
      </c>
      <c r="S43" s="596">
        <f>S42+('5. E1 KUSTANNUKSET '!F38+'5. E1 KUSTANNUKSET '!F46)/'2. &amp; 7. T2 TULOSSUUN. '!K33</f>
        <v>0</v>
      </c>
      <c r="T43" s="596">
        <f>T42+('5. E1 KUSTANNUKSET '!G38+'5. E1 KUSTANNUKSET '!G46)/'2. &amp; 7. T2 TULOSSUUN. '!M33</f>
        <v>0</v>
      </c>
      <c r="U43" s="597">
        <f>U42+('5. E1 KUSTANNUKSET '!H38+'5. E1 KUSTANNUKSET '!H46)/'2. &amp; 7. T2 TULOSSUUN. '!O33</f>
        <v>0</v>
      </c>
    </row>
    <row r="44" spans="2:26" ht="16.899999999999999" customHeight="1" thickBot="1" x14ac:dyDescent="0.25">
      <c r="B44" s="75"/>
      <c r="C44" s="2326" t="s">
        <v>316</v>
      </c>
      <c r="D44" s="2326"/>
      <c r="E44" s="2327"/>
      <c r="F44" s="970">
        <v>0</v>
      </c>
      <c r="G44" s="970">
        <f>IF('5. E1 KUSTANNUKSET '!D45=0,0,G43/'5. E1 KUSTANNUKSET '!D45*365)</f>
        <v>0</v>
      </c>
      <c r="H44" s="970">
        <f>IF('5. E1 KUSTANNUKSET '!F45=0,0,H43/'5. E1 KUSTANNUKSET '!F45*365)</f>
        <v>0</v>
      </c>
      <c r="I44" s="970">
        <f>IF('5. E1 KUSTANNUKSET '!H45=0,0,I43/'5. E1 KUSTANNUKSET '!H45*365)</f>
        <v>0</v>
      </c>
      <c r="J44" s="970">
        <f>IF('5. E1 KUSTANNUKSET '!J45=0,0,J43/'5. E1 KUSTANNUKSET '!J45*365)</f>
        <v>0</v>
      </c>
      <c r="K44" s="971">
        <f>IF('5. E1 KUSTANNUKSET '!L45=0,0,K43/'5. E1 KUSTANNUKSET '!L45*365)</f>
        <v>0</v>
      </c>
      <c r="M44" s="2035" t="s">
        <v>322</v>
      </c>
      <c r="N44" s="2036"/>
      <c r="O44" s="2037"/>
      <c r="P44" s="1275">
        <f>IF('2. &amp; 7. T2 TULOSSUUN. '!E14=0,0,1.77*100*F15/'2. &amp; 7. T2 TULOSSUUN. '!E14+14.14*P29+0.54*P37)</f>
        <v>0</v>
      </c>
      <c r="Q44" s="1275">
        <f>IF('2. &amp; 7. T2 TULOSSUUN. '!G14=0,0,1.77*100*G15/'2. &amp; 7. T2 TULOSSUUN. '!G14+14.14*Q29+0.54*Q37)</f>
        <v>0</v>
      </c>
      <c r="R44" s="1275">
        <f>IF('2. &amp; 7. T2 TULOSSUUN. '!I14=0,0,1.77*100*H15/'2. &amp; 7. T2 TULOSSUUN. '!I14+14.14*R29+0.54*R37)</f>
        <v>0</v>
      </c>
      <c r="S44" s="1275">
        <f>IF('2. &amp; 7. T2 TULOSSUUN. '!K14=0,0,1.77*100*I15/'2. &amp; 7. T2 TULOSSUUN. '!K14+14.14*S29+0.54*S37)</f>
        <v>0</v>
      </c>
      <c r="T44" s="1275">
        <f>IF('2. &amp; 7. T2 TULOSSUUN. '!M14=0,0,1.77*100*J15/'2. &amp; 7. T2 TULOSSUUN. '!M14+14.14*T29+0.54*T37)</f>
        <v>0</v>
      </c>
      <c r="U44" s="294">
        <f>IF('2. &amp; 7. T2 TULOSSUUN. '!O14=0,0,1.77*100*K15/'2. &amp; 7. T2 TULOSSUUN. '!O14+14.14*U29+0.54*U37)</f>
        <v>0</v>
      </c>
    </row>
    <row r="45" spans="2:26" ht="13.15" customHeight="1" thickBot="1" x14ac:dyDescent="0.25">
      <c r="B45" s="229"/>
      <c r="C45" s="46"/>
      <c r="D45" s="46"/>
      <c r="E45" s="46"/>
      <c r="F45" s="46"/>
      <c r="G45" s="260"/>
      <c r="H45" s="316"/>
      <c r="I45" s="316"/>
      <c r="J45" s="316"/>
      <c r="K45" s="316"/>
      <c r="L45" s="2"/>
      <c r="M45" s="1525" t="s">
        <v>508</v>
      </c>
      <c r="N45" s="1526"/>
      <c r="O45" s="1527"/>
      <c r="P45" s="601">
        <f>IF('2. &amp; 7. T2 TULOSSUUN. '!E14=0,0,IF(P44&gt;28,"Hyvä",IF(P44&lt;18,"Heikko","Tyydyttävä")))</f>
        <v>0</v>
      </c>
      <c r="Q45" s="601">
        <f>IF('2. &amp; 7. T2 TULOSSUUN. '!G14=0,0,IF(Q44&gt;28,"Hyvä",IF(Q44&lt;18,"Heikko","Tyydyttävä")))</f>
        <v>0</v>
      </c>
      <c r="R45" s="601">
        <f>IF('2. &amp; 7. T2 TULOSSUUN. '!I14=0,0,IF(R44&gt;28,"Hyvä",IF(R44&lt;18,"Heikko","Tyydyttävä")))</f>
        <v>0</v>
      </c>
      <c r="S45" s="601">
        <f>IF('2. &amp; 7. T2 TULOSSUUN. '!K14=0,0,IF(S44&gt;28,"Hyvä",IF(S44&lt;18,"Heikko","Tyydyttävä")))</f>
        <v>0</v>
      </c>
      <c r="T45" s="601">
        <f>IF('2. &amp; 7. T2 TULOSSUUN. '!M14=0,0,IF(T44&gt;28,"Hyvä",IF(T44&lt;18,"Heikko","Tyydyttävä")))</f>
        <v>0</v>
      </c>
      <c r="U45" s="955">
        <f>IF('2. &amp; 7. T2 TULOSSUUN. '!O14=0,0,IF(U44&gt;28,"Hyvä",IF(U44&lt;18,"Heikko","Tyydyttävä")))</f>
        <v>0</v>
      </c>
      <c r="Z45">
        <v>0</v>
      </c>
    </row>
    <row r="46" spans="2:26" ht="12.75" customHeight="1" x14ac:dyDescent="0.2">
      <c r="B46" s="2026" t="s">
        <v>260</v>
      </c>
      <c r="C46" s="2027"/>
      <c r="D46" s="2027"/>
      <c r="E46" s="2028"/>
      <c r="F46" s="1148" t="str">
        <f t="shared" ref="F46:K46" si="4">F10</f>
        <v>Tot. tilikausi</v>
      </c>
      <c r="G46" s="1148" t="str">
        <f t="shared" si="4"/>
        <v>Tot. tilikausi</v>
      </c>
      <c r="H46" s="1149" t="str">
        <f t="shared" si="4"/>
        <v>Ennuste 1</v>
      </c>
      <c r="I46" s="1149" t="str">
        <f t="shared" si="4"/>
        <v>Ennuste 2</v>
      </c>
      <c r="J46" s="1149" t="str">
        <f t="shared" si="4"/>
        <v>Ennuste 3</v>
      </c>
      <c r="K46" s="1150" t="str">
        <f t="shared" si="4"/>
        <v>Ennuste 4</v>
      </c>
      <c r="M46" s="321" t="s">
        <v>403</v>
      </c>
      <c r="N46" s="325"/>
      <c r="O46" s="325"/>
      <c r="P46" s="1152">
        <f>'8. T4 RAHOITUSSUUN. '!F11</f>
        <v>2024</v>
      </c>
      <c r="Q46" s="1152">
        <f>'8. T4 RAHOITUSSUUN. '!G11</f>
        <v>2025</v>
      </c>
      <c r="R46" s="1152">
        <f>'8. T4 RAHOITUSSUUN. '!H11</f>
        <v>2027</v>
      </c>
      <c r="S46" s="1152">
        <f>'8. T4 RAHOITUSSUUN. '!I11</f>
        <v>2028</v>
      </c>
      <c r="T46" s="1152">
        <f>'8. T4 RAHOITUSSUUN. '!J11</f>
        <v>2029</v>
      </c>
      <c r="U46" s="1153">
        <f>'8. T4 RAHOITUSSUUN. '!K11</f>
        <v>2030</v>
      </c>
    </row>
    <row r="47" spans="2:26" ht="12.75" customHeight="1" x14ac:dyDescent="0.2">
      <c r="B47" s="2029"/>
      <c r="C47" s="2030"/>
      <c r="D47" s="2030"/>
      <c r="E47" s="2031"/>
      <c r="F47" s="1151">
        <f t="shared" ref="F47:K47" si="5">F11</f>
        <v>2024</v>
      </c>
      <c r="G47" s="1151">
        <f t="shared" si="5"/>
        <v>2025</v>
      </c>
      <c r="H47" s="1142">
        <f t="shared" si="5"/>
        <v>2027</v>
      </c>
      <c r="I47" s="1142">
        <f t="shared" si="5"/>
        <v>2028</v>
      </c>
      <c r="J47" s="1142">
        <f t="shared" si="5"/>
        <v>2029</v>
      </c>
      <c r="K47" s="1143">
        <f t="shared" si="5"/>
        <v>2030</v>
      </c>
      <c r="M47" s="457" t="s">
        <v>211</v>
      </c>
      <c r="N47" s="284"/>
      <c r="O47" s="284"/>
      <c r="P47" s="596">
        <f>'3. T3 TASE '!F96</f>
        <v>0</v>
      </c>
      <c r="Q47" s="596">
        <f>'3. T3 TASE '!G96</f>
        <v>0</v>
      </c>
      <c r="R47" s="596">
        <f>'3. T3 TASE '!H96</f>
        <v>0</v>
      </c>
      <c r="S47" s="596">
        <f>'3. T3 TASE '!I96</f>
        <v>0</v>
      </c>
      <c r="T47" s="596">
        <f>'3. T3 TASE '!J96</f>
        <v>0</v>
      </c>
      <c r="U47" s="597">
        <f>'3. T3 TASE '!K96</f>
        <v>0</v>
      </c>
    </row>
    <row r="48" spans="2:26" ht="12.75" customHeight="1" thickBot="1" x14ac:dyDescent="0.25">
      <c r="B48" s="2032"/>
      <c r="C48" s="2033"/>
      <c r="D48" s="2033"/>
      <c r="E48" s="2034"/>
      <c r="F48" s="1146" t="s">
        <v>16</v>
      </c>
      <c r="G48" s="1146" t="s">
        <v>16</v>
      </c>
      <c r="H48" s="1146" t="str">
        <f>G48</f>
        <v>Euroa</v>
      </c>
      <c r="I48" s="1146" t="str">
        <f>H48</f>
        <v>Euroa</v>
      </c>
      <c r="J48" s="1146" t="str">
        <f>I48</f>
        <v>Euroa</v>
      </c>
      <c r="K48" s="1147" t="str">
        <f>J48</f>
        <v>Euroa</v>
      </c>
      <c r="M48" s="459" t="s">
        <v>583</v>
      </c>
      <c r="N48" s="285"/>
      <c r="O48" s="285"/>
      <c r="P48" s="596">
        <f>-('3. T3 TASE '!F65+'3. T3 TASE '!F73)</f>
        <v>0</v>
      </c>
      <c r="Q48" s="596">
        <f>-('3. T3 TASE '!G65+'3. T3 TASE '!G73)</f>
        <v>0</v>
      </c>
      <c r="R48" s="596">
        <f>-('3. T3 TASE '!H65+'3. T3 TASE '!H73)</f>
        <v>0</v>
      </c>
      <c r="S48" s="596">
        <f>-('3. T3 TASE '!I65+'3. T3 TASE '!I73)</f>
        <v>0</v>
      </c>
      <c r="T48" s="596">
        <f>-('3. T3 TASE '!J65+'3. T3 TASE '!J73)</f>
        <v>0</v>
      </c>
      <c r="U48" s="597">
        <f>-('3. T3 TASE '!K65+'3. T3 TASE '!K73)</f>
        <v>0</v>
      </c>
    </row>
    <row r="49" spans="1:30" ht="12.75" customHeight="1" x14ac:dyDescent="0.2">
      <c r="B49" s="185" t="s">
        <v>563</v>
      </c>
      <c r="C49" s="2025" t="s">
        <v>74</v>
      </c>
      <c r="D49" s="2025"/>
      <c r="E49" s="1409" t="s">
        <v>47</v>
      </c>
      <c r="F49" s="611">
        <f>'3. T3 TASE '!F37</f>
        <v>0</v>
      </c>
      <c r="G49" s="611">
        <f>'3. T3 TASE '!G37</f>
        <v>0</v>
      </c>
      <c r="H49" s="611">
        <f>IF('2. &amp; 7. T2 TULOSSUUN. '!I15=0,0,'2. &amp; 7. T2 TULOSSUUN. '!I11*'8. T4 RAHOITUSSUUN. '!H50)</f>
        <v>0</v>
      </c>
      <c r="I49" s="1390">
        <f>IF('2. &amp; 7. T2 TULOSSUUN. '!K15=0,0,'2. &amp; 7. T2 TULOSSUUN. '!K11*'8. T4 RAHOITUSSUUN. '!I50)</f>
        <v>0</v>
      </c>
      <c r="J49" s="1423">
        <f>IF('2. &amp; 7. T2 TULOSSUUN. '!M15=0,0,'2. &amp; 7. T2 TULOSSUUN. '!M11*'8. T4 RAHOITUSSUUN. '!J50)</f>
        <v>0</v>
      </c>
      <c r="K49" s="1424">
        <f>IF('2. &amp; 7. T2 TULOSSUUN. '!O15=0,0,'2. &amp; 7. T2 TULOSSUUN. '!O11*'8. T4 RAHOITUSSUUN. '!K50)</f>
        <v>0</v>
      </c>
      <c r="M49" s="2035" t="s">
        <v>584</v>
      </c>
      <c r="N49" s="2036"/>
      <c r="O49" s="2037"/>
      <c r="P49" s="609">
        <v>0</v>
      </c>
      <c r="Q49" s="609">
        <v>0</v>
      </c>
      <c r="R49" s="609">
        <v>0</v>
      </c>
      <c r="S49" s="609">
        <v>0</v>
      </c>
      <c r="T49" s="609">
        <v>0</v>
      </c>
      <c r="U49" s="610">
        <v>0</v>
      </c>
    </row>
    <row r="50" spans="1:30" ht="12.75" customHeight="1" x14ac:dyDescent="0.2">
      <c r="B50" s="185"/>
      <c r="C50" s="2325" t="s">
        <v>467</v>
      </c>
      <c r="D50" s="2325"/>
      <c r="E50" s="700"/>
      <c r="F50" s="879">
        <f>IF('2. &amp; 7. T2 TULOSSUUN. '!E11=0,0,F49/'2. &amp; 7. T2 TULOSSUUN. '!E11)</f>
        <v>0</v>
      </c>
      <c r="G50" s="879">
        <f>IF('2. &amp; 7. T2 TULOSSUUN. '!G11=0,0,G49/'2. &amp; 7. T2 TULOSSUUN. '!G11)</f>
        <v>0</v>
      </c>
      <c r="H50" s="945">
        <f>G50</f>
        <v>0</v>
      </c>
      <c r="I50" s="1392">
        <f>H50</f>
        <v>0</v>
      </c>
      <c r="J50" s="1392">
        <f>I50</f>
        <v>0</v>
      </c>
      <c r="K50" s="1393">
        <f>J50</f>
        <v>0</v>
      </c>
      <c r="M50" s="2035" t="s">
        <v>585</v>
      </c>
      <c r="N50" s="2036"/>
      <c r="O50" s="2037"/>
      <c r="P50" s="609">
        <v>0</v>
      </c>
      <c r="Q50" s="609">
        <v>0</v>
      </c>
      <c r="R50" s="609">
        <v>0</v>
      </c>
      <c r="S50" s="609">
        <v>0</v>
      </c>
      <c r="T50" s="609">
        <v>0</v>
      </c>
      <c r="U50" s="610">
        <v>0</v>
      </c>
    </row>
    <row r="51" spans="1:30" ht="12.75" customHeight="1" x14ac:dyDescent="0.2">
      <c r="B51" s="185" t="s">
        <v>564</v>
      </c>
      <c r="C51" s="2023" t="s">
        <v>97</v>
      </c>
      <c r="D51" s="2023"/>
      <c r="E51" s="1410" t="s">
        <v>47</v>
      </c>
      <c r="F51" s="596">
        <f>'3. T3 TASE '!F40</f>
        <v>0</v>
      </c>
      <c r="G51" s="596">
        <f>'3. T3 TASE '!G40</f>
        <v>0</v>
      </c>
      <c r="H51" s="596">
        <f>H52*'2. &amp; 7. T2 TULOSSUUN. '!I11/365</f>
        <v>0</v>
      </c>
      <c r="I51" s="596">
        <f>I52*'2. &amp; 7. T2 TULOSSUUN. '!K11/365</f>
        <v>0</v>
      </c>
      <c r="J51" s="596">
        <f>J52*'2. &amp; 7. T2 TULOSSUUN. '!M11/365</f>
        <v>0</v>
      </c>
      <c r="K51" s="869">
        <f>K52*'2. &amp; 7. T2 TULOSSUUN. '!O11/365</f>
        <v>0</v>
      </c>
      <c r="L51" s="701"/>
      <c r="M51" s="459" t="s">
        <v>210</v>
      </c>
      <c r="N51" s="285"/>
      <c r="O51" s="285"/>
      <c r="P51" s="611">
        <f t="shared" ref="P51:U51" si="6">P47+P48-P49-P50</f>
        <v>0</v>
      </c>
      <c r="Q51" s="611">
        <f t="shared" si="6"/>
        <v>0</v>
      </c>
      <c r="R51" s="611">
        <f t="shared" si="6"/>
        <v>0</v>
      </c>
      <c r="S51" s="611">
        <f t="shared" si="6"/>
        <v>0</v>
      </c>
      <c r="T51" s="611">
        <f t="shared" si="6"/>
        <v>0</v>
      </c>
      <c r="U51" s="612">
        <f t="shared" si="6"/>
        <v>0</v>
      </c>
    </row>
    <row r="52" spans="1:30" ht="12.75" customHeight="1" x14ac:dyDescent="0.2">
      <c r="B52" s="185"/>
      <c r="C52" s="2325" t="s">
        <v>207</v>
      </c>
      <c r="D52" s="2325"/>
      <c r="E52" s="699"/>
      <c r="F52" s="947">
        <f>IF('2. &amp; 7. T2 TULOSSUUN. '!E11=0,0,365*F51/'2. &amp; 7. T2 TULOSSUUN. '!E11)</f>
        <v>0</v>
      </c>
      <c r="G52" s="947">
        <f>IF('2. &amp; 7. T2 TULOSSUUN. '!G11=0,0,365*G51/'2. &amp; 7. T2 TULOSSUUN. '!G11)</f>
        <v>0</v>
      </c>
      <c r="H52" s="948">
        <f>G52</f>
        <v>0</v>
      </c>
      <c r="I52" s="948">
        <f>H52</f>
        <v>0</v>
      </c>
      <c r="J52" s="948">
        <f>I52</f>
        <v>0</v>
      </c>
      <c r="K52" s="949">
        <f>J52</f>
        <v>0</v>
      </c>
      <c r="L52" s="701"/>
      <c r="M52" s="2076" t="s">
        <v>310</v>
      </c>
      <c r="N52" s="2077"/>
      <c r="O52" s="2078"/>
      <c r="P52" s="604"/>
      <c r="Q52" s="604"/>
      <c r="R52" s="609">
        <f>IF(8%*Q51&lt;0,0,8%*Q51)</f>
        <v>0</v>
      </c>
      <c r="S52" s="609">
        <f>IF(8%*R51&lt;0,0,8%*R51)</f>
        <v>0</v>
      </c>
      <c r="T52" s="609">
        <f>IF(8%*S51&lt;0,0,8%*S51)</f>
        <v>0</v>
      </c>
      <c r="U52" s="610">
        <f>IF(8%*T51&lt;0,0,8%*T51)</f>
        <v>0</v>
      </c>
    </row>
    <row r="53" spans="1:30" ht="12.75" customHeight="1" x14ac:dyDescent="0.2">
      <c r="B53" s="185" t="s">
        <v>565</v>
      </c>
      <c r="C53" s="2023" t="s">
        <v>204</v>
      </c>
      <c r="D53" s="2023"/>
      <c r="E53" s="1410" t="s">
        <v>47</v>
      </c>
      <c r="F53" s="596">
        <f>'3. T3 TASE '!F44+'3. T3 TASE '!F45</f>
        <v>0</v>
      </c>
      <c r="G53" s="596">
        <f>'3. T3 TASE '!G44+'3. T3 TASE '!G45</f>
        <v>0</v>
      </c>
      <c r="H53" s="596">
        <f>'3. T3 TASE '!H44+'3. T3 TASE '!H45</f>
        <v>0</v>
      </c>
      <c r="I53" s="596">
        <f>'3. T3 TASE '!I44+'3. T3 TASE '!I45</f>
        <v>0</v>
      </c>
      <c r="J53" s="596">
        <f>'3. T3 TASE '!J44+'3. T3 TASE '!J45</f>
        <v>0</v>
      </c>
      <c r="K53" s="597">
        <f>'3. T3 TASE '!K44+'3. T3 TASE '!K45</f>
        <v>0</v>
      </c>
      <c r="M53" s="1528" t="s">
        <v>309</v>
      </c>
      <c r="N53" s="1529"/>
      <c r="O53" s="1530"/>
      <c r="P53" s="608"/>
      <c r="Q53" s="608">
        <v>0</v>
      </c>
      <c r="R53" s="953">
        <f>IF(R52=0,0,R52/Q51)</f>
        <v>0</v>
      </c>
      <c r="S53" s="953">
        <f>IF(S52=0,0,S52/R51)</f>
        <v>0</v>
      </c>
      <c r="T53" s="953">
        <f>IF(T52=0,0,T52/S51)</f>
        <v>0</v>
      </c>
      <c r="U53" s="954">
        <f>IF(U52=0,0,U52/T51)</f>
        <v>0</v>
      </c>
    </row>
    <row r="54" spans="1:30" ht="12.75" customHeight="1" x14ac:dyDescent="0.2">
      <c r="B54" s="185" t="s">
        <v>566</v>
      </c>
      <c r="C54" s="2023" t="s">
        <v>98</v>
      </c>
      <c r="D54" s="2023"/>
      <c r="E54" s="1410" t="s">
        <v>47</v>
      </c>
      <c r="F54" s="596">
        <f>'3. T3 TASE '!F42</f>
        <v>0</v>
      </c>
      <c r="G54" s="596">
        <f>'3. T3 TASE '!G42</f>
        <v>0</v>
      </c>
      <c r="H54" s="596">
        <f>H55*'2. &amp; 7. T2 TULOSSUUN. '!I11</f>
        <v>0</v>
      </c>
      <c r="I54" s="596">
        <f>I55*'2. &amp; 7. T2 TULOSSUUN. '!K11</f>
        <v>0</v>
      </c>
      <c r="J54" s="596">
        <f>J55*'2. &amp; 7. T2 TULOSSUUN. '!M11</f>
        <v>0</v>
      </c>
      <c r="K54" s="597">
        <f>K55*'2. &amp; 7. T2 TULOSSUUN. '!O11</f>
        <v>0</v>
      </c>
      <c r="M54" s="1531" t="s">
        <v>419</v>
      </c>
      <c r="N54" s="1532"/>
      <c r="O54" s="1533"/>
      <c r="P54" s="608"/>
      <c r="Q54" s="608">
        <v>0</v>
      </c>
      <c r="R54" s="953">
        <f>IF(R52=0,0,R52/'2. &amp; 7. T2 TULOSSUUN. '!I31)</f>
        <v>0</v>
      </c>
      <c r="S54" s="953">
        <f>IF(S52=0,0,S52/'2. &amp; 7. T2 TULOSSUUN. '!K31)</f>
        <v>0</v>
      </c>
      <c r="T54" s="953">
        <f>IF(T52=0,0,T52/'2. &amp; 7. T2 TULOSSUUN. '!M31)</f>
        <v>0</v>
      </c>
      <c r="U54" s="954">
        <f>IF(U52=0,0,U52/'2. &amp; 7. T2 TULOSSUUN. '!O31)</f>
        <v>0</v>
      </c>
    </row>
    <row r="55" spans="1:30" ht="12.75" customHeight="1" x14ac:dyDescent="0.2">
      <c r="B55" s="185"/>
      <c r="C55" s="2024" t="s">
        <v>340</v>
      </c>
      <c r="D55" s="2024"/>
      <c r="E55" s="699"/>
      <c r="F55" s="879">
        <f>IF('2. &amp; 7. T2 TULOSSUUN. '!E11=0,0,F54/'2. &amp; 7. T2 TULOSSUUN. '!E11)</f>
        <v>0</v>
      </c>
      <c r="G55" s="879">
        <f>IF('2. &amp; 7. T2 TULOSSUUN. '!G11=0,0,G54/'2. &amp; 7. T2 TULOSSUUN. '!G11)</f>
        <v>0</v>
      </c>
      <c r="H55" s="942">
        <f>G55</f>
        <v>0</v>
      </c>
      <c r="I55" s="942">
        <f>H55</f>
        <v>0</v>
      </c>
      <c r="J55" s="942">
        <f>I55</f>
        <v>0</v>
      </c>
      <c r="K55" s="944">
        <f>J55</f>
        <v>0</v>
      </c>
      <c r="M55" s="345"/>
      <c r="N55" s="286"/>
      <c r="O55" s="286"/>
      <c r="P55" s="286"/>
      <c r="Q55" s="286"/>
      <c r="R55" s="286"/>
      <c r="S55" s="286"/>
      <c r="T55" s="286"/>
      <c r="U55" s="1534"/>
    </row>
    <row r="56" spans="1:30" ht="12.75" customHeight="1" x14ac:dyDescent="0.2">
      <c r="B56" s="185" t="s">
        <v>567</v>
      </c>
      <c r="C56" s="1885" t="s">
        <v>99</v>
      </c>
      <c r="D56" s="1885"/>
      <c r="E56" s="1411" t="s">
        <v>317</v>
      </c>
      <c r="F56" s="596">
        <f>'3. T3 TASE '!F79</f>
        <v>0</v>
      </c>
      <c r="G56" s="596">
        <f>'3. T3 TASE '!G79</f>
        <v>0</v>
      </c>
      <c r="H56" s="596">
        <f>IF('2. &amp; 7. T2 TULOSSUUN. '!I11=0,0,-H57*('2. &amp; 7. T2 TULOSSUUN. '!I15+'2. &amp; 7. T2 TULOSSUUN. '!I16+'2. &amp; 7. T2 TULOSSUUN. '!I18)/365)</f>
        <v>0</v>
      </c>
      <c r="I56" s="596">
        <f>IF('2. &amp; 7. T2 TULOSSUUN. '!K11=0,0,-I57*('2. &amp; 7. T2 TULOSSUUN. '!K15+'2. &amp; 7. T2 TULOSSUUN. '!K16+'2. &amp; 7. T2 TULOSSUUN. '!K18)/365)</f>
        <v>0</v>
      </c>
      <c r="J56" s="596">
        <f>IF('2. &amp; 7. T2 TULOSSUUN. '!M11=0,0,-J57*('2. &amp; 7. T2 TULOSSUUN. '!M15+'2. &amp; 7. T2 TULOSSUUN. '!M16+'2. &amp; 7. T2 TULOSSUUN. '!M18)/365)</f>
        <v>0</v>
      </c>
      <c r="K56" s="597">
        <f>IF('2. &amp; 7. T2 TULOSSUUN. '!O11=0,0,-K57*('2. &amp; 7. T2 TULOSSUUN. '!O15+'2. &amp; 7. T2 TULOSSUUN. '!O16+'2. &amp; 7. T2 TULOSSUUN. '!O18)/365)</f>
        <v>0</v>
      </c>
      <c r="M56" s="345"/>
      <c r="N56" s="286"/>
      <c r="O56" s="286"/>
      <c r="P56" s="286"/>
      <c r="Q56" s="286"/>
      <c r="R56" s="286"/>
      <c r="S56" s="286"/>
      <c r="T56" s="286"/>
      <c r="U56" s="1534"/>
    </row>
    <row r="57" spans="1:30" ht="12.75" customHeight="1" x14ac:dyDescent="0.2">
      <c r="B57" s="185"/>
      <c r="C57" s="2325" t="s">
        <v>332</v>
      </c>
      <c r="D57" s="2325"/>
      <c r="E57" s="699"/>
      <c r="F57" s="947">
        <f>-IF('2. &amp; 7. T2 TULOSSUUN. '!E15+'2. &amp; 7. T2 TULOSSUUN. '!E16+'2. &amp; 7. T2 TULOSSUUN. '!E18=0,0,365*F56/('2. &amp; 7. T2 TULOSSUUN. '!E15+'2. &amp; 7. T2 TULOSSUUN. '!E16+'2. &amp; 7. T2 TULOSSUUN. '!E18))</f>
        <v>0</v>
      </c>
      <c r="G57" s="947">
        <f>-IF('2. &amp; 7. T2 TULOSSUUN. '!G15+'2. &amp; 7. T2 TULOSSUUN. '!G16+'2. &amp; 7. T2 TULOSSUUN. '!G18=0,0,365*G56/('2. &amp; 7. T2 TULOSSUUN. '!G15+'2. &amp; 7. T2 TULOSSUUN. '!G16+'2. &amp; 7. T2 TULOSSUUN. '!G18))</f>
        <v>0</v>
      </c>
      <c r="H57" s="948">
        <f>G57</f>
        <v>0</v>
      </c>
      <c r="I57" s="948">
        <f>H57</f>
        <v>0</v>
      </c>
      <c r="J57" s="948">
        <f>I57</f>
        <v>0</v>
      </c>
      <c r="K57" s="949">
        <f>J57</f>
        <v>0</v>
      </c>
      <c r="M57" s="345"/>
      <c r="N57" s="286"/>
      <c r="O57" s="286"/>
      <c r="P57" s="286"/>
      <c r="Q57" s="286"/>
      <c r="R57" s="286"/>
      <c r="S57" s="286"/>
      <c r="T57" s="286"/>
      <c r="U57" s="1534"/>
    </row>
    <row r="58" spans="1:30" ht="12.75" customHeight="1" x14ac:dyDescent="0.2">
      <c r="B58" s="185" t="s">
        <v>568</v>
      </c>
      <c r="C58" s="1885" t="s">
        <v>100</v>
      </c>
      <c r="D58" s="1885"/>
      <c r="E58" s="1411" t="s">
        <v>317</v>
      </c>
      <c r="F58" s="596">
        <f>'3. T3 TASE '!F94</f>
        <v>0</v>
      </c>
      <c r="G58" s="596">
        <f>'3. T3 TASE '!G94</f>
        <v>0</v>
      </c>
      <c r="H58" s="596">
        <f>H59*'2. &amp; 7. T2 TULOSSUUN. '!I11</f>
        <v>0</v>
      </c>
      <c r="I58" s="596">
        <f>I59*'2. &amp; 7. T2 TULOSSUUN. '!K11</f>
        <v>0</v>
      </c>
      <c r="J58" s="596">
        <f>J59*'2. &amp; 7. T2 TULOSSUUN. '!M11</f>
        <v>0</v>
      </c>
      <c r="K58" s="597">
        <f>K59*'2. &amp; 7. T2 TULOSSUUN. '!O11</f>
        <v>0</v>
      </c>
      <c r="M58" s="345"/>
      <c r="N58" s="286"/>
      <c r="O58" s="286"/>
      <c r="P58" s="286"/>
      <c r="Q58" s="286"/>
      <c r="R58" s="286"/>
      <c r="S58" s="286"/>
      <c r="T58" s="286"/>
      <c r="U58" s="1534"/>
    </row>
    <row r="59" spans="1:30" ht="12.75" customHeight="1" x14ac:dyDescent="0.2">
      <c r="B59" s="185"/>
      <c r="C59" s="2024" t="s">
        <v>339</v>
      </c>
      <c r="D59" s="2024"/>
      <c r="E59" s="699"/>
      <c r="F59" s="950">
        <f>IF('2. &amp; 7. T2 TULOSSUUN. '!E11=0,0,F58/'2. &amp; 7. T2 TULOSSUUN. '!E11)</f>
        <v>0</v>
      </c>
      <c r="G59" s="950">
        <f>IF('2. &amp; 7. T2 TULOSSUUN. '!G11=0,0,G58/'2. &amp; 7. T2 TULOSSUUN. '!G11)</f>
        <v>0</v>
      </c>
      <c r="H59" s="951">
        <f>G59</f>
        <v>0</v>
      </c>
      <c r="I59" s="951">
        <f>H59</f>
        <v>0</v>
      </c>
      <c r="J59" s="951">
        <f>I59</f>
        <v>0</v>
      </c>
      <c r="K59" s="952">
        <f>J59</f>
        <v>0</v>
      </c>
      <c r="M59" s="345"/>
      <c r="N59" s="286"/>
      <c r="O59" s="286"/>
      <c r="P59" s="286"/>
      <c r="Q59" s="286"/>
      <c r="R59" s="286"/>
      <c r="S59" s="286"/>
      <c r="T59" s="286"/>
      <c r="U59" s="1534"/>
    </row>
    <row r="60" spans="1:30" ht="12.75" customHeight="1" x14ac:dyDescent="0.2">
      <c r="B60" s="185" t="s">
        <v>569</v>
      </c>
      <c r="C60" s="1885" t="s">
        <v>101</v>
      </c>
      <c r="D60" s="1885"/>
      <c r="E60" s="463" t="s">
        <v>102</v>
      </c>
      <c r="F60" s="596">
        <f t="shared" ref="F60:K60" si="7">F49+F51+F54-F56-F58+F53</f>
        <v>0</v>
      </c>
      <c r="G60" s="596">
        <f t="shared" si="7"/>
        <v>0</v>
      </c>
      <c r="H60" s="596">
        <f t="shared" si="7"/>
        <v>0</v>
      </c>
      <c r="I60" s="596">
        <f t="shared" si="7"/>
        <v>0</v>
      </c>
      <c r="J60" s="596">
        <f t="shared" si="7"/>
        <v>0</v>
      </c>
      <c r="K60" s="597">
        <f t="shared" si="7"/>
        <v>0</v>
      </c>
      <c r="M60" s="345"/>
      <c r="N60" s="286"/>
      <c r="O60" s="286"/>
      <c r="P60" s="286"/>
      <c r="Q60" s="286"/>
      <c r="R60" s="286"/>
      <c r="S60" s="286"/>
      <c r="T60" s="286"/>
      <c r="U60" s="1534"/>
    </row>
    <row r="61" spans="1:30" ht="12.75" customHeight="1" thickBot="1" x14ac:dyDescent="0.25">
      <c r="B61" s="310" t="s">
        <v>586</v>
      </c>
      <c r="C61" s="2056" t="s">
        <v>76</v>
      </c>
      <c r="D61" s="2056"/>
      <c r="E61" s="1412" t="s">
        <v>53</v>
      </c>
      <c r="F61" s="682"/>
      <c r="G61" s="678">
        <f>G60-F60</f>
        <v>0</v>
      </c>
      <c r="H61" s="678">
        <f>IF(G60=0,0,H60-G60)</f>
        <v>0</v>
      </c>
      <c r="I61" s="678">
        <f>I60-H60</f>
        <v>0</v>
      </c>
      <c r="J61" s="678">
        <f>J60-I60</f>
        <v>0</v>
      </c>
      <c r="K61" s="679">
        <f>K60-J60</f>
        <v>0</v>
      </c>
      <c r="M61" s="1535"/>
      <c r="N61" s="1536"/>
      <c r="O61" s="1536"/>
      <c r="P61" s="1536"/>
      <c r="Q61" s="1536"/>
      <c r="R61" s="1536"/>
      <c r="S61" s="1536"/>
      <c r="T61" s="1536"/>
      <c r="U61" s="1537"/>
    </row>
    <row r="62" spans="1:30" ht="12.75" customHeight="1" x14ac:dyDescent="0.2">
      <c r="A62" s="120"/>
      <c r="B62" s="121"/>
      <c r="C62" s="281"/>
      <c r="D62" s="281"/>
      <c r="E62" s="138"/>
      <c r="F62" s="915"/>
      <c r="G62" s="915"/>
      <c r="H62" s="915"/>
      <c r="I62" s="915"/>
      <c r="J62" s="915"/>
      <c r="K62" s="916"/>
      <c r="L62" s="120"/>
      <c r="M62" s="737"/>
      <c r="N62" s="737"/>
      <c r="O62" s="737"/>
      <c r="P62" s="737"/>
      <c r="Q62" s="737"/>
      <c r="R62" s="737"/>
      <c r="S62" s="737"/>
      <c r="T62" s="737"/>
      <c r="U62" s="737"/>
      <c r="V62" s="120"/>
      <c r="W62" s="120"/>
      <c r="X62" s="120"/>
      <c r="Y62" s="120"/>
      <c r="Z62" s="120"/>
      <c r="AA62" s="120"/>
      <c r="AB62" s="120"/>
      <c r="AC62" s="120"/>
      <c r="AD62" s="120"/>
    </row>
    <row r="63" spans="1:30" ht="12.75" hidden="1" customHeight="1" x14ac:dyDescent="0.2">
      <c r="A63" s="120"/>
      <c r="B63" s="242" t="s">
        <v>255</v>
      </c>
      <c r="C63" s="120"/>
      <c r="D63" s="120"/>
      <c r="E63" s="120"/>
      <c r="F63" s="120"/>
      <c r="G63" s="120"/>
      <c r="H63" s="120"/>
      <c r="I63" s="1883">
        <f>OHJE!I5</f>
        <v>0</v>
      </c>
      <c r="J63" s="1883"/>
      <c r="K63" s="1883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  <c r="AA63" s="120"/>
      <c r="AB63" s="120"/>
      <c r="AC63" s="120"/>
      <c r="AD63" s="120"/>
    </row>
    <row r="64" spans="1:30" ht="12.75" hidden="1" customHeight="1" x14ac:dyDescent="0.2">
      <c r="A64" s="120"/>
      <c r="B64" s="242" t="str">
        <f>OHJE!G24</f>
        <v>YT22 Toimivan yrityksen tulossuunnitelma</v>
      </c>
      <c r="C64" s="120"/>
      <c r="D64" s="120"/>
      <c r="E64" s="120"/>
      <c r="F64" s="120"/>
      <c r="G64" s="2072" t="str">
        <f>OHJE!I21</f>
        <v>Kehittämisyhtiö Witas Oy</v>
      </c>
      <c r="H64" s="2072"/>
      <c r="I64" s="2072"/>
      <c r="J64" s="2072"/>
      <c r="K64" s="2072"/>
      <c r="L64" s="120"/>
      <c r="M64" s="120"/>
      <c r="N64" s="120"/>
      <c r="O64" s="120"/>
      <c r="P64" s="120"/>
      <c r="Q64" s="120"/>
      <c r="R64" s="2055" t="str">
        <f>OHJE!G24</f>
        <v>YT22 Toimivan yrityksen tulossuunnitelma</v>
      </c>
      <c r="S64" s="2055"/>
      <c r="T64" s="2055"/>
      <c r="U64" s="2055"/>
      <c r="V64" s="120"/>
      <c r="W64" s="120"/>
      <c r="X64" s="120"/>
      <c r="Y64" s="120"/>
      <c r="Z64" s="120"/>
      <c r="AA64" s="120"/>
      <c r="AB64" s="120"/>
      <c r="AC64" s="120"/>
      <c r="AD64" s="120"/>
    </row>
    <row r="65" spans="1:30" hidden="1" x14ac:dyDescent="0.2">
      <c r="A65" s="120"/>
      <c r="B65" s="1999"/>
      <c r="C65" s="1999"/>
      <c r="D65" s="1999"/>
      <c r="E65" s="1999"/>
      <c r="F65" s="120"/>
      <c r="G65" s="902"/>
      <c r="H65" s="902"/>
      <c r="I65" s="902"/>
      <c r="J65" s="902"/>
      <c r="K65" s="902"/>
      <c r="L65" s="120"/>
      <c r="M65" s="120"/>
      <c r="N65" s="120"/>
      <c r="O65" s="120"/>
      <c r="P65" s="120"/>
      <c r="Q65" s="120"/>
      <c r="R65" s="120"/>
      <c r="S65" s="120"/>
      <c r="T65" s="120"/>
      <c r="U65" s="1391"/>
      <c r="V65" s="120"/>
      <c r="W65" s="120"/>
      <c r="X65" s="120"/>
      <c r="Y65" s="120"/>
      <c r="Z65" s="120"/>
      <c r="AA65" s="120"/>
      <c r="AB65" s="120"/>
      <c r="AC65" s="120"/>
      <c r="AD65" s="120"/>
    </row>
    <row r="66" spans="1:30" hidden="1" x14ac:dyDescent="0.2">
      <c r="A66" s="120"/>
      <c r="B66" s="126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399"/>
      <c r="N66" s="132"/>
      <c r="O66" s="132"/>
      <c r="P66" s="132"/>
      <c r="Q66" s="120"/>
      <c r="R66" s="120"/>
      <c r="S66" s="120"/>
      <c r="T66" s="120"/>
      <c r="U66" s="120"/>
      <c r="V66" s="120"/>
      <c r="W66" s="120"/>
      <c r="X66" s="120"/>
      <c r="Y66" s="120"/>
      <c r="Z66" s="120"/>
      <c r="AA66" s="120"/>
      <c r="AB66" s="120"/>
      <c r="AC66" s="120"/>
      <c r="AD66" s="120"/>
    </row>
    <row r="67" spans="1:30" hidden="1" x14ac:dyDescent="0.2">
      <c r="A67" s="120"/>
      <c r="B67" s="1400" t="s">
        <v>248</v>
      </c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32"/>
      <c r="N67" s="132"/>
      <c r="O67" s="132"/>
      <c r="P67" s="132"/>
      <c r="Q67" s="120"/>
      <c r="R67" s="120"/>
      <c r="S67" s="120"/>
      <c r="T67" s="120"/>
      <c r="U67" s="120"/>
      <c r="V67" s="120"/>
      <c r="W67" s="120"/>
      <c r="X67" s="120"/>
      <c r="Y67" s="120"/>
      <c r="Z67" s="120"/>
      <c r="AA67" s="120"/>
      <c r="AB67" s="120"/>
      <c r="AC67" s="120"/>
      <c r="AD67" s="120"/>
    </row>
    <row r="68" spans="1:30" hidden="1" x14ac:dyDescent="0.2">
      <c r="A68" s="120"/>
      <c r="B68" s="358" t="s">
        <v>249</v>
      </c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</row>
    <row r="69" spans="1:30" hidden="1" x14ac:dyDescent="0.2">
      <c r="A69" s="120"/>
      <c r="B69" s="358" t="s">
        <v>250</v>
      </c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</row>
    <row r="70" spans="1:30" hidden="1" x14ac:dyDescent="0.2">
      <c r="A70" s="120"/>
      <c r="B70" s="126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  <c r="AA70" s="120"/>
      <c r="AB70" s="120"/>
      <c r="AC70" s="120"/>
      <c r="AD70" s="120"/>
    </row>
    <row r="71" spans="1:30" x14ac:dyDescent="0.2">
      <c r="A71" s="120"/>
      <c r="B71" s="126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  <c r="AA71" s="120"/>
      <c r="AB71" s="120"/>
      <c r="AC71" s="120"/>
      <c r="AD71" s="120"/>
    </row>
    <row r="72" spans="1:30" hidden="1" x14ac:dyDescent="0.2">
      <c r="A72" s="120"/>
      <c r="B72" s="126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011" t="s">
        <v>480</v>
      </c>
      <c r="N72" s="122"/>
      <c r="O72" s="122"/>
      <c r="P72" s="1014">
        <f>P11</f>
        <v>2024</v>
      </c>
      <c r="Q72" s="1014">
        <f>Q11</f>
        <v>2025</v>
      </c>
      <c r="R72" s="1023" t="s">
        <v>67</v>
      </c>
      <c r="S72" s="1023" t="s">
        <v>55</v>
      </c>
      <c r="T72" s="1023" t="s">
        <v>57</v>
      </c>
      <c r="U72" s="1023" t="s">
        <v>195</v>
      </c>
      <c r="V72" s="120"/>
      <c r="W72" s="120"/>
      <c r="X72" s="120"/>
      <c r="Y72" s="120"/>
      <c r="Z72" s="120"/>
      <c r="AA72" s="120"/>
      <c r="AB72" s="120"/>
      <c r="AC72" s="120"/>
      <c r="AD72" s="120"/>
    </row>
    <row r="73" spans="1:30" hidden="1" x14ac:dyDescent="0.2">
      <c r="A73" s="120"/>
      <c r="B73" s="126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012" t="s">
        <v>481</v>
      </c>
      <c r="N73" s="1012"/>
      <c r="O73" s="1012"/>
      <c r="P73" s="1024"/>
      <c r="Q73" s="1024"/>
      <c r="R73" s="1024"/>
      <c r="S73" s="1024"/>
      <c r="T73" s="1024"/>
      <c r="U73" s="1025"/>
      <c r="V73" s="120"/>
      <c r="W73" s="120"/>
      <c r="X73" s="120"/>
      <c r="Y73" s="120"/>
      <c r="Z73" s="120"/>
      <c r="AA73" s="120"/>
      <c r="AB73" s="120"/>
      <c r="AC73" s="120"/>
      <c r="AD73" s="120"/>
    </row>
    <row r="74" spans="1:30" hidden="1" x14ac:dyDescent="0.2">
      <c r="A74" s="120"/>
      <c r="B74" s="126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012" t="s">
        <v>482</v>
      </c>
      <c r="N74" s="1012"/>
      <c r="O74" s="1012"/>
      <c r="P74" s="607">
        <f>P20+'2. &amp; 7. T2 TULOSSUUN. '!E24+'2. &amp; 7. T2 TULOSSUUN. '!E25+'2. &amp; 7. T2 TULOSSUUN. '!E27</f>
        <v>0</v>
      </c>
      <c r="Q74" s="607">
        <f>Q20+'2. &amp; 7. T2 TULOSSUUN. '!G24+'2. &amp; 7. T2 TULOSSUUN. '!G25+'2. &amp; 7. T2 TULOSSUUN. '!G27</f>
        <v>0</v>
      </c>
      <c r="R74" s="607">
        <f>R20+'2. &amp; 7. T2 TULOSSUUN. '!I24+'2. &amp; 7. T2 TULOSSUUN. '!I25+'2. &amp; 7. T2 TULOSSUUN. '!I27</f>
        <v>0</v>
      </c>
      <c r="S74" s="607">
        <f>S20+'2. &amp; 7. T2 TULOSSUUN. '!K24+'2. &amp; 7. T2 TULOSSUUN. '!K25+'2. &amp; 7. T2 TULOSSUUN. '!K27</f>
        <v>0</v>
      </c>
      <c r="T74" s="607">
        <f>T20+'2. &amp; 7. T2 TULOSSUUN. '!M24+'2. &amp; 7. T2 TULOSSUUN. '!M25+'2. &amp; 7. T2 TULOSSUUN. '!M27</f>
        <v>0</v>
      </c>
      <c r="U74" s="607">
        <f>U20+'2. &amp; 7. T2 TULOSSUUN. '!O24+'2. &amp; 7. T2 TULOSSUUN. '!O25+'2. &amp; 7. T2 TULOSSUUN. '!O27</f>
        <v>0</v>
      </c>
      <c r="V74" s="120"/>
      <c r="W74" s="120"/>
      <c r="X74" s="120"/>
      <c r="Y74" s="120"/>
      <c r="Z74" s="120"/>
      <c r="AA74" s="120"/>
      <c r="AB74" s="120"/>
      <c r="AC74" s="120"/>
      <c r="AD74" s="120"/>
    </row>
    <row r="75" spans="1:30" hidden="1" x14ac:dyDescent="0.2">
      <c r="A75" s="120"/>
      <c r="B75" s="126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012" t="s">
        <v>483</v>
      </c>
      <c r="N75" s="1012"/>
      <c r="O75" s="1012"/>
      <c r="P75" s="607">
        <v>0</v>
      </c>
      <c r="Q75" s="607">
        <f>P76</f>
        <v>0</v>
      </c>
      <c r="R75" s="607">
        <f>Q76</f>
        <v>0</v>
      </c>
      <c r="S75" s="607">
        <f>R76</f>
        <v>0</v>
      </c>
      <c r="T75" s="607">
        <f>S76</f>
        <v>0</v>
      </c>
      <c r="U75" s="607">
        <f>T76</f>
        <v>0</v>
      </c>
      <c r="V75" s="120"/>
      <c r="W75" s="120"/>
      <c r="X75" s="120"/>
      <c r="Y75" s="120"/>
      <c r="Z75" s="120"/>
      <c r="AA75" s="120"/>
      <c r="AB75" s="120"/>
      <c r="AC75" s="120"/>
      <c r="AD75" s="120"/>
    </row>
    <row r="76" spans="1:30" hidden="1" x14ac:dyDescent="0.2">
      <c r="A76" s="120"/>
      <c r="B76" s="126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012" t="s">
        <v>484</v>
      </c>
      <c r="N76" s="1012"/>
      <c r="O76" s="1012"/>
      <c r="P76" s="607">
        <f>'3. T3 TASE '!F54</f>
        <v>0</v>
      </c>
      <c r="Q76" s="607">
        <f>'3. T3 TASE '!G54</f>
        <v>0</v>
      </c>
      <c r="R76" s="607">
        <f>'3. T3 TASE '!H54</f>
        <v>0</v>
      </c>
      <c r="S76" s="607">
        <f>'3. T3 TASE '!I54</f>
        <v>0</v>
      </c>
      <c r="T76" s="607">
        <f>'3. T3 TASE '!J54</f>
        <v>0</v>
      </c>
      <c r="U76" s="607">
        <f>'3. T3 TASE '!K54</f>
        <v>0</v>
      </c>
      <c r="V76" s="120"/>
      <c r="W76" s="120"/>
      <c r="X76" s="120"/>
      <c r="Y76" s="120"/>
      <c r="Z76" s="120"/>
      <c r="AA76" s="120"/>
      <c r="AB76" s="120"/>
      <c r="AC76" s="120"/>
      <c r="AD76" s="120"/>
    </row>
    <row r="77" spans="1:30" hidden="1" x14ac:dyDescent="0.2">
      <c r="A77" s="120"/>
      <c r="B77" s="126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012" t="s">
        <v>485</v>
      </c>
      <c r="N77" s="1012"/>
      <c r="O77" s="1012"/>
      <c r="P77" s="607">
        <f t="shared" ref="P77:U77" si="8">(P75+P76)/2</f>
        <v>0</v>
      </c>
      <c r="Q77" s="607">
        <f t="shared" si="8"/>
        <v>0</v>
      </c>
      <c r="R77" s="607">
        <f t="shared" si="8"/>
        <v>0</v>
      </c>
      <c r="S77" s="607">
        <f t="shared" si="8"/>
        <v>0</v>
      </c>
      <c r="T77" s="607">
        <f t="shared" si="8"/>
        <v>0</v>
      </c>
      <c r="U77" s="607">
        <f t="shared" si="8"/>
        <v>0</v>
      </c>
      <c r="V77" s="120"/>
      <c r="W77" s="120"/>
      <c r="X77" s="120"/>
      <c r="Y77" s="120"/>
      <c r="Z77" s="120"/>
      <c r="AA77" s="120"/>
      <c r="AB77" s="120"/>
      <c r="AC77" s="120"/>
      <c r="AD77" s="120"/>
    </row>
    <row r="78" spans="1:30" hidden="1" x14ac:dyDescent="0.2">
      <c r="A78" s="120"/>
      <c r="B78" s="126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2"/>
      <c r="N78" s="122"/>
      <c r="O78" s="122"/>
      <c r="P78" s="607"/>
      <c r="Q78" s="607"/>
      <c r="R78" s="607"/>
      <c r="S78" s="607"/>
      <c r="T78" s="607"/>
      <c r="U78" s="607"/>
      <c r="V78" s="120"/>
      <c r="W78" s="120"/>
      <c r="X78" s="120"/>
      <c r="Y78" s="120"/>
      <c r="Z78" s="120"/>
      <c r="AA78" s="120"/>
      <c r="AB78" s="120"/>
      <c r="AC78" s="120"/>
      <c r="AD78" s="120"/>
    </row>
    <row r="79" spans="1:30" hidden="1" x14ac:dyDescent="0.2">
      <c r="A79" s="120"/>
      <c r="B79" s="126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012" t="s">
        <v>486</v>
      </c>
      <c r="N79" s="1012"/>
      <c r="O79" s="1012"/>
      <c r="P79" s="607"/>
      <c r="Q79" s="607">
        <f>P80</f>
        <v>0</v>
      </c>
      <c r="R79" s="607">
        <f>Q80</f>
        <v>0</v>
      </c>
      <c r="S79" s="607">
        <f>R80</f>
        <v>0</v>
      </c>
      <c r="T79" s="607">
        <f>S80</f>
        <v>0</v>
      </c>
      <c r="U79" s="607">
        <f>T80</f>
        <v>0</v>
      </c>
      <c r="V79" s="120"/>
      <c r="W79" s="120"/>
      <c r="X79" s="120"/>
      <c r="Y79" s="120"/>
      <c r="Z79" s="120"/>
      <c r="AA79" s="120"/>
      <c r="AB79" s="120"/>
      <c r="AC79" s="120"/>
      <c r="AD79" s="120"/>
    </row>
    <row r="80" spans="1:30" hidden="1" x14ac:dyDescent="0.2">
      <c r="A80" s="120"/>
      <c r="B80" s="126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012" t="s">
        <v>487</v>
      </c>
      <c r="N80" s="1012"/>
      <c r="O80" s="1012"/>
      <c r="P80" s="607">
        <f>'3. T3 TASE '!F65+'3. T3 TASE '!F74+'3. T3 TASE '!F77+'3. T3 TASE '!F81</f>
        <v>0</v>
      </c>
      <c r="Q80" s="607">
        <f>'3. T3 TASE '!G65+'3. T3 TASE '!G74+'3. T3 TASE '!G77+'3. T3 TASE '!G81</f>
        <v>0</v>
      </c>
      <c r="R80" s="607">
        <f>'3. T3 TASE '!H65+'3. T3 TASE '!H74+'3. T3 TASE '!H77+'3. T3 TASE '!H81</f>
        <v>0</v>
      </c>
      <c r="S80" s="607">
        <f>'3. T3 TASE '!I65+'3. T3 TASE '!I74+'3. T3 TASE '!I77+'3. T3 TASE '!I81</f>
        <v>0</v>
      </c>
      <c r="T80" s="607">
        <f>'3. T3 TASE '!J65+'3. T3 TASE '!J74+'3. T3 TASE '!J77+'3. T3 TASE '!J81</f>
        <v>0</v>
      </c>
      <c r="U80" s="607">
        <f>'3. T3 TASE '!K65+'3. T3 TASE '!K74+'3. T3 TASE '!K77+'3. T3 TASE '!K81</f>
        <v>0</v>
      </c>
      <c r="V80" s="120"/>
      <c r="W80" s="120"/>
      <c r="X80" s="120"/>
      <c r="Y80" s="120"/>
      <c r="Z80" s="120"/>
      <c r="AA80" s="120"/>
      <c r="AB80" s="120"/>
      <c r="AC80" s="120"/>
      <c r="AD80" s="120"/>
    </row>
    <row r="81" spans="1:30" hidden="1" x14ac:dyDescent="0.2">
      <c r="A81" s="120"/>
      <c r="B81" s="126"/>
      <c r="C81" s="120"/>
      <c r="D81" s="120"/>
      <c r="E81" s="120"/>
      <c r="F81" s="120"/>
      <c r="G81" s="120"/>
      <c r="H81" s="120"/>
      <c r="I81" s="120"/>
      <c r="J81" s="120"/>
      <c r="K81" s="120"/>
      <c r="L81" s="120"/>
      <c r="M81" s="1012" t="s">
        <v>488</v>
      </c>
      <c r="N81" s="1012"/>
      <c r="O81" s="1012"/>
      <c r="P81" s="607">
        <f t="shared" ref="P81:U81" si="9">(P79+P80)/2</f>
        <v>0</v>
      </c>
      <c r="Q81" s="607">
        <f t="shared" si="9"/>
        <v>0</v>
      </c>
      <c r="R81" s="607">
        <f t="shared" si="9"/>
        <v>0</v>
      </c>
      <c r="S81" s="607">
        <f t="shared" si="9"/>
        <v>0</v>
      </c>
      <c r="T81" s="607">
        <f t="shared" si="9"/>
        <v>0</v>
      </c>
      <c r="U81" s="607">
        <f t="shared" si="9"/>
        <v>0</v>
      </c>
      <c r="V81" s="120"/>
      <c r="W81" s="120"/>
      <c r="X81" s="120"/>
      <c r="Y81" s="120"/>
      <c r="Z81" s="120"/>
      <c r="AA81" s="120"/>
      <c r="AB81" s="120"/>
      <c r="AC81" s="120"/>
      <c r="AD81" s="120"/>
    </row>
    <row r="82" spans="1:30" hidden="1" x14ac:dyDescent="0.2">
      <c r="A82" s="120"/>
      <c r="B82" s="126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026" t="s">
        <v>489</v>
      </c>
      <c r="N82" s="1026"/>
      <c r="O82" s="1027"/>
      <c r="P82" s="693">
        <f t="shared" ref="P82:U82" si="10">IF(P77&lt;0,P81,P77+P81)</f>
        <v>0</v>
      </c>
      <c r="Q82" s="693">
        <f t="shared" si="10"/>
        <v>0</v>
      </c>
      <c r="R82" s="693">
        <f t="shared" si="10"/>
        <v>0</v>
      </c>
      <c r="S82" s="693">
        <f t="shared" si="10"/>
        <v>0</v>
      </c>
      <c r="T82" s="693">
        <f t="shared" si="10"/>
        <v>0</v>
      </c>
      <c r="U82" s="693">
        <f t="shared" si="10"/>
        <v>0</v>
      </c>
      <c r="V82" s="120"/>
      <c r="W82" s="120"/>
      <c r="X82" s="120"/>
      <c r="Y82" s="120"/>
      <c r="Z82" s="120"/>
      <c r="AA82" s="120"/>
      <c r="AB82" s="120"/>
      <c r="AC82" s="120"/>
      <c r="AD82" s="120"/>
    </row>
    <row r="83" spans="1:30" hidden="1" x14ac:dyDescent="0.2">
      <c r="A83" s="120"/>
      <c r="B83" s="126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011"/>
      <c r="N83" s="1011"/>
      <c r="O83" s="1011"/>
      <c r="P83" s="1538"/>
      <c r="Q83" s="1538"/>
      <c r="R83" s="1538"/>
      <c r="S83" s="1538"/>
      <c r="T83" s="1538"/>
      <c r="U83" s="1538"/>
      <c r="V83" s="120"/>
      <c r="W83" s="120"/>
      <c r="X83" s="120"/>
      <c r="Y83" s="120"/>
      <c r="Z83" s="120"/>
      <c r="AA83" s="120"/>
      <c r="AB83" s="120"/>
      <c r="AC83" s="120"/>
      <c r="AD83" s="120"/>
    </row>
    <row r="84" spans="1:30" hidden="1" x14ac:dyDescent="0.2">
      <c r="A84" s="120"/>
      <c r="B84" s="126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359" t="s">
        <v>603</v>
      </c>
      <c r="N84" s="120"/>
      <c r="O84" s="120"/>
      <c r="P84" s="1401"/>
      <c r="Q84" s="1401"/>
      <c r="R84" s="1401">
        <f>R85+R86+R87+R89</f>
        <v>0</v>
      </c>
      <c r="S84" s="1401">
        <f t="shared" ref="S84:U84" si="11">S85+S86+S87+S89</f>
        <v>0</v>
      </c>
      <c r="T84" s="1401">
        <f t="shared" si="11"/>
        <v>0</v>
      </c>
      <c r="U84" s="1401">
        <f t="shared" si="11"/>
        <v>0</v>
      </c>
      <c r="V84" s="120"/>
      <c r="W84" s="120"/>
      <c r="X84" s="120"/>
      <c r="Y84" s="120"/>
      <c r="Z84" s="120"/>
      <c r="AA84" s="120"/>
      <c r="AB84" s="120"/>
      <c r="AC84" s="120"/>
      <c r="AD84" s="120"/>
    </row>
    <row r="85" spans="1:30" hidden="1" x14ac:dyDescent="0.2">
      <c r="A85" s="120"/>
      <c r="B85" s="126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539" t="s">
        <v>600</v>
      </c>
      <c r="N85" s="120"/>
      <c r="O85" s="120"/>
      <c r="P85" s="604"/>
      <c r="Q85" s="604"/>
      <c r="R85" s="1401">
        <f>'3. T3 TASE '!G75</f>
        <v>0</v>
      </c>
      <c r="S85" s="1401">
        <f>'3. T3 TASE '!H75</f>
        <v>0</v>
      </c>
      <c r="T85" s="1401">
        <f>'3. T3 TASE '!I75</f>
        <v>0</v>
      </c>
      <c r="U85" s="1401">
        <f>'3. T3 TASE '!J75</f>
        <v>0</v>
      </c>
      <c r="V85" s="120"/>
      <c r="W85" s="120"/>
      <c r="X85" s="120"/>
      <c r="Y85" s="120"/>
      <c r="Z85" s="120"/>
      <c r="AA85" s="120"/>
      <c r="AB85" s="120"/>
      <c r="AC85" s="120"/>
      <c r="AD85" s="120"/>
    </row>
    <row r="86" spans="1:30" hidden="1" x14ac:dyDescent="0.2">
      <c r="A86" s="120"/>
      <c r="B86" s="126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539" t="s">
        <v>601</v>
      </c>
      <c r="N86" s="120"/>
      <c r="O86" s="120"/>
      <c r="P86" s="604"/>
      <c r="Q86" s="604"/>
      <c r="R86" s="1401">
        <f>'1. T1 INVESTOINTISUUN.'!D50</f>
        <v>0</v>
      </c>
      <c r="S86" s="1401">
        <f>'1. T1 INVESTOINTISUUN.'!E50</f>
        <v>0</v>
      </c>
      <c r="T86" s="1401">
        <f>'1. T1 INVESTOINTISUUN.'!F50</f>
        <v>0</v>
      </c>
      <c r="U86" s="1401">
        <f>'1. T1 INVESTOINTISUUN.'!G50</f>
        <v>0</v>
      </c>
      <c r="V86" s="120"/>
      <c r="W86" s="120"/>
      <c r="X86" s="120"/>
      <c r="Y86" s="120"/>
      <c r="Z86" s="120"/>
      <c r="AA86" s="120"/>
      <c r="AB86" s="120"/>
      <c r="AC86" s="120"/>
      <c r="AD86" s="120"/>
    </row>
    <row r="87" spans="1:30" hidden="1" x14ac:dyDescent="0.2">
      <c r="A87" s="120"/>
      <c r="B87" s="126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539" t="s">
        <v>76</v>
      </c>
      <c r="N87" s="120"/>
      <c r="O87" s="120"/>
      <c r="P87" s="1540"/>
      <c r="Q87" s="1540"/>
      <c r="R87" s="1401">
        <f>H61</f>
        <v>0</v>
      </c>
      <c r="S87" s="1401">
        <f t="shared" ref="S87:U87" si="12">I61</f>
        <v>0</v>
      </c>
      <c r="T87" s="1401">
        <f t="shared" si="12"/>
        <v>0</v>
      </c>
      <c r="U87" s="1401">
        <f t="shared" si="12"/>
        <v>0</v>
      </c>
      <c r="V87" s="120"/>
      <c r="W87" s="120"/>
      <c r="X87" s="120"/>
      <c r="Y87" s="120"/>
      <c r="Z87" s="120"/>
      <c r="AA87" s="120"/>
      <c r="AB87" s="120"/>
      <c r="AC87" s="120"/>
      <c r="AD87" s="120"/>
    </row>
    <row r="88" spans="1:30" hidden="1" x14ac:dyDescent="0.2">
      <c r="A88" s="120"/>
      <c r="B88" s="126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539" t="s">
        <v>200</v>
      </c>
      <c r="N88" s="120"/>
      <c r="O88" s="120"/>
      <c r="P88" s="1540"/>
      <c r="Q88" s="1540"/>
      <c r="R88" s="1401">
        <f>'3. T3 TASE '!H54</f>
        <v>0</v>
      </c>
      <c r="S88" s="1401">
        <f>'3. T3 TASE '!I54</f>
        <v>0</v>
      </c>
      <c r="T88" s="1401">
        <f>'3. T3 TASE '!J54</f>
        <v>0</v>
      </c>
      <c r="U88" s="1401">
        <f>'3. T3 TASE '!K54</f>
        <v>0</v>
      </c>
      <c r="V88" s="120"/>
      <c r="W88" s="120"/>
      <c r="X88" s="120"/>
      <c r="Y88" s="120"/>
      <c r="Z88" s="120"/>
      <c r="AA88" s="120"/>
      <c r="AB88" s="120"/>
      <c r="AC88" s="120"/>
      <c r="AD88" s="120"/>
    </row>
    <row r="89" spans="1:30" hidden="1" x14ac:dyDescent="0.2">
      <c r="A89" s="120"/>
      <c r="B89" s="126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539" t="s">
        <v>602</v>
      </c>
      <c r="N89" s="120"/>
      <c r="O89" s="120"/>
      <c r="P89" s="1540"/>
      <c r="Q89" s="1540"/>
      <c r="R89" s="1401">
        <f>10%*R88</f>
        <v>0</v>
      </c>
      <c r="S89" s="1401"/>
      <c r="T89" s="1401"/>
      <c r="U89" s="1401"/>
      <c r="V89" s="120"/>
      <c r="W89" s="120"/>
      <c r="X89" s="120"/>
      <c r="Y89" s="120"/>
      <c r="Z89" s="120"/>
      <c r="AA89" s="120"/>
      <c r="AB89" s="120"/>
      <c r="AC89" s="120"/>
      <c r="AD89" s="120"/>
    </row>
    <row r="90" spans="1:30" hidden="1" x14ac:dyDescent="0.2">
      <c r="A90" s="120"/>
      <c r="B90" s="126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359"/>
      <c r="N90" s="120"/>
      <c r="O90" s="120"/>
      <c r="P90" s="1401"/>
      <c r="Q90" s="1401"/>
      <c r="R90" s="1401"/>
      <c r="S90" s="1401"/>
      <c r="T90" s="1401"/>
      <c r="U90" s="1401"/>
      <c r="V90" s="120"/>
      <c r="W90" s="120"/>
      <c r="X90" s="120"/>
      <c r="Y90" s="120"/>
      <c r="Z90" s="120"/>
      <c r="AA90" s="120"/>
      <c r="AB90" s="120"/>
      <c r="AC90" s="120"/>
      <c r="AD90" s="120"/>
    </row>
    <row r="91" spans="1:30" hidden="1" x14ac:dyDescent="0.2">
      <c r="A91" s="120"/>
      <c r="B91" s="126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013" t="s">
        <v>490</v>
      </c>
      <c r="N91" s="1402"/>
      <c r="O91" s="1402"/>
      <c r="P91" s="1403"/>
      <c r="Q91" s="1403"/>
      <c r="R91" s="1403"/>
      <c r="S91" s="1403"/>
      <c r="T91" s="1403"/>
      <c r="U91" s="1403"/>
      <c r="V91" s="120"/>
      <c r="W91" s="120"/>
      <c r="X91" s="120"/>
      <c r="Y91" s="120"/>
      <c r="Z91" s="120"/>
      <c r="AA91" s="120"/>
      <c r="AB91" s="120"/>
      <c r="AC91" s="120"/>
      <c r="AD91" s="120"/>
    </row>
    <row r="92" spans="1:30" hidden="1" x14ac:dyDescent="0.2">
      <c r="A92" s="120"/>
      <c r="B92" s="126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029" t="s">
        <v>501</v>
      </c>
      <c r="N92" s="1029"/>
      <c r="O92" s="1029"/>
      <c r="P92" s="1404"/>
      <c r="Q92" s="1404"/>
      <c r="R92" s="1404"/>
      <c r="S92" s="1404"/>
      <c r="T92" s="1404"/>
      <c r="U92" s="1404"/>
      <c r="V92" s="120"/>
      <c r="W92" s="120"/>
      <c r="X92" s="120"/>
      <c r="Y92" s="120"/>
      <c r="Z92" s="120"/>
      <c r="AA92" s="120"/>
      <c r="AB92" s="120"/>
      <c r="AC92" s="120"/>
      <c r="AD92" s="120"/>
    </row>
    <row r="93" spans="1:30" hidden="1" x14ac:dyDescent="0.2">
      <c r="A93" s="120"/>
      <c r="B93" s="126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405" t="s">
        <v>491</v>
      </c>
      <c r="N93" s="1405"/>
      <c r="O93" s="1406"/>
      <c r="P93" s="607">
        <f>P80-'3. T3 TASE '!F94</f>
        <v>0</v>
      </c>
      <c r="Q93" s="607">
        <f>Q80-'3. T3 TASE '!G94</f>
        <v>0</v>
      </c>
      <c r="R93" s="607">
        <f>R80-'3. T3 TASE '!H94</f>
        <v>0</v>
      </c>
      <c r="S93" s="607">
        <f>S80-'3. T3 TASE '!I94</f>
        <v>0</v>
      </c>
      <c r="T93" s="607">
        <f>T80-'3. T3 TASE '!J94</f>
        <v>0</v>
      </c>
      <c r="U93" s="607">
        <f>U80-'3. T3 TASE '!K94</f>
        <v>0</v>
      </c>
      <c r="V93" s="120"/>
      <c r="W93" s="120"/>
      <c r="X93" s="120"/>
      <c r="Y93" s="120"/>
      <c r="Z93" s="120"/>
      <c r="AA93" s="120"/>
      <c r="AB93" s="120"/>
      <c r="AC93" s="120"/>
      <c r="AD93" s="120"/>
    </row>
    <row r="94" spans="1:30" hidden="1" x14ac:dyDescent="0.2">
      <c r="A94" s="120"/>
      <c r="B94" s="126"/>
      <c r="C94" s="120"/>
      <c r="D94" s="120"/>
      <c r="E94" s="120"/>
      <c r="F94" s="120"/>
      <c r="G94" s="120"/>
      <c r="H94" s="120"/>
      <c r="I94" s="120"/>
      <c r="J94" s="120"/>
      <c r="K94" s="120"/>
      <c r="L94" s="120"/>
      <c r="M94" s="1012" t="s">
        <v>492</v>
      </c>
      <c r="N94" s="1407"/>
      <c r="O94" s="1408"/>
      <c r="P94" s="607">
        <f>'3. T3 TASE '!F46+'3. T3 TASE '!F47</f>
        <v>0</v>
      </c>
      <c r="Q94" s="607">
        <f>'3. T3 TASE '!G46+'3. T3 TASE '!G47</f>
        <v>0</v>
      </c>
      <c r="R94" s="607">
        <f>'3. T3 TASE '!H46+'3. T3 TASE '!H47</f>
        <v>0</v>
      </c>
      <c r="S94" s="607">
        <f>'3. T3 TASE '!I46+'3. T3 TASE '!I47</f>
        <v>0</v>
      </c>
      <c r="T94" s="607">
        <f>'3. T3 TASE '!J46+'3. T3 TASE '!J47</f>
        <v>0</v>
      </c>
      <c r="U94" s="607">
        <f>'3. T3 TASE '!K46+'3. T3 TASE '!K47</f>
        <v>0</v>
      </c>
      <c r="V94" s="120"/>
      <c r="W94" s="120"/>
      <c r="X94" s="120"/>
      <c r="Y94" s="120"/>
      <c r="Z94" s="120"/>
      <c r="AA94" s="120"/>
      <c r="AB94" s="120"/>
      <c r="AC94" s="120"/>
      <c r="AD94" s="120"/>
    </row>
    <row r="95" spans="1:30" x14ac:dyDescent="0.2">
      <c r="A95" s="120"/>
      <c r="B95" s="126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  <c r="AA95" s="120"/>
      <c r="AB95" s="120"/>
      <c r="AC95" s="120"/>
      <c r="AD95" s="120"/>
    </row>
    <row r="96" spans="1:30" x14ac:dyDescent="0.2">
      <c r="A96" s="120"/>
      <c r="B96" s="126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</row>
    <row r="97" spans="1:30" x14ac:dyDescent="0.2">
      <c r="A97" s="120"/>
      <c r="B97" s="126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</row>
    <row r="98" spans="1:30" x14ac:dyDescent="0.2">
      <c r="A98" s="120"/>
      <c r="B98" s="126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  <c r="AA98" s="120"/>
      <c r="AB98" s="120"/>
      <c r="AC98" s="120"/>
      <c r="AD98" s="120"/>
    </row>
    <row r="99" spans="1:30" x14ac:dyDescent="0.2">
      <c r="A99" s="120"/>
      <c r="B99" s="126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  <c r="AA99" s="120"/>
      <c r="AB99" s="120"/>
      <c r="AC99" s="120"/>
      <c r="AD99" s="120"/>
    </row>
    <row r="100" spans="1:30" x14ac:dyDescent="0.2">
      <c r="A100" s="120"/>
      <c r="B100" s="126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0"/>
    </row>
  </sheetData>
  <sheetProtection algorithmName="SHA-512" hashValue="3WR5wNJC17FPkkflU+2qRHzVBWaTKdN9yVQqTkeofn/f8jzWz1SHFln+kF74mKW8eiOSCyT93mMGa+CV66StFA==" saltValue="oMKkZyzAMgKTV22DiiCXQg==" spinCount="100000" sheet="1" objects="1" scenarios="1" selectLockedCells="1"/>
  <mergeCells count="72">
    <mergeCell ref="M52:O52"/>
    <mergeCell ref="M4:N4"/>
    <mergeCell ref="B3:C4"/>
    <mergeCell ref="B8:F8"/>
    <mergeCell ref="B6:F6"/>
    <mergeCell ref="C33:D33"/>
    <mergeCell ref="C24:D24"/>
    <mergeCell ref="C19:D19"/>
    <mergeCell ref="M33:O33"/>
    <mergeCell ref="M31:O31"/>
    <mergeCell ref="C27:D27"/>
    <mergeCell ref="M26:O26"/>
    <mergeCell ref="M29:O29"/>
    <mergeCell ref="C37:D37"/>
    <mergeCell ref="C28:D28"/>
    <mergeCell ref="C29:D29"/>
    <mergeCell ref="C30:D30"/>
    <mergeCell ref="C44:E44"/>
    <mergeCell ref="C36:D36"/>
    <mergeCell ref="C35:D35"/>
    <mergeCell ref="C34:D34"/>
    <mergeCell ref="B65:E65"/>
    <mergeCell ref="R64:U64"/>
    <mergeCell ref="C61:D61"/>
    <mergeCell ref="M10:O11"/>
    <mergeCell ref="B10:E12"/>
    <mergeCell ref="C56:D56"/>
    <mergeCell ref="C57:D57"/>
    <mergeCell ref="C58:D58"/>
    <mergeCell ref="C59:D59"/>
    <mergeCell ref="C60:D60"/>
    <mergeCell ref="C51:D51"/>
    <mergeCell ref="C52:D52"/>
    <mergeCell ref="G64:K64"/>
    <mergeCell ref="C20:G20"/>
    <mergeCell ref="C26:D26"/>
    <mergeCell ref="C25:D25"/>
    <mergeCell ref="R5:U5"/>
    <mergeCell ref="R6:U6"/>
    <mergeCell ref="H5:K5"/>
    <mergeCell ref="H6:K6"/>
    <mergeCell ref="C18:D18"/>
    <mergeCell ref="J7:K7"/>
    <mergeCell ref="M8:P8"/>
    <mergeCell ref="M6:P6"/>
    <mergeCell ref="B13:E14"/>
    <mergeCell ref="C17:D17"/>
    <mergeCell ref="C16:D16"/>
    <mergeCell ref="C15:D15"/>
    <mergeCell ref="M49:O49"/>
    <mergeCell ref="M50:O50"/>
    <mergeCell ref="M44:O44"/>
    <mergeCell ref="M43:O43"/>
    <mergeCell ref="M42:O42"/>
    <mergeCell ref="M39:O39"/>
    <mergeCell ref="M16:O16"/>
    <mergeCell ref="M19:O19"/>
    <mergeCell ref="M21:O21"/>
    <mergeCell ref="M25:O25"/>
    <mergeCell ref="M22:O22"/>
    <mergeCell ref="M37:O37"/>
    <mergeCell ref="M34:O34"/>
    <mergeCell ref="I63:K63"/>
    <mergeCell ref="C54:D54"/>
    <mergeCell ref="C55:D55"/>
    <mergeCell ref="C38:D38"/>
    <mergeCell ref="C53:D53"/>
    <mergeCell ref="C50:D50"/>
    <mergeCell ref="C49:D49"/>
    <mergeCell ref="C40:D40"/>
    <mergeCell ref="C39:D39"/>
    <mergeCell ref="B46:E48"/>
  </mergeCells>
  <conditionalFormatting sqref="P22:U22">
    <cfRule type="containsText" dxfId="53" priority="28" operator="containsText" text="Tyydyttävä">
      <formula>NOT(ISERROR(SEARCH("Tyydyttävä",P22)))</formula>
    </cfRule>
    <cfRule type="containsText" dxfId="52" priority="29" operator="containsText" text="Hyvä">
      <formula>NOT(ISERROR(SEARCH("Hyvä",P22)))</formula>
    </cfRule>
    <cfRule type="containsText" dxfId="51" priority="30" operator="containsText" text="Heikko">
      <formula>NOT(ISERROR(SEARCH("Heikko",P22)))</formula>
    </cfRule>
  </conditionalFormatting>
  <conditionalFormatting sqref="P27:U27">
    <cfRule type="containsText" dxfId="50" priority="1" operator="containsText" text="Heikko">
      <formula>NOT(ISERROR(SEARCH("Heikko",P27)))</formula>
    </cfRule>
    <cfRule type="containsText" dxfId="49" priority="3" operator="containsText" text="Riittävä">
      <formula>NOT(ISERROR(SEARCH("Riittävä",P27)))</formula>
    </cfRule>
  </conditionalFormatting>
  <conditionalFormatting sqref="P30:U30">
    <cfRule type="containsText" dxfId="48" priority="25" operator="containsText" text="Tyydyttävä">
      <formula>NOT(ISERROR(SEARCH("Tyydyttävä",P30)))</formula>
    </cfRule>
    <cfRule type="containsText" dxfId="47" priority="26" operator="containsText" text="Hyvä">
      <formula>NOT(ISERROR(SEARCH("Hyvä",P30)))</formula>
    </cfRule>
    <cfRule type="containsText" dxfId="46" priority="27" operator="containsText" text="Heikko">
      <formula>NOT(ISERROR(SEARCH("Heikko",P30)))</formula>
    </cfRule>
  </conditionalFormatting>
  <conditionalFormatting sqref="P32:U32">
    <cfRule type="containsText" dxfId="45" priority="22" operator="containsText" text="Hyvä">
      <formula>NOT(ISERROR(SEARCH("Hyvä",P32)))</formula>
    </cfRule>
    <cfRule type="containsText" dxfId="44" priority="23" operator="containsText" text="Tyydyttävä">
      <formula>NOT(ISERROR(SEARCH("Tyydyttävä",P32)))</formula>
    </cfRule>
    <cfRule type="containsText" dxfId="43" priority="24" operator="containsText" text="Heikko">
      <formula>NOT(ISERROR(SEARCH("Heikko",P32)))</formula>
    </cfRule>
  </conditionalFormatting>
  <conditionalFormatting sqref="P38:U38">
    <cfRule type="containsText" dxfId="42" priority="10" operator="containsText" text="Tyydyttävä">
      <formula>NOT(ISERROR(SEARCH("Tyydyttävä",P38)))</formula>
    </cfRule>
    <cfRule type="containsText" dxfId="41" priority="16" operator="containsText" text="Hyvä">
      <formula>NOT(ISERROR(SEARCH("Hyvä",P38)))</formula>
    </cfRule>
    <cfRule type="containsText" dxfId="40" priority="18" operator="containsText" text="Heikko">
      <formula>NOT(ISERROR(SEARCH("Heikko",P38)))</formula>
    </cfRule>
  </conditionalFormatting>
  <conditionalFormatting sqref="P40:U40">
    <cfRule type="containsText" dxfId="39" priority="8" operator="containsText" text="Hyvä">
      <formula>NOT(ISERROR(SEARCH("Hyvä",P40)))</formula>
    </cfRule>
    <cfRule type="containsText" dxfId="38" priority="9" operator="containsText" text="Nettovelaton">
      <formula>NOT(ISERROR(SEARCH("Nettovelaton",P40)))</formula>
    </cfRule>
    <cfRule type="containsText" dxfId="37" priority="12" operator="containsText" text="Heikko">
      <formula>NOT(ISERROR(SEARCH("Heikko",P40)))</formula>
    </cfRule>
  </conditionalFormatting>
  <conditionalFormatting sqref="P45:U45">
    <cfRule type="containsText" dxfId="36" priority="13" operator="containsText" text="Hyvä">
      <formula>NOT(ISERROR(SEARCH("Hyvä",P45)))</formula>
    </cfRule>
    <cfRule type="containsText" dxfId="35" priority="14" operator="containsText" text="Tyydyttävä">
      <formula>NOT(ISERROR(SEARCH("Tyydyttävä",P45)))</formula>
    </cfRule>
    <cfRule type="containsText" dxfId="34" priority="15" operator="containsText" text="Heikko">
      <formula>NOT(ISERROR(SEARCH("Heikko",P45)))</formula>
    </cfRule>
  </conditionalFormatting>
  <conditionalFormatting sqref="Q35:U35">
    <cfRule type="containsText" dxfId="33" priority="19" operator="containsText" text="Hyvä">
      <formula>NOT(ISERROR(SEARCH("Hyvä",Q35)))</formula>
    </cfRule>
    <cfRule type="containsText" dxfId="32" priority="20" operator="containsText" text="Tyydyttävä">
      <formula>NOT(ISERROR(SEARCH("Tyydyttävä",Q35)))</formula>
    </cfRule>
    <cfRule type="containsText" dxfId="31" priority="21" operator="containsText" text="Heikko">
      <formula>NOT(ISERROR(SEARCH("Heikko",Q35)))</formula>
    </cfRule>
  </conditionalFormatting>
  <printOptions horizontalCentered="1"/>
  <pageMargins left="0.25" right="0.25" top="0.75" bottom="0.75" header="0.3" footer="0.3"/>
  <pageSetup paperSize="9" scale="90" orientation="portrait" verticalDpi="4" r:id="rId1"/>
  <colBreaks count="1" manualBreakCount="1">
    <brk id="11" min="1" max="63" man="1"/>
  </colBreaks>
  <ignoredErrors>
    <ignoredError sqref="H39:K39" unlockedFormula="1"/>
    <ignoredError sqref="H49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14</vt:i4>
      </vt:variant>
      <vt:variant>
        <vt:lpstr>Nimetyt alueet</vt:lpstr>
      </vt:variant>
      <vt:variant>
        <vt:i4>27</vt:i4>
      </vt:variant>
    </vt:vector>
  </HeadingPairs>
  <TitlesOfParts>
    <vt:vector size="41" baseType="lpstr">
      <vt:lpstr>OHJE</vt:lpstr>
      <vt:lpstr>1. T1 INVESTOINTISUUN.</vt:lpstr>
      <vt:lpstr>2. &amp; 7. T2 TULOSSUUN. </vt:lpstr>
      <vt:lpstr>Kaavio</vt:lpstr>
      <vt:lpstr>3. T3 TASE </vt:lpstr>
      <vt:lpstr>4. T7 LAINAT </vt:lpstr>
      <vt:lpstr>5. E1 KUSTANNUKSET </vt:lpstr>
      <vt:lpstr>6. E2 LIIKEVAIHTO </vt:lpstr>
      <vt:lpstr>8. T4 RAHOITUSSUUN. </vt:lpstr>
      <vt:lpstr>9. T5 KASSABUDJETTI  </vt:lpstr>
      <vt:lpstr>AT T5 Kassa</vt:lpstr>
      <vt:lpstr>Tulostussivu</vt:lpstr>
      <vt:lpstr>AT1 Avustus, alv-laskenta </vt:lpstr>
      <vt:lpstr>AT2 Lainat,sotum., alv-osto</vt:lpstr>
      <vt:lpstr>_3_2010</vt:lpstr>
      <vt:lpstr>_3_2012</vt:lpstr>
      <vt:lpstr>'5. E1 KUSTANNUKSET '!Teksti37</vt:lpstr>
      <vt:lpstr>'5. E1 KUSTANNUKSET '!Teksti38</vt:lpstr>
      <vt:lpstr>'5. E1 KUSTANNUKSET '!Teksti39</vt:lpstr>
      <vt:lpstr>'1. T1 INVESTOINTISUUN.'!Tulostusalue</vt:lpstr>
      <vt:lpstr>'2. &amp; 7. T2 TULOSSUUN. '!Tulostusalue</vt:lpstr>
      <vt:lpstr>'3. T3 TASE '!Tulostusalue</vt:lpstr>
      <vt:lpstr>'4. T7 LAINAT '!Tulostusalue</vt:lpstr>
      <vt:lpstr>'5. E1 KUSTANNUKSET '!Tulostusalue</vt:lpstr>
      <vt:lpstr>'6. E2 LIIKEVAIHTO '!Tulostusalue</vt:lpstr>
      <vt:lpstr>'8. T4 RAHOITUSSUUN. '!Tulostusalue</vt:lpstr>
      <vt:lpstr>'9. T5 KASSABUDJETTI  '!Tulostusalue</vt:lpstr>
      <vt:lpstr>OHJE!Tulostusalue</vt:lpstr>
      <vt:lpstr>Tulostussivu!Tulostusalue</vt:lpstr>
      <vt:lpstr>'3. T3 TASE '!Tulostusotsikot</vt:lpstr>
      <vt:lpstr>'5. E1 KUSTANNUKSET '!Tulostusotsikot</vt:lpstr>
      <vt:lpstr>'5. E1 KUSTANNUKSET '!Yritystulkki</vt:lpstr>
      <vt:lpstr>'1. T1 INVESTOINTISUUN.'!YT</vt:lpstr>
      <vt:lpstr>'2. &amp; 7. T2 TULOSSUUN. '!YT</vt:lpstr>
      <vt:lpstr>'3. T3 TASE '!YT</vt:lpstr>
      <vt:lpstr>'4. T7 LAINAT '!YT</vt:lpstr>
      <vt:lpstr>'5. E1 KUSTANNUKSET '!YT</vt:lpstr>
      <vt:lpstr>'6. E2 LIIKEVAIHTO '!YT</vt:lpstr>
      <vt:lpstr>'8. T4 RAHOITUSSUUN. '!YT</vt:lpstr>
      <vt:lpstr>'9. T5 KASSABUDJETTI  '!YT</vt:lpstr>
      <vt:lpstr>Tulostussivu!YT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YT22 Toimivan yrityksen tulossuunnitelma</dc:title>
  <dc:creator>Yritystulkki</dc:creator>
  <cp:keywords>YT22</cp:keywords>
  <cp:lastModifiedBy>yritysTULKKI</cp:lastModifiedBy>
  <cp:lastPrinted>2026-04-29T10:16:33Z</cp:lastPrinted>
  <dcterms:created xsi:type="dcterms:W3CDTF">2006-08-01T10:09:48Z</dcterms:created>
  <dcterms:modified xsi:type="dcterms:W3CDTF">2026-05-21T05:49:01Z</dcterms:modified>
</cp:coreProperties>
</file>