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omments9.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0.xml" ContentType="application/vnd.openxmlformats-officedocument.spreadsheetml.comment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showInkAnnotation="0" updateLinks="never" codeName="TämäTyökirja"/>
  <mc:AlternateContent xmlns:mc="http://schemas.openxmlformats.org/markup-compatibility/2006">
    <mc:Choice Requires="x15">
      <x15ac:absPath xmlns:x15ac="http://schemas.microsoft.com/office/spreadsheetml/2010/11/ac" url="D:\Dropbox\YT ja FT OHJEITA, tekstit ja laskuesimerkit\Företagstolken Ohjesivujen esimerkit\"/>
    </mc:Choice>
  </mc:AlternateContent>
  <xr:revisionPtr revIDLastSave="0" documentId="13_ncr:1_{C4B80704-86DC-4E13-8D99-4C6FD4F2AB97}" xr6:coauthVersionLast="47" xr6:coauthVersionMax="47" xr10:uidLastSave="{00000000-0000-0000-0000-000000000000}"/>
  <workbookProtection workbookAlgorithmName="SHA-512" workbookHashValue="mVV7ENn7wi/wCWuZ6/6LWqF5x6QXu92dHGtUzBSP7LEHK1I9+G7si1TyK9Cv11e/cxpUW3J6+omty26T7IpF4g==" workbookSaltValue="q2CMMdcHR0ggTPeuKScNQQ==" workbookSpinCount="100000" lockStructure="1"/>
  <bookViews>
    <workbookView xWindow="-103" yWindow="-103" windowWidth="33120" windowHeight="18120" tabRatio="854" xr2:uid="{00000000-000D-0000-FFFF-FFFF00000000}"/>
  </bookViews>
  <sheets>
    <sheet name="STARTSIDAN" sheetId="31" r:id="rId1"/>
    <sheet name="1. T1 INVESTERINGSP. " sheetId="26" r:id="rId2"/>
    <sheet name="2. &amp; 7. T2  RESULTATB." sheetId="20" r:id="rId3"/>
    <sheet name="3. &amp; 8. T3 BALANS" sheetId="32" r:id="rId4"/>
    <sheet name="4. T7 LÅN " sheetId="28" r:id="rId5"/>
    <sheet name="5. E1 VERKSAMHETSKOSTN." sheetId="1" r:id="rId6"/>
    <sheet name="6. E2 OMSÄTTNING " sheetId="2" r:id="rId7"/>
    <sheet name="9. T4 FINANSIERINGSB. " sheetId="27" r:id="rId8"/>
    <sheet name="10. T5 KASSABUDGET " sheetId="30" r:id="rId9"/>
    <sheet name="AT T5 Kassa" sheetId="33" state="hidden" r:id="rId10"/>
    <sheet name="UTSKRIVNING" sheetId="35" r:id="rId11"/>
    <sheet name="AT1 Avustus, alv-laskenta" sheetId="22" state="hidden" r:id="rId12"/>
    <sheet name="AT2 Lainat, sotum, alv-osto" sheetId="29" state="hidden" r:id="rId13"/>
    <sheet name="Kaavio" sheetId="34" state="hidden" r:id="rId14"/>
  </sheets>
  <externalReferences>
    <externalReference r:id="rId15"/>
  </externalReferences>
  <definedNames>
    <definedName name="_3_2010">'5. E1 VERKSAMHETSKOSTN.'!$D$8</definedName>
    <definedName name="_3_2012">'5. E1 VERKSAMHETSKOSTN.'!$H$8</definedName>
    <definedName name="Rahapalkat__TyEL_työntekijät">'5. E1 VERKSAMHETSKOSTN.'!#REF!</definedName>
    <definedName name="Teksti37" localSheetId="5">'5. E1 VERKSAMHETSKOSTN.'!$F$6</definedName>
    <definedName name="Teksti38" localSheetId="5">'5. E1 VERKSAMHETSKOSTN.'!$F$8</definedName>
    <definedName name="Teksti39" localSheetId="5">'5. E1 VERKSAMHETSKOSTN.'!$H$8</definedName>
    <definedName name="Teksti39">#REF!</definedName>
    <definedName name="_xlnm.Print_Area" localSheetId="1">'1. T1 INVESTERINGSP. '!$B$2:$T$66</definedName>
    <definedName name="_xlnm.Print_Area" localSheetId="8">'10. T5 KASSABUDGET '!$B$10:$S$107</definedName>
    <definedName name="_xlnm.Print_Area" localSheetId="2">'2. &amp; 7. T2  RESULTATB.'!$B$1:$AF$36</definedName>
    <definedName name="_xlnm.Print_Area" localSheetId="3">'3. &amp; 8. T3 BALANS'!$B$2:$U$102</definedName>
    <definedName name="_xlnm.Print_Area" localSheetId="4">'4. T7 LÅN '!$B$2:$Q$59</definedName>
    <definedName name="_xlnm.Print_Area" localSheetId="5">'5. E1 VERKSAMHETSKOSTN.'!$B$2:$AB$127</definedName>
    <definedName name="_xlnm.Print_Area" localSheetId="6">'6. E2 OMSÄTTNING '!$B$2:$U$77</definedName>
    <definedName name="_xlnm.Print_Area" localSheetId="7">'9. T4 FINANSIERINGSB. '!$B$2:$U$64</definedName>
    <definedName name="_xlnm.Print_Area" localSheetId="0">STARTSIDAN!$A$4:$M$28</definedName>
    <definedName name="_xlnm.Print_Area" localSheetId="10">UTSKRIVNING!$B$2:$AX$80</definedName>
    <definedName name="_xlnm.Print_Titles" localSheetId="3">'3. &amp; 8. T3 BALANS'!$2:$9</definedName>
    <definedName name="_xlnm.Print_Titles" localSheetId="5">'5. E1 VERKSAMHETSKOSTN.'!$2:$10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 i="2" l="1"/>
  <c r="G5" i="20" l="1"/>
  <c r="B10" i="35"/>
  <c r="I8" i="35"/>
  <c r="I4" i="35"/>
  <c r="I6" i="35"/>
  <c r="B11" i="35"/>
  <c r="B8" i="35"/>
  <c r="I42" i="35"/>
  <c r="AX79" i="35" l="1"/>
  <c r="AO79" i="35"/>
  <c r="X79" i="35"/>
  <c r="O79" i="35"/>
  <c r="S106" i="30"/>
  <c r="S62" i="30"/>
  <c r="U63" i="27"/>
  <c r="K63" i="27"/>
  <c r="H76" i="2"/>
  <c r="M126" i="1"/>
  <c r="Q58" i="28"/>
  <c r="K100" i="32"/>
  <c r="P35" i="20"/>
  <c r="H64" i="26"/>
  <c r="L48" i="35"/>
  <c r="L46" i="35"/>
  <c r="L44" i="35"/>
  <c r="K48" i="35"/>
  <c r="K46" i="35"/>
  <c r="K44" i="35"/>
  <c r="AQ80" i="35" l="1"/>
  <c r="Z80" i="35"/>
  <c r="R80" i="35"/>
  <c r="B80" i="35"/>
  <c r="E17" i="35"/>
  <c r="F17" i="35"/>
  <c r="G17" i="35"/>
  <c r="D17" i="35"/>
  <c r="U45" i="30" l="1"/>
  <c r="M48" i="35" l="1"/>
  <c r="M46" i="35"/>
  <c r="M44" i="35"/>
  <c r="M42" i="35"/>
  <c r="L42" i="35"/>
  <c r="K42" i="35"/>
  <c r="O48" i="35"/>
  <c r="N48" i="35"/>
  <c r="O46" i="35"/>
  <c r="O44" i="35"/>
  <c r="O42" i="35"/>
  <c r="N42" i="35"/>
  <c r="U55" i="30" l="1"/>
  <c r="U56" i="30" l="1"/>
  <c r="H26" i="1" l="1"/>
  <c r="J26" i="1" s="1"/>
  <c r="L26" i="1" s="1"/>
  <c r="I33" i="20"/>
  <c r="K33" i="20" s="1"/>
  <c r="M33" i="20" s="1"/>
  <c r="O33" i="20" s="1"/>
  <c r="F14" i="2" l="1"/>
  <c r="G14" i="2" s="1"/>
  <c r="H14" i="2" s="1"/>
  <c r="H12" i="2"/>
  <c r="F20" i="2"/>
  <c r="G20" i="2" s="1"/>
  <c r="H20" i="2" s="1"/>
  <c r="F19" i="2"/>
  <c r="G19" i="2" s="1"/>
  <c r="H19" i="2" s="1"/>
  <c r="F18" i="2"/>
  <c r="G18" i="2" s="1"/>
  <c r="H18" i="2" s="1"/>
  <c r="F26" i="2"/>
  <c r="G26" i="2" s="1"/>
  <c r="H26" i="2" s="1"/>
  <c r="F24" i="2"/>
  <c r="G24" i="2" s="1"/>
  <c r="H24" i="2" s="1"/>
  <c r="M13" i="2"/>
  <c r="L19" i="2"/>
  <c r="M19" i="2" s="1"/>
  <c r="L25" i="2"/>
  <c r="M25" i="2" s="1"/>
  <c r="F25" i="2" l="1"/>
  <c r="G25" i="2" s="1"/>
  <c r="H25" i="2" s="1"/>
  <c r="F13" i="2"/>
  <c r="G13" i="2" s="1"/>
  <c r="H13" i="2" s="1"/>
  <c r="H20" i="1"/>
  <c r="J20" i="1" s="1"/>
  <c r="L20" i="1" s="1"/>
  <c r="AQ29" i="30" l="1"/>
  <c r="AO66" i="35"/>
  <c r="S47" i="32" l="1"/>
  <c r="AO29" i="30" l="1"/>
  <c r="AJ29" i="30" l="1"/>
  <c r="AH29" i="30"/>
  <c r="AA29" i="30"/>
  <c r="AC29" i="30"/>
  <c r="AS28" i="30"/>
  <c r="AR28" i="30"/>
  <c r="AK28" i="30"/>
  <c r="G55" i="30"/>
  <c r="G56" i="30"/>
  <c r="AV28" i="30" l="1"/>
  <c r="Q87" i="27" l="1"/>
  <c r="P87" i="27"/>
  <c r="C50" i="28" l="1"/>
  <c r="H29" i="1"/>
  <c r="H23" i="1"/>
  <c r="H16" i="1"/>
  <c r="J23" i="1" l="1"/>
  <c r="L23" i="1" s="1"/>
  <c r="AJ30" i="30"/>
  <c r="J29" i="1"/>
  <c r="L29" i="1" s="1"/>
  <c r="AQ30" i="30"/>
  <c r="J16" i="1"/>
  <c r="L16" i="1" s="1"/>
  <c r="AC30" i="30"/>
  <c r="D71" i="2"/>
  <c r="E66" i="2"/>
  <c r="H78" i="32" l="1"/>
  <c r="H69" i="32" l="1"/>
  <c r="H32" i="27" s="1"/>
  <c r="I69" i="32" l="1"/>
  <c r="M30" i="28"/>
  <c r="AQ18" i="35"/>
  <c r="J69" i="32" l="1"/>
  <c r="K69" i="32" s="1"/>
  <c r="Z8" i="35"/>
  <c r="T20" i="35"/>
  <c r="U20" i="35"/>
  <c r="V20" i="35"/>
  <c r="W20" i="35"/>
  <c r="X20" i="35"/>
  <c r="S20" i="35"/>
  <c r="H63" i="32"/>
  <c r="I63" i="32" s="1"/>
  <c r="J63" i="32" s="1"/>
  <c r="K63" i="32" s="1"/>
  <c r="G53" i="27" l="1"/>
  <c r="F53" i="27"/>
  <c r="F26" i="28" l="1"/>
  <c r="Z66" i="35" l="1"/>
  <c r="Z65" i="35"/>
  <c r="Z64" i="35"/>
  <c r="F51" i="1" l="1"/>
  <c r="AO70" i="35" l="1"/>
  <c r="AO69" i="35"/>
  <c r="AO68" i="35"/>
  <c r="I44" i="35" l="1"/>
  <c r="F20" i="28" l="1"/>
  <c r="M41" i="35" l="1"/>
  <c r="E68" i="2" l="1"/>
  <c r="E67" i="2"/>
  <c r="F86" i="1"/>
  <c r="H74" i="32"/>
  <c r="C52" i="28" l="1"/>
  <c r="C20" i="28"/>
  <c r="AS14" i="35" l="1"/>
  <c r="AS13" i="35"/>
  <c r="AL8" i="35"/>
  <c r="AL70" i="35"/>
  <c r="AI70" i="35"/>
  <c r="AF70" i="35"/>
  <c r="AF69" i="35"/>
  <c r="H72" i="32"/>
  <c r="I72" i="32" l="1"/>
  <c r="AF68" i="35"/>
  <c r="AC68" i="35"/>
  <c r="AA68" i="35"/>
  <c r="AM65" i="35"/>
  <c r="AM64" i="35"/>
  <c r="AM63" i="35"/>
  <c r="AJ64" i="35"/>
  <c r="AJ63" i="35"/>
  <c r="AG63" i="35"/>
  <c r="AL66" i="35"/>
  <c r="AK66" i="35"/>
  <c r="AJ66" i="35"/>
  <c r="AC64" i="35"/>
  <c r="AC66" i="35"/>
  <c r="AB66" i="35"/>
  <c r="AA66" i="35"/>
  <c r="AC65" i="35"/>
  <c r="AB65" i="35"/>
  <c r="AA65" i="35"/>
  <c r="AB64" i="35"/>
  <c r="AA64" i="35"/>
  <c r="AA63" i="35"/>
  <c r="AC63" i="35"/>
  <c r="AB63" i="35"/>
  <c r="Z63" i="35"/>
  <c r="AM59" i="35"/>
  <c r="AN58" i="35"/>
  <c r="AM58" i="35"/>
  <c r="AN57" i="35"/>
  <c r="AM57" i="35"/>
  <c r="AN56" i="35"/>
  <c r="AM56" i="35"/>
  <c r="AM54" i="35"/>
  <c r="AN53" i="35"/>
  <c r="AM53" i="35"/>
  <c r="AN52" i="35"/>
  <c r="AM52" i="35"/>
  <c r="AN50" i="35"/>
  <c r="AM50" i="35"/>
  <c r="AN49" i="35"/>
  <c r="AM49" i="35"/>
  <c r="AM48" i="35"/>
  <c r="AN46" i="35"/>
  <c r="AM46" i="35"/>
  <c r="AM45" i="35"/>
  <c r="AL58" i="35"/>
  <c r="AK58" i="35"/>
  <c r="AJ58" i="35"/>
  <c r="AL57" i="35"/>
  <c r="AK57" i="35"/>
  <c r="AJ57" i="35"/>
  <c r="AL56" i="35"/>
  <c r="AK56" i="35"/>
  <c r="AJ56" i="35"/>
  <c r="AK54" i="35"/>
  <c r="AK53" i="35"/>
  <c r="AK52" i="35"/>
  <c r="AJ52" i="35"/>
  <c r="AK50" i="35"/>
  <c r="AJ50" i="35"/>
  <c r="AK49" i="35"/>
  <c r="AJ49" i="35"/>
  <c r="AK48" i="35"/>
  <c r="AJ48" i="35"/>
  <c r="AK46" i="35"/>
  <c r="AJ46" i="35"/>
  <c r="AJ45" i="35"/>
  <c r="AJ44" i="35"/>
  <c r="AI58" i="35"/>
  <c r="AH58" i="35"/>
  <c r="AG58" i="35"/>
  <c r="AI57" i="35"/>
  <c r="AH57" i="35"/>
  <c r="AG57" i="35"/>
  <c r="AI56" i="35"/>
  <c r="AH56" i="35"/>
  <c r="AG56" i="35"/>
  <c r="AI54" i="35"/>
  <c r="AH54" i="35"/>
  <c r="AG54" i="35"/>
  <c r="AI53" i="35"/>
  <c r="AH53" i="35"/>
  <c r="AG53" i="35"/>
  <c r="AI52" i="35"/>
  <c r="AH52" i="35"/>
  <c r="AG52" i="35"/>
  <c r="AH50" i="35"/>
  <c r="AG50" i="35"/>
  <c r="AH49" i="35"/>
  <c r="AG49" i="35"/>
  <c r="AH48" i="35"/>
  <c r="AH46" i="35"/>
  <c r="AG46" i="35"/>
  <c r="AH45" i="35"/>
  <c r="AG45" i="35"/>
  <c r="AF58" i="35"/>
  <c r="AE58" i="35"/>
  <c r="AD58" i="35"/>
  <c r="AF57" i="35"/>
  <c r="AE57" i="35"/>
  <c r="AD57" i="35"/>
  <c r="AF56" i="35"/>
  <c r="AE56" i="35"/>
  <c r="AD56" i="35"/>
  <c r="AF54" i="35"/>
  <c r="AE54" i="35"/>
  <c r="AD54" i="35"/>
  <c r="AF53" i="35"/>
  <c r="AE53" i="35"/>
  <c r="AD53" i="35"/>
  <c r="AF52" i="35"/>
  <c r="AE52" i="35"/>
  <c r="AD52" i="35"/>
  <c r="AF50" i="35"/>
  <c r="AE50" i="35"/>
  <c r="AD50" i="35"/>
  <c r="AF49" i="35"/>
  <c r="AE49" i="35"/>
  <c r="AD49" i="35"/>
  <c r="AF48" i="35"/>
  <c r="AE48" i="35"/>
  <c r="AD48" i="35"/>
  <c r="AE46" i="35"/>
  <c r="AD46" i="35"/>
  <c r="AE45" i="35"/>
  <c r="AM44" i="35"/>
  <c r="AG44" i="35"/>
  <c r="AE44" i="35"/>
  <c r="AD44" i="35"/>
  <c r="AC58" i="35"/>
  <c r="AB58" i="35"/>
  <c r="AA58" i="35"/>
  <c r="AC57" i="35"/>
  <c r="AB57" i="35"/>
  <c r="AA57" i="35"/>
  <c r="AC56" i="35"/>
  <c r="AB56" i="35"/>
  <c r="AA56" i="35"/>
  <c r="AC54" i="35"/>
  <c r="AB54" i="35"/>
  <c r="AA54" i="35"/>
  <c r="AC53" i="35"/>
  <c r="AB53" i="35"/>
  <c r="AA53" i="35"/>
  <c r="AC52" i="35"/>
  <c r="AB52" i="35"/>
  <c r="AA52" i="35"/>
  <c r="AC50" i="35"/>
  <c r="AB50" i="35"/>
  <c r="AA50" i="35"/>
  <c r="AC49" i="35"/>
  <c r="AB49" i="35"/>
  <c r="AA49" i="35"/>
  <c r="AC48" i="35"/>
  <c r="AB48" i="35"/>
  <c r="AA48" i="35"/>
  <c r="AC46" i="35"/>
  <c r="AB46" i="35"/>
  <c r="AA46" i="35"/>
  <c r="AC45" i="35"/>
  <c r="AB45" i="35"/>
  <c r="AA45" i="35"/>
  <c r="AC44" i="35"/>
  <c r="AA44" i="35"/>
  <c r="AB44" i="35"/>
  <c r="Z58" i="35"/>
  <c r="Z57" i="35"/>
  <c r="Z56" i="35"/>
  <c r="Z54" i="35"/>
  <c r="Z53" i="35"/>
  <c r="Z52" i="35"/>
  <c r="Z50" i="35"/>
  <c r="Z49" i="35"/>
  <c r="Z48" i="35"/>
  <c r="Z46" i="35"/>
  <c r="Z45" i="35"/>
  <c r="Z44" i="35"/>
  <c r="AN35" i="35"/>
  <c r="AN34" i="35"/>
  <c r="AM34" i="35"/>
  <c r="AN33" i="35"/>
  <c r="AN32" i="35"/>
  <c r="AM32" i="35"/>
  <c r="AN31" i="35"/>
  <c r="AM31" i="35"/>
  <c r="AN30" i="35"/>
  <c r="AN29" i="35"/>
  <c r="AK35" i="35"/>
  <c r="AK34" i="35"/>
  <c r="AJ34" i="35"/>
  <c r="AK33" i="35"/>
  <c r="AK32" i="35"/>
  <c r="AJ32" i="35"/>
  <c r="AK31" i="35"/>
  <c r="AJ31" i="35"/>
  <c r="AK30" i="35"/>
  <c r="AK29" i="35"/>
  <c r="AH35" i="35"/>
  <c r="AH34" i="35"/>
  <c r="AG34" i="35"/>
  <c r="AH33" i="35"/>
  <c r="AH32" i="35"/>
  <c r="AG32" i="35"/>
  <c r="AH31" i="35"/>
  <c r="AG31" i="35"/>
  <c r="AH30" i="35"/>
  <c r="AH29" i="35"/>
  <c r="AO34" i="35"/>
  <c r="AO32" i="35"/>
  <c r="AO31" i="35"/>
  <c r="AL34" i="35"/>
  <c r="AL32" i="35"/>
  <c r="AL31" i="35"/>
  <c r="AI34" i="35"/>
  <c r="AI32" i="35"/>
  <c r="AI31" i="35"/>
  <c r="AF34" i="35"/>
  <c r="AF32" i="35"/>
  <c r="AF31" i="35"/>
  <c r="AC31" i="35"/>
  <c r="AC32" i="35"/>
  <c r="AC33" i="35"/>
  <c r="AC34" i="35"/>
  <c r="AC35" i="35"/>
  <c r="AC30" i="35"/>
  <c r="AC29" i="35"/>
  <c r="Z31" i="35"/>
  <c r="Z32" i="35"/>
  <c r="Z33" i="35"/>
  <c r="Z34" i="35"/>
  <c r="Z35" i="35"/>
  <c r="Z30" i="35"/>
  <c r="Z29" i="35"/>
  <c r="AD40" i="35"/>
  <c r="AD38" i="35"/>
  <c r="AC38" i="35"/>
  <c r="AB38" i="35"/>
  <c r="AA38" i="35"/>
  <c r="AA67" i="35" l="1"/>
  <c r="AD30" i="35"/>
  <c r="AE30" i="35"/>
  <c r="AD31" i="35"/>
  <c r="AE31" i="35"/>
  <c r="AD32" i="35"/>
  <c r="AE32" i="35"/>
  <c r="AD33" i="35"/>
  <c r="AE33" i="35"/>
  <c r="AD34" i="35"/>
  <c r="AE34" i="35"/>
  <c r="AD35" i="35"/>
  <c r="AE35" i="35"/>
  <c r="AE29" i="35"/>
  <c r="AD29" i="35"/>
  <c r="AB30" i="35"/>
  <c r="AB31" i="35"/>
  <c r="AB32" i="35"/>
  <c r="AB33" i="35"/>
  <c r="AB34" i="35"/>
  <c r="AB35" i="35"/>
  <c r="AB29" i="35"/>
  <c r="AA30" i="35"/>
  <c r="AA31" i="35"/>
  <c r="AA32" i="35"/>
  <c r="AA33" i="35"/>
  <c r="AA34" i="35"/>
  <c r="AA35" i="35"/>
  <c r="AA29" i="35"/>
  <c r="AA59" i="35"/>
  <c r="AJ40" i="35"/>
  <c r="AG40" i="35"/>
  <c r="V67" i="35"/>
  <c r="W67" i="35"/>
  <c r="X67" i="35"/>
  <c r="U67" i="35"/>
  <c r="AA36" i="35" l="1"/>
  <c r="AA71" i="35" s="1"/>
  <c r="AD36" i="35"/>
  <c r="K28" i="20" l="1"/>
  <c r="B5" i="20" l="1"/>
  <c r="H16" i="28"/>
  <c r="I16" i="28"/>
  <c r="K16" i="28" s="1"/>
  <c r="L16" i="28" l="1"/>
  <c r="N16" i="28" s="1"/>
  <c r="O16" i="28"/>
  <c r="Q16" i="28" s="1"/>
  <c r="F123" i="1"/>
  <c r="F122" i="1"/>
  <c r="P123" i="1"/>
  <c r="Q123" i="1" s="1"/>
  <c r="R123" i="1" s="1"/>
  <c r="P122" i="1"/>
  <c r="Q122" i="1" s="1"/>
  <c r="R122" i="1" s="1"/>
  <c r="H123" i="1" l="1"/>
  <c r="H122" i="1"/>
  <c r="D70" i="2"/>
  <c r="J123" i="1" l="1"/>
  <c r="J122" i="1"/>
  <c r="L123" i="1" l="1"/>
  <c r="L122" i="1"/>
  <c r="F119" i="1" l="1"/>
  <c r="H119" i="1" s="1"/>
  <c r="J119" i="1" s="1"/>
  <c r="L119" i="1" s="1"/>
  <c r="O119" i="1" l="1"/>
  <c r="F120" i="1"/>
  <c r="P120" i="1"/>
  <c r="Q120" i="1" s="1"/>
  <c r="R120" i="1" s="1"/>
  <c r="H120" i="1" l="1"/>
  <c r="J120" i="1" s="1"/>
  <c r="L120" i="1" s="1"/>
  <c r="D31" i="22"/>
  <c r="E31" i="22"/>
  <c r="F31" i="22"/>
  <c r="C31" i="22"/>
  <c r="B31" i="22"/>
  <c r="D16" i="22"/>
  <c r="E16" i="22"/>
  <c r="F16" i="22"/>
  <c r="C16" i="22"/>
  <c r="I19" i="35" l="1"/>
  <c r="I18" i="35"/>
  <c r="I20" i="35"/>
  <c r="I22" i="35"/>
  <c r="I21" i="35"/>
  <c r="I23" i="35"/>
  <c r="I25" i="35"/>
  <c r="I24" i="35"/>
  <c r="I27" i="35"/>
  <c r="I26" i="35"/>
  <c r="I28" i="35"/>
  <c r="I29" i="35"/>
  <c r="P35" i="28" l="1"/>
  <c r="S102" i="30"/>
  <c r="H57" i="32" l="1"/>
  <c r="I57" i="32" l="1"/>
  <c r="J57" i="32" s="1"/>
  <c r="K57" i="32" l="1"/>
  <c r="N45" i="30" l="1"/>
  <c r="R45" i="30"/>
  <c r="P45" i="30"/>
  <c r="M45" i="30"/>
  <c r="K45" i="30"/>
  <c r="G45" i="30"/>
  <c r="O45" i="30"/>
  <c r="H45" i="30"/>
  <c r="Q45" i="30"/>
  <c r="I45" i="30"/>
  <c r="J45" i="30"/>
  <c r="L45" i="30"/>
  <c r="A25" i="29"/>
  <c r="D45" i="35" l="1"/>
  <c r="E45" i="35"/>
  <c r="F45" i="35"/>
  <c r="G45" i="35"/>
  <c r="D46" i="35"/>
  <c r="E46" i="35"/>
  <c r="F46" i="35"/>
  <c r="G46" i="35"/>
  <c r="C41" i="28" l="1"/>
  <c r="C48" i="28"/>
  <c r="G41" i="28"/>
  <c r="AE59" i="35" s="1"/>
  <c r="F18" i="28"/>
  <c r="C18" i="28"/>
  <c r="R18" i="28" s="1"/>
  <c r="H16" i="27"/>
  <c r="U54" i="35" s="1"/>
  <c r="R20" i="28" l="1"/>
  <c r="H30" i="27"/>
  <c r="K32" i="27"/>
  <c r="I32" i="27"/>
  <c r="J32" i="27"/>
  <c r="U53" i="30"/>
  <c r="C56" i="28"/>
  <c r="R53" i="30" l="1"/>
  <c r="L53" i="30"/>
  <c r="J53" i="26"/>
  <c r="J52" i="26"/>
  <c r="I17" i="35"/>
  <c r="F64" i="27"/>
  <c r="U64" i="27" s="1"/>
  <c r="K52" i="28" l="1"/>
  <c r="I74" i="32"/>
  <c r="N52" i="28" l="1"/>
  <c r="AI69" i="35"/>
  <c r="J74" i="32"/>
  <c r="M70" i="32"/>
  <c r="Q52" i="28" l="1"/>
  <c r="AL69" i="35"/>
  <c r="K74" i="32"/>
  <c r="M75" i="32" s="1"/>
  <c r="D29" i="22"/>
  <c r="E29" i="22"/>
  <c r="F29" i="22"/>
  <c r="C29" i="22"/>
  <c r="H57" i="26"/>
  <c r="H46" i="35" s="1"/>
  <c r="G40" i="26"/>
  <c r="D40" i="26"/>
  <c r="C28" i="22"/>
  <c r="M74" i="32" l="1"/>
  <c r="C30" i="22"/>
  <c r="C32" i="22" s="1"/>
  <c r="C33" i="22" s="1"/>
  <c r="I34" i="27"/>
  <c r="J34" i="27"/>
  <c r="K34" i="27"/>
  <c r="H34" i="27"/>
  <c r="H33" i="27" l="1"/>
  <c r="U66" i="35" s="1"/>
  <c r="J72" i="32"/>
  <c r="I33" i="27"/>
  <c r="V66" i="35" s="1"/>
  <c r="D20" i="22"/>
  <c r="E20" i="22"/>
  <c r="F20" i="22"/>
  <c r="C20" i="22"/>
  <c r="H56" i="26"/>
  <c r="H45" i="35" s="1"/>
  <c r="K72" i="32" l="1"/>
  <c r="K33" i="27" s="1"/>
  <c r="X66" i="35" s="1"/>
  <c r="J33" i="27"/>
  <c r="W66" i="35" s="1"/>
  <c r="H27" i="1"/>
  <c r="J27" i="1" s="1"/>
  <c r="L27" i="1" s="1"/>
  <c r="H21" i="1"/>
  <c r="M72" i="32" l="1"/>
  <c r="J21" i="1"/>
  <c r="L21" i="1" l="1"/>
  <c r="O14" i="28" l="1"/>
  <c r="O13" i="28"/>
  <c r="L14" i="28"/>
  <c r="L13" i="28"/>
  <c r="I17" i="28"/>
  <c r="AG35" i="35" s="1"/>
  <c r="I15" i="28"/>
  <c r="AG33" i="35" s="1"/>
  <c r="I14" i="28"/>
  <c r="I13" i="28"/>
  <c r="I12" i="28"/>
  <c r="AG30" i="35" s="1"/>
  <c r="I11" i="28"/>
  <c r="L12" i="28" l="1"/>
  <c r="AJ30" i="35" s="1"/>
  <c r="L15" i="28"/>
  <c r="O15" i="28" s="1"/>
  <c r="AM33" i="35" s="1"/>
  <c r="AJ33" i="35"/>
  <c r="L11" i="28"/>
  <c r="AG29" i="35"/>
  <c r="AG36" i="35" s="1"/>
  <c r="L17" i="28"/>
  <c r="O12" i="28" l="1"/>
  <c r="AM30" i="35" s="1"/>
  <c r="O11" i="28"/>
  <c r="AM29" i="35" s="1"/>
  <c r="AJ29" i="35"/>
  <c r="O17" i="28"/>
  <c r="AM35" i="35" s="1"/>
  <c r="AJ35" i="35"/>
  <c r="E19" i="35"/>
  <c r="F19" i="35"/>
  <c r="G19" i="35"/>
  <c r="D19" i="35"/>
  <c r="K13" i="28"/>
  <c r="K14" i="28"/>
  <c r="K15" i="28"/>
  <c r="AI33" i="35" s="1"/>
  <c r="K17" i="28"/>
  <c r="AI35" i="35" s="1"/>
  <c r="K12" i="28"/>
  <c r="AI30" i="35" s="1"/>
  <c r="H13" i="28"/>
  <c r="H14" i="28"/>
  <c r="H15" i="28"/>
  <c r="AF33" i="35" s="1"/>
  <c r="H17" i="28"/>
  <c r="AF35" i="35" s="1"/>
  <c r="H12" i="28"/>
  <c r="AF30" i="35" s="1"/>
  <c r="H11" i="28"/>
  <c r="AF29" i="35" s="1"/>
  <c r="AJ36" i="35" l="1"/>
  <c r="AM36" i="35"/>
  <c r="AF36" i="35"/>
  <c r="F121" i="1"/>
  <c r="U38" i="35" l="1"/>
  <c r="V38" i="35"/>
  <c r="W38" i="35"/>
  <c r="X38" i="35"/>
  <c r="R38" i="35"/>
  <c r="J50" i="26" l="1"/>
  <c r="I16" i="27" l="1"/>
  <c r="J16" i="27"/>
  <c r="K16" i="27"/>
  <c r="H9" i="2" l="1"/>
  <c r="G9" i="2"/>
  <c r="F9" i="2"/>
  <c r="E9" i="2"/>
  <c r="D9" i="2"/>
  <c r="F10" i="1"/>
  <c r="H10" i="1"/>
  <c r="J10" i="1"/>
  <c r="L10" i="1"/>
  <c r="D10" i="1"/>
  <c r="D71" i="35" l="1"/>
  <c r="H90" i="32" l="1"/>
  <c r="W34" i="35" l="1"/>
  <c r="X34" i="35"/>
  <c r="V34" i="35"/>
  <c r="S36" i="35" l="1"/>
  <c r="T36" i="35"/>
  <c r="S37" i="35"/>
  <c r="T37" i="35"/>
  <c r="U34" i="35"/>
  <c r="T34" i="35"/>
  <c r="S34" i="35"/>
  <c r="S28" i="35"/>
  <c r="T28" i="35"/>
  <c r="S29" i="35"/>
  <c r="T29" i="35"/>
  <c r="S30" i="35"/>
  <c r="T30" i="35"/>
  <c r="S32" i="35"/>
  <c r="T32" i="35"/>
  <c r="D72" i="35"/>
  <c r="D73" i="35"/>
  <c r="I12" i="35" l="1"/>
  <c r="I11" i="35"/>
  <c r="B9" i="35"/>
  <c r="F10" i="2"/>
  <c r="G10" i="2" s="1"/>
  <c r="H10" i="2" s="1"/>
  <c r="E7" i="2"/>
  <c r="F7" i="1" l="1"/>
  <c r="D65" i="30" l="1"/>
  <c r="I10" i="27" l="1"/>
  <c r="J10" i="27"/>
  <c r="K10" i="27"/>
  <c r="U10" i="27" s="1"/>
  <c r="G3" i="20" l="1"/>
  <c r="G42" i="26"/>
  <c r="F42" i="26"/>
  <c r="E42" i="26"/>
  <c r="F75" i="35" l="1"/>
  <c r="E77" i="2" l="1"/>
  <c r="H80" i="35"/>
  <c r="U80" i="35" s="1"/>
  <c r="AH80" i="35" s="1"/>
  <c r="AT80" i="35" s="1"/>
  <c r="F145" i="35"/>
  <c r="O145" i="35" l="1"/>
  <c r="I30" i="35"/>
  <c r="I16" i="35"/>
  <c r="V54" i="35" l="1"/>
  <c r="W54" i="35"/>
  <c r="X54" i="35"/>
  <c r="E16" i="35" l="1"/>
  <c r="F16" i="35"/>
  <c r="G16" i="35"/>
  <c r="E18" i="35"/>
  <c r="F18" i="35"/>
  <c r="G18" i="35"/>
  <c r="E20" i="35"/>
  <c r="F20" i="35"/>
  <c r="G20" i="35"/>
  <c r="P13" i="27" l="1"/>
  <c r="C3" i="34" s="1"/>
  <c r="G21" i="35"/>
  <c r="F21" i="35"/>
  <c r="E21" i="35"/>
  <c r="D21" i="35"/>
  <c r="E29" i="35" l="1"/>
  <c r="F29" i="35"/>
  <c r="G29" i="35"/>
  <c r="D29" i="35"/>
  <c r="F73" i="35"/>
  <c r="N72" i="35"/>
  <c r="L72" i="35"/>
  <c r="J72" i="35"/>
  <c r="H72" i="35"/>
  <c r="F72" i="35"/>
  <c r="K8" i="20" l="1"/>
  <c r="M8" i="20" s="1"/>
  <c r="R184" i="35"/>
  <c r="AQ7" i="35"/>
  <c r="O8" i="20" l="1"/>
  <c r="F93" i="29"/>
  <c r="H93" i="29" l="1"/>
  <c r="L8" i="1"/>
  <c r="H8" i="2" s="1"/>
  <c r="K11" i="27" s="1"/>
  <c r="T47" i="35"/>
  <c r="S47" i="35"/>
  <c r="T43" i="35"/>
  <c r="S43" i="35"/>
  <c r="U40" i="35"/>
  <c r="T40" i="35"/>
  <c r="S40" i="35"/>
  <c r="T23" i="35"/>
  <c r="T22" i="35"/>
  <c r="T21" i="35"/>
  <c r="S19" i="35"/>
  <c r="T19" i="35"/>
  <c r="T18" i="35"/>
  <c r="T16" i="35"/>
  <c r="T14" i="35"/>
  <c r="T13" i="35"/>
  <c r="T12" i="35"/>
  <c r="T11" i="35"/>
  <c r="S13" i="35"/>
  <c r="S12" i="35"/>
  <c r="S11" i="35"/>
  <c r="S10" i="35"/>
  <c r="T10" i="35"/>
  <c r="T8" i="35"/>
  <c r="S23" i="35"/>
  <c r="S22" i="35"/>
  <c r="S21" i="35"/>
  <c r="S18" i="35"/>
  <c r="S16" i="35"/>
  <c r="S14" i="35"/>
  <c r="S8" i="35"/>
  <c r="F54" i="35"/>
  <c r="H54" i="35"/>
  <c r="J54" i="35"/>
  <c r="L54" i="35"/>
  <c r="N54" i="35"/>
  <c r="D54" i="35"/>
  <c r="F52" i="35"/>
  <c r="H52" i="35"/>
  <c r="J52" i="35"/>
  <c r="L52" i="35"/>
  <c r="N52" i="35"/>
  <c r="D52" i="35"/>
  <c r="D15" i="35"/>
  <c r="D33" i="35" s="1"/>
  <c r="D75" i="35"/>
  <c r="O72" i="35"/>
  <c r="N57" i="35"/>
  <c r="N67" i="35"/>
  <c r="N68" i="35"/>
  <c r="M72" i="35"/>
  <c r="L57" i="35"/>
  <c r="L67" i="35"/>
  <c r="L68" i="35"/>
  <c r="K72" i="35"/>
  <c r="J57" i="35"/>
  <c r="J67" i="35"/>
  <c r="J68" i="35"/>
  <c r="I72" i="35"/>
  <c r="H57" i="35"/>
  <c r="H67" i="35"/>
  <c r="H68" i="35"/>
  <c r="G72" i="35"/>
  <c r="F56" i="35"/>
  <c r="F57" i="35"/>
  <c r="F59" i="35"/>
  <c r="F60" i="35"/>
  <c r="F61" i="35"/>
  <c r="F62" i="35"/>
  <c r="F63" i="35"/>
  <c r="F65" i="35"/>
  <c r="F67" i="35"/>
  <c r="F68" i="35"/>
  <c r="F69" i="35"/>
  <c r="F71" i="35"/>
  <c r="F55" i="35"/>
  <c r="E72" i="35"/>
  <c r="D56" i="35"/>
  <c r="D57" i="35"/>
  <c r="D59" i="35"/>
  <c r="D60" i="35"/>
  <c r="D61" i="35"/>
  <c r="D62" i="35"/>
  <c r="D63" i="35"/>
  <c r="D65" i="35"/>
  <c r="D67" i="35"/>
  <c r="D68" i="35"/>
  <c r="D69" i="35"/>
  <c r="D55" i="35"/>
  <c r="E36" i="35"/>
  <c r="F36" i="35"/>
  <c r="G36" i="35"/>
  <c r="E37" i="35"/>
  <c r="F37" i="35"/>
  <c r="G37" i="35"/>
  <c r="E39" i="35"/>
  <c r="F39" i="35"/>
  <c r="G39" i="35"/>
  <c r="E40" i="35"/>
  <c r="F40" i="35"/>
  <c r="G40" i="35"/>
  <c r="E42" i="35"/>
  <c r="F42" i="35"/>
  <c r="G42" i="35"/>
  <c r="E43" i="35"/>
  <c r="F43" i="35"/>
  <c r="G43" i="35"/>
  <c r="E44" i="35"/>
  <c r="F44" i="35"/>
  <c r="G44" i="35"/>
  <c r="D44" i="35"/>
  <c r="D43" i="35"/>
  <c r="D42" i="35"/>
  <c r="D40" i="35"/>
  <c r="D39" i="35"/>
  <c r="D37" i="35"/>
  <c r="D36" i="35"/>
  <c r="E24" i="35"/>
  <c r="F24" i="35"/>
  <c r="G24" i="35"/>
  <c r="E25" i="35"/>
  <c r="F25" i="35"/>
  <c r="G25" i="35"/>
  <c r="E26" i="35"/>
  <c r="F26" i="35"/>
  <c r="G26" i="35"/>
  <c r="E27" i="35"/>
  <c r="F27" i="35"/>
  <c r="G27" i="35"/>
  <c r="E28" i="35"/>
  <c r="F28" i="35"/>
  <c r="G28" i="35"/>
  <c r="D28" i="35"/>
  <c r="D27" i="35"/>
  <c r="D26" i="35"/>
  <c r="E23" i="35"/>
  <c r="F23" i="35"/>
  <c r="G23" i="35"/>
  <c r="D25" i="35"/>
  <c r="D24" i="35"/>
  <c r="D23" i="35"/>
  <c r="E22" i="35"/>
  <c r="F22" i="35"/>
  <c r="G22" i="35"/>
  <c r="D22" i="35"/>
  <c r="D20" i="35"/>
  <c r="D18" i="35"/>
  <c r="D16" i="35"/>
  <c r="H16" i="35" s="1"/>
  <c r="B12" i="35"/>
  <c r="I10" i="35"/>
  <c r="I9" i="35"/>
  <c r="X25" i="35"/>
  <c r="W25" i="35"/>
  <c r="V25" i="35"/>
  <c r="U25" i="35"/>
  <c r="S25" i="35"/>
  <c r="D146" i="35" l="1"/>
  <c r="X50" i="35"/>
  <c r="AX5" i="35"/>
  <c r="U50" i="35"/>
  <c r="AU5" i="35"/>
  <c r="V50" i="35"/>
  <c r="AV5" i="35"/>
  <c r="T25" i="35"/>
  <c r="AS5" i="35"/>
  <c r="AT5" i="35" s="1"/>
  <c r="W50" i="35"/>
  <c r="AW5" i="35"/>
  <c r="H23" i="35"/>
  <c r="H28" i="35"/>
  <c r="H26" i="35"/>
  <c r="H20" i="35"/>
  <c r="H18" i="35"/>
  <c r="H29" i="35"/>
  <c r="H21" i="35"/>
  <c r="E30" i="35"/>
  <c r="H24" i="35"/>
  <c r="G30" i="35"/>
  <c r="F30" i="35"/>
  <c r="D30" i="35"/>
  <c r="H30" i="35" l="1"/>
  <c r="J35" i="32" l="1"/>
  <c r="J40" i="27" s="1"/>
  <c r="W72" i="35" s="1"/>
  <c r="K35" i="32"/>
  <c r="I35" i="32"/>
  <c r="H35" i="32"/>
  <c r="F41" i="32"/>
  <c r="S17" i="35" s="1"/>
  <c r="I90" i="32" l="1"/>
  <c r="J90" i="32" s="1"/>
  <c r="K90" i="32" s="1"/>
  <c r="H40" i="27"/>
  <c r="U72" i="35" s="1"/>
  <c r="F89" i="32"/>
  <c r="P15" i="27" l="1"/>
  <c r="B25" i="27"/>
  <c r="B26" i="27" s="1"/>
  <c r="B27" i="27" s="1"/>
  <c r="B28" i="27" s="1"/>
  <c r="B29" i="27" s="1"/>
  <c r="B30" i="27" s="1"/>
  <c r="B31" i="27" s="1"/>
  <c r="B32" i="27" s="1"/>
  <c r="B33" i="27" s="1"/>
  <c r="B34" i="27" s="1"/>
  <c r="B35" i="27" s="1"/>
  <c r="B36" i="27" s="1"/>
  <c r="B37" i="27" s="1"/>
  <c r="B38" i="27" s="1"/>
  <c r="B39" i="27" s="1"/>
  <c r="B40" i="27" s="1"/>
  <c r="B41" i="27" s="1"/>
  <c r="B42" i="27" s="1"/>
  <c r="B43" i="27" s="1"/>
  <c r="P14" i="27" l="1"/>
  <c r="D76" i="35" l="1"/>
  <c r="G14" i="20"/>
  <c r="E14" i="20"/>
  <c r="H19" i="20" l="1"/>
  <c r="F19" i="20"/>
  <c r="D58" i="35"/>
  <c r="F58" i="35"/>
  <c r="G20" i="20"/>
  <c r="G22" i="20" l="1"/>
  <c r="Q18" i="27"/>
  <c r="F58" i="27"/>
  <c r="F56" i="27"/>
  <c r="F54" i="27"/>
  <c r="F55" i="27" s="1"/>
  <c r="AD11" i="35"/>
  <c r="F51" i="27"/>
  <c r="F49" i="27"/>
  <c r="G58" i="27"/>
  <c r="G56" i="27"/>
  <c r="G54" i="27"/>
  <c r="AF11" i="35"/>
  <c r="G51" i="27"/>
  <c r="G49" i="27"/>
  <c r="AD14" i="35" l="1"/>
  <c r="F57" i="27"/>
  <c r="AD16" i="35"/>
  <c r="F59" i="27"/>
  <c r="AD17" i="35" s="1"/>
  <c r="AF7" i="35"/>
  <c r="G50" i="27"/>
  <c r="AF8" i="35" s="1"/>
  <c r="AD7" i="35"/>
  <c r="F50" i="27"/>
  <c r="AF12" i="35"/>
  <c r="G55" i="27"/>
  <c r="AF13" i="35" s="1"/>
  <c r="AD12" i="35"/>
  <c r="G57" i="27"/>
  <c r="AF15" i="35" s="1"/>
  <c r="AF14" i="35"/>
  <c r="G59" i="27"/>
  <c r="AF17" i="35" s="1"/>
  <c r="AF16" i="35"/>
  <c r="G26" i="20"/>
  <c r="G15" i="27" s="1"/>
  <c r="Q32" i="27" s="1"/>
  <c r="Q33" i="27" s="1"/>
  <c r="Q20" i="27"/>
  <c r="Q74" i="27" s="1"/>
  <c r="AD9" i="35"/>
  <c r="F52" i="27"/>
  <c r="AD10" i="35" s="1"/>
  <c r="G52" i="27"/>
  <c r="AF9" i="35"/>
  <c r="F60" i="27"/>
  <c r="AD18" i="35" s="1"/>
  <c r="G60" i="27"/>
  <c r="AF18" i="35" s="1"/>
  <c r="AF10" i="35" l="1"/>
  <c r="H52" i="27"/>
  <c r="I52" i="27" s="1"/>
  <c r="G82" i="32"/>
  <c r="AD15" i="35"/>
  <c r="F82" i="32"/>
  <c r="F40" i="32"/>
  <c r="AD8" i="35"/>
  <c r="F45" i="32"/>
  <c r="AD13" i="35"/>
  <c r="F43" i="32"/>
  <c r="G61" i="27"/>
  <c r="AF19" i="35" s="1"/>
  <c r="F43" i="27" l="1"/>
  <c r="G43" i="27"/>
  <c r="AI68" i="35" l="1"/>
  <c r="F11" i="32"/>
  <c r="S6" i="35" s="1"/>
  <c r="S26" i="35" s="1"/>
  <c r="AS6" i="35" s="1"/>
  <c r="F95" i="32"/>
  <c r="F91" i="32"/>
  <c r="S46" i="35" s="1"/>
  <c r="F84" i="32"/>
  <c r="S45" i="35" s="1"/>
  <c r="F80" i="32"/>
  <c r="S44" i="35" s="1"/>
  <c r="F76" i="32"/>
  <c r="F71" i="32"/>
  <c r="S39" i="35" s="1"/>
  <c r="F62" i="32"/>
  <c r="S33" i="35" s="1"/>
  <c r="F38" i="32"/>
  <c r="F18" i="32"/>
  <c r="G11" i="32"/>
  <c r="T6" i="35" s="1"/>
  <c r="T26" i="35" s="1"/>
  <c r="AT6" i="35" s="1"/>
  <c r="F29" i="20"/>
  <c r="E73" i="35" s="1"/>
  <c r="AL68" i="35" l="1"/>
  <c r="F75" i="32"/>
  <c r="P27" i="27" s="1"/>
  <c r="S42" i="35"/>
  <c r="F67" i="32"/>
  <c r="P80" i="27" s="1"/>
  <c r="S15" i="35"/>
  <c r="F13" i="32"/>
  <c r="F51" i="32" s="1"/>
  <c r="C4" i="34" s="1"/>
  <c r="S9" i="35"/>
  <c r="F54" i="32"/>
  <c r="F11" i="27"/>
  <c r="P11" i="27" s="1"/>
  <c r="E20" i="20"/>
  <c r="P18" i="27" s="1"/>
  <c r="F15" i="20"/>
  <c r="E59" i="35" s="1"/>
  <c r="F17" i="20"/>
  <c r="E61" i="35" s="1"/>
  <c r="F23" i="20"/>
  <c r="E67" i="35" s="1"/>
  <c r="F18" i="20"/>
  <c r="E62" i="35" s="1"/>
  <c r="F24" i="20"/>
  <c r="E68" i="35" s="1"/>
  <c r="F27" i="20"/>
  <c r="E71" i="35" s="1"/>
  <c r="F30" i="20"/>
  <c r="E74" i="35" s="1"/>
  <c r="F21" i="20"/>
  <c r="E65" i="35" s="1"/>
  <c r="F16" i="20"/>
  <c r="E60" i="35" s="1"/>
  <c r="E63" i="35"/>
  <c r="F25" i="20"/>
  <c r="E69" i="35" s="1"/>
  <c r="S41" i="35" l="1"/>
  <c r="Q79" i="27"/>
  <c r="P81" i="27"/>
  <c r="P86" i="27"/>
  <c r="AD6" i="35"/>
  <c r="P72" i="27"/>
  <c r="S35" i="35"/>
  <c r="S7" i="35"/>
  <c r="S24" i="35"/>
  <c r="P46" i="27"/>
  <c r="C52" i="34" s="1"/>
  <c r="P29" i="27"/>
  <c r="AS10" i="35" s="1"/>
  <c r="P28" i="27"/>
  <c r="E22" i="20"/>
  <c r="D64" i="35"/>
  <c r="F47" i="27"/>
  <c r="C2" i="34"/>
  <c r="C26" i="34" s="1"/>
  <c r="P44" i="27"/>
  <c r="C50" i="34" s="1"/>
  <c r="F20" i="20"/>
  <c r="P19" i="27" s="1"/>
  <c r="P30" i="27" l="1"/>
  <c r="AS11" i="35" s="1"/>
  <c r="AS8" i="35"/>
  <c r="AS9" i="35"/>
  <c r="D66" i="35"/>
  <c r="P20" i="27"/>
  <c r="P74" i="27" s="1"/>
  <c r="G37" i="30"/>
  <c r="H35" i="1"/>
  <c r="F22" i="20"/>
  <c r="E26" i="20"/>
  <c r="F15" i="27" s="1"/>
  <c r="E64" i="35"/>
  <c r="H47" i="26"/>
  <c r="H37" i="35" s="1"/>
  <c r="H38" i="26"/>
  <c r="C28" i="34" l="1"/>
  <c r="P21" i="27"/>
  <c r="P22" i="27" s="1"/>
  <c r="E66" i="35"/>
  <c r="F26" i="20"/>
  <c r="E70" i="35" s="1"/>
  <c r="D70" i="35"/>
  <c r="E31" i="20"/>
  <c r="H50" i="27"/>
  <c r="C27" i="34" l="1"/>
  <c r="I40" i="32"/>
  <c r="AH8" i="35"/>
  <c r="P23" i="27"/>
  <c r="D74" i="35"/>
  <c r="F31" i="20"/>
  <c r="F60" i="32"/>
  <c r="P24" i="27" l="1"/>
  <c r="C29" i="34" s="1"/>
  <c r="F56" i="32"/>
  <c r="P76" i="27" s="1"/>
  <c r="P37" i="27" s="1"/>
  <c r="S31" i="35"/>
  <c r="E127" i="1"/>
  <c r="I59" i="28"/>
  <c r="M63" i="30"/>
  <c r="K101" i="32"/>
  <c r="I36" i="20"/>
  <c r="D65" i="26"/>
  <c r="P77" i="27" l="1"/>
  <c r="P82" i="27" s="1"/>
  <c r="P16" i="27" s="1"/>
  <c r="P25" i="27" s="1"/>
  <c r="C30" i="34" s="1"/>
  <c r="Q75" i="27"/>
  <c r="AS18" i="35"/>
  <c r="S107" i="30"/>
  <c r="F98" i="32"/>
  <c r="S27" i="35"/>
  <c r="H48" i="32"/>
  <c r="H79" i="32"/>
  <c r="P38" i="27" l="1"/>
  <c r="AS19" i="35" s="1"/>
  <c r="P35" i="27"/>
  <c r="P42" i="27" s="1"/>
  <c r="P45" i="27"/>
  <c r="C51" i="34" s="1"/>
  <c r="S48" i="35"/>
  <c r="C5" i="34"/>
  <c r="I48" i="32"/>
  <c r="U22" i="35"/>
  <c r="U43" i="35"/>
  <c r="I79" i="32"/>
  <c r="H29" i="27"/>
  <c r="U63" i="35" s="1"/>
  <c r="P49" i="27" l="1"/>
  <c r="C53" i="34" s="1"/>
  <c r="AS16" i="35"/>
  <c r="P36" i="27"/>
  <c r="AS17" i="35" s="1"/>
  <c r="V40" i="35"/>
  <c r="J48" i="32"/>
  <c r="V22" i="35"/>
  <c r="X40" i="35"/>
  <c r="W40" i="35"/>
  <c r="J79" i="32"/>
  <c r="V43" i="35"/>
  <c r="H19" i="27"/>
  <c r="U57" i="35" s="1"/>
  <c r="I78" i="32"/>
  <c r="J78" i="32" s="1"/>
  <c r="K78" i="32" s="1"/>
  <c r="I29" i="27"/>
  <c r="V63" i="35" s="1"/>
  <c r="H38" i="27"/>
  <c r="U70" i="35" s="1"/>
  <c r="P43" i="27" l="1"/>
  <c r="K48" i="32"/>
  <c r="W22" i="35"/>
  <c r="J29" i="27"/>
  <c r="W63" i="35" s="1"/>
  <c r="K79" i="32"/>
  <c r="X43" i="35" s="1"/>
  <c r="W43" i="35"/>
  <c r="J38" i="27"/>
  <c r="W70" i="35" s="1"/>
  <c r="I19" i="27"/>
  <c r="V57" i="35" s="1"/>
  <c r="I38" i="27"/>
  <c r="V70" i="35" s="1"/>
  <c r="K38" i="27" l="1"/>
  <c r="X70" i="35" s="1"/>
  <c r="X22" i="35"/>
  <c r="K29" i="27"/>
  <c r="X63" i="35" s="1"/>
  <c r="K19" i="27"/>
  <c r="X57" i="35" s="1"/>
  <c r="J19" i="27"/>
  <c r="W57" i="35" s="1"/>
  <c r="H61" i="32"/>
  <c r="H31" i="27" l="1"/>
  <c r="U65" i="35" s="1"/>
  <c r="I61" i="32"/>
  <c r="I31" i="27" s="1"/>
  <c r="V65" i="35" s="1"/>
  <c r="U32" i="35"/>
  <c r="U37" i="35"/>
  <c r="V32" i="35" l="1"/>
  <c r="V37" i="35"/>
  <c r="J61" i="32"/>
  <c r="Q35" i="1"/>
  <c r="K61" i="32" l="1"/>
  <c r="K31" i="27" s="1"/>
  <c r="X65" i="35" s="1"/>
  <c r="J31" i="27"/>
  <c r="W65" i="35" s="1"/>
  <c r="W32" i="35"/>
  <c r="R35" i="1"/>
  <c r="J35" i="1"/>
  <c r="X32" i="35" l="1"/>
  <c r="L35" i="1"/>
  <c r="X37" i="35"/>
  <c r="W37" i="35"/>
  <c r="C20" i="33" l="1"/>
  <c r="C30" i="33" s="1"/>
  <c r="G89" i="32"/>
  <c r="H89" i="32" s="1"/>
  <c r="I89" i="32" s="1"/>
  <c r="J89" i="32" s="1"/>
  <c r="K89" i="32" s="1"/>
  <c r="U31" i="30"/>
  <c r="C2" i="33"/>
  <c r="C34" i="33" s="1"/>
  <c r="L35" i="28"/>
  <c r="Q23" i="30"/>
  <c r="I95" i="32"/>
  <c r="O39" i="28"/>
  <c r="AB25" i="29" s="1"/>
  <c r="J26" i="28"/>
  <c r="AH44" i="35" s="1"/>
  <c r="R16" i="29"/>
  <c r="F114" i="1"/>
  <c r="F115" i="1"/>
  <c r="F101" i="1"/>
  <c r="F90" i="1"/>
  <c r="F91" i="1"/>
  <c r="F93" i="1"/>
  <c r="F77" i="1"/>
  <c r="F72" i="1"/>
  <c r="F73" i="1"/>
  <c r="F54" i="1"/>
  <c r="F55" i="1"/>
  <c r="F56" i="1"/>
  <c r="F57" i="1"/>
  <c r="F60" i="1"/>
  <c r="F49" i="1"/>
  <c r="F50" i="1"/>
  <c r="H33" i="1"/>
  <c r="J33" i="1" s="1"/>
  <c r="L33" i="1" s="1"/>
  <c r="H36" i="1"/>
  <c r="J36" i="1" s="1"/>
  <c r="B25" i="29"/>
  <c r="C25" i="29"/>
  <c r="D25" i="29"/>
  <c r="J25" i="29"/>
  <c r="L25" i="29"/>
  <c r="P25" i="29"/>
  <c r="P34" i="29" s="1"/>
  <c r="R34" i="29" s="1"/>
  <c r="R25" i="29"/>
  <c r="V25" i="29"/>
  <c r="V34" i="29" s="1"/>
  <c r="X34" i="29" s="1"/>
  <c r="X25" i="29"/>
  <c r="AD25" i="29"/>
  <c r="A24" i="29"/>
  <c r="B24" i="29"/>
  <c r="C24" i="29"/>
  <c r="AJ24" i="29" s="1"/>
  <c r="D24" i="29"/>
  <c r="J24" i="29"/>
  <c r="L24" i="29"/>
  <c r="P24" i="29"/>
  <c r="R24" i="29"/>
  <c r="V24" i="29"/>
  <c r="X24" i="29"/>
  <c r="AD24" i="29"/>
  <c r="O40" i="28"/>
  <c r="AB26" i="29" s="1"/>
  <c r="A22" i="29"/>
  <c r="B22" i="29"/>
  <c r="C22" i="29"/>
  <c r="AJ22" i="29" s="1"/>
  <c r="D22" i="29"/>
  <c r="W22" i="29"/>
  <c r="AC22" i="29" s="1"/>
  <c r="AI22" i="29" s="1"/>
  <c r="X22" i="29"/>
  <c r="AB22" i="29"/>
  <c r="AD22" i="29"/>
  <c r="L36" i="28"/>
  <c r="M31" i="28"/>
  <c r="P31" i="28" s="1"/>
  <c r="AD19" i="29" s="1"/>
  <c r="I31" i="28"/>
  <c r="P19" i="29" s="1"/>
  <c r="A19" i="29"/>
  <c r="B19" i="29"/>
  <c r="C19" i="29"/>
  <c r="D19" i="29"/>
  <c r="Q19" i="29"/>
  <c r="W19" i="29" s="1"/>
  <c r="AC19" i="29" s="1"/>
  <c r="AI19" i="29" s="1"/>
  <c r="R19" i="29"/>
  <c r="V19" i="29"/>
  <c r="AB19" i="29"/>
  <c r="A16" i="29"/>
  <c r="B16" i="29"/>
  <c r="C16" i="29"/>
  <c r="D16" i="29"/>
  <c r="L16" i="29"/>
  <c r="P16" i="29"/>
  <c r="V16" i="29"/>
  <c r="AB16" i="29"/>
  <c r="F27" i="28"/>
  <c r="F28" i="28"/>
  <c r="J17" i="29" s="1"/>
  <c r="J28" i="28"/>
  <c r="M28" i="28" s="1"/>
  <c r="M3" i="27"/>
  <c r="Q42" i="1"/>
  <c r="R42" i="1" s="1"/>
  <c r="F12" i="1"/>
  <c r="F41" i="1" s="1"/>
  <c r="I40" i="27"/>
  <c r="V72" i="35" s="1"/>
  <c r="K40" i="27"/>
  <c r="X72" i="35" s="1"/>
  <c r="O9" i="29"/>
  <c r="O10" i="29"/>
  <c r="O8" i="29"/>
  <c r="U28" i="35"/>
  <c r="S44" i="30"/>
  <c r="S30" i="30"/>
  <c r="K12" i="22"/>
  <c r="L12" i="22"/>
  <c r="M12" i="22"/>
  <c r="N12" i="22"/>
  <c r="O12" i="22"/>
  <c r="P12" i="22"/>
  <c r="Q12" i="22"/>
  <c r="R12" i="22"/>
  <c r="S12" i="22"/>
  <c r="T12" i="22"/>
  <c r="U12" i="22"/>
  <c r="V12" i="22"/>
  <c r="L16" i="22"/>
  <c r="M16" i="22"/>
  <c r="N16" i="22"/>
  <c r="O16" i="22"/>
  <c r="P16" i="22"/>
  <c r="Q16" i="22"/>
  <c r="R16" i="22"/>
  <c r="S16" i="22"/>
  <c r="T16" i="22"/>
  <c r="U16" i="22"/>
  <c r="V16" i="22"/>
  <c r="J12" i="22"/>
  <c r="J14" i="22"/>
  <c r="J16" i="22"/>
  <c r="J18" i="22"/>
  <c r="J22" i="22"/>
  <c r="J24" i="22"/>
  <c r="J10" i="22"/>
  <c r="I10" i="22"/>
  <c r="I12" i="22"/>
  <c r="I14" i="22"/>
  <c r="I16" i="22"/>
  <c r="I18" i="22"/>
  <c r="I22" i="22"/>
  <c r="I24" i="22"/>
  <c r="H10" i="22"/>
  <c r="E37" i="29"/>
  <c r="A7" i="29"/>
  <c r="B7" i="29"/>
  <c r="N7" i="29" s="1"/>
  <c r="C7" i="29"/>
  <c r="D7" i="29"/>
  <c r="L7" i="29"/>
  <c r="A8" i="29"/>
  <c r="B8" i="29"/>
  <c r="C8" i="29"/>
  <c r="D8" i="29"/>
  <c r="L8" i="29"/>
  <c r="A9" i="29"/>
  <c r="B9" i="29"/>
  <c r="N9" i="29" s="1"/>
  <c r="C9" i="29"/>
  <c r="AJ9" i="29" s="1"/>
  <c r="D9" i="29"/>
  <c r="L9" i="29"/>
  <c r="A10" i="29"/>
  <c r="B10" i="29"/>
  <c r="N10" i="29" s="1"/>
  <c r="C10" i="29"/>
  <c r="AJ10" i="29" s="1"/>
  <c r="D10" i="29"/>
  <c r="L10" i="29"/>
  <c r="A11" i="29"/>
  <c r="B11" i="29"/>
  <c r="C11" i="29"/>
  <c r="D11" i="29"/>
  <c r="L11" i="29"/>
  <c r="A12" i="29"/>
  <c r="B12" i="29"/>
  <c r="N12" i="29" s="1"/>
  <c r="C12" i="29"/>
  <c r="D12" i="29"/>
  <c r="L12" i="29"/>
  <c r="O12" i="29"/>
  <c r="P13" i="29"/>
  <c r="V13" i="29"/>
  <c r="AB13" i="29"/>
  <c r="AC13" i="29"/>
  <c r="AH13" i="29"/>
  <c r="AI13" i="29"/>
  <c r="AM13" i="29"/>
  <c r="A15" i="29"/>
  <c r="A32" i="29" s="1"/>
  <c r="B15" i="29"/>
  <c r="C15" i="29"/>
  <c r="D15" i="29"/>
  <c r="L15" i="29"/>
  <c r="P15" i="29"/>
  <c r="P32" i="29" s="1"/>
  <c r="R32" i="29" s="1"/>
  <c r="V15" i="29"/>
  <c r="V32" i="29" s="1"/>
  <c r="AB15" i="29"/>
  <c r="AB32" i="29" s="1"/>
  <c r="AD32" i="29" s="1"/>
  <c r="A17" i="29"/>
  <c r="B17" i="29"/>
  <c r="C17" i="29"/>
  <c r="AJ17" i="29" s="1"/>
  <c r="D17" i="29"/>
  <c r="L17" i="29"/>
  <c r="P17" i="29"/>
  <c r="V17" i="29"/>
  <c r="AB17" i="29"/>
  <c r="A18" i="29"/>
  <c r="B18" i="29"/>
  <c r="C18" i="29"/>
  <c r="D18" i="29"/>
  <c r="Q18" i="29"/>
  <c r="W18" i="29" s="1"/>
  <c r="AC18" i="29" s="1"/>
  <c r="AI18" i="29" s="1"/>
  <c r="R18" i="29"/>
  <c r="V18" i="29"/>
  <c r="AB18" i="29"/>
  <c r="A20" i="29"/>
  <c r="B20" i="29"/>
  <c r="C20" i="29"/>
  <c r="AJ20" i="29" s="1"/>
  <c r="D20" i="29"/>
  <c r="Q20" i="29"/>
  <c r="W20" i="29" s="1"/>
  <c r="AC20" i="29" s="1"/>
  <c r="AI20" i="29" s="1"/>
  <c r="R20" i="29"/>
  <c r="V20" i="29"/>
  <c r="AB20" i="29"/>
  <c r="A21" i="29"/>
  <c r="B21" i="29"/>
  <c r="C21" i="29"/>
  <c r="AJ21" i="29" s="1"/>
  <c r="D21" i="29"/>
  <c r="W21" i="29"/>
  <c r="AC21" i="29" s="1"/>
  <c r="AI21" i="29" s="1"/>
  <c r="X21" i="29"/>
  <c r="AB21" i="29"/>
  <c r="A23" i="29"/>
  <c r="A33" i="29" s="1"/>
  <c r="B23" i="29"/>
  <c r="C23" i="29"/>
  <c r="D23" i="29"/>
  <c r="J23" i="29"/>
  <c r="J33" i="29" s="1"/>
  <c r="L33" i="29" s="1"/>
  <c r="L23" i="29"/>
  <c r="P23" i="29"/>
  <c r="P33" i="29" s="1"/>
  <c r="R33" i="29" s="1"/>
  <c r="R23" i="29"/>
  <c r="X23" i="29"/>
  <c r="AB23" i="29"/>
  <c r="AB33" i="29" s="1"/>
  <c r="AD33" i="29" s="1"/>
  <c r="A34" i="29"/>
  <c r="A26" i="29"/>
  <c r="A35" i="29" s="1"/>
  <c r="B26" i="29"/>
  <c r="C26" i="29"/>
  <c r="AJ26" i="29" s="1"/>
  <c r="D26" i="29"/>
  <c r="J26" i="29"/>
  <c r="J35" i="29" s="1"/>
  <c r="L35" i="29" s="1"/>
  <c r="AC26" i="29"/>
  <c r="AI26" i="29" s="1"/>
  <c r="AD26" i="29"/>
  <c r="AH27" i="29"/>
  <c r="AH32" i="29"/>
  <c r="AJ32" i="29" s="1"/>
  <c r="AH33" i="29"/>
  <c r="AJ33" i="29" s="1"/>
  <c r="AH34" i="29"/>
  <c r="AJ34" i="29" s="1"/>
  <c r="M35" i="29"/>
  <c r="N35" i="29"/>
  <c r="P35" i="29"/>
  <c r="R35" i="29" s="1"/>
  <c r="S35" i="29"/>
  <c r="V35" i="29"/>
  <c r="X35" i="29" s="1"/>
  <c r="Y35" i="29"/>
  <c r="AH35" i="29"/>
  <c r="AJ35" i="29" s="1"/>
  <c r="AL36" i="29"/>
  <c r="B39" i="29"/>
  <c r="C39" i="29"/>
  <c r="AJ39" i="29" s="1"/>
  <c r="D39" i="29"/>
  <c r="L39" i="29"/>
  <c r="H59" i="29" s="1"/>
  <c r="B43" i="29"/>
  <c r="C43" i="29"/>
  <c r="D43" i="29"/>
  <c r="B46" i="29"/>
  <c r="C46" i="29"/>
  <c r="U46" i="29" s="1"/>
  <c r="K45" i="28" s="1"/>
  <c r="AI64" i="35" s="1"/>
  <c r="D46" i="29"/>
  <c r="L46" i="29" s="1"/>
  <c r="J46" i="29"/>
  <c r="B49" i="29"/>
  <c r="C49" i="29"/>
  <c r="D49" i="29"/>
  <c r="B52" i="29"/>
  <c r="C52" i="29"/>
  <c r="D52" i="29"/>
  <c r="AA52" i="29" s="1"/>
  <c r="V52" i="29"/>
  <c r="V63" i="29" s="1"/>
  <c r="X63" i="29" s="1"/>
  <c r="AH55" i="29"/>
  <c r="P60" i="29"/>
  <c r="R60" i="29" s="1"/>
  <c r="V60" i="29"/>
  <c r="X60" i="29" s="1"/>
  <c r="AB60" i="29"/>
  <c r="AD60" i="29" s="1"/>
  <c r="AH60" i="29"/>
  <c r="AJ60" i="29" s="1"/>
  <c r="AL60" i="29"/>
  <c r="M61" i="29"/>
  <c r="S61" i="29"/>
  <c r="V61" i="29"/>
  <c r="X61" i="29" s="1"/>
  <c r="AB61" i="29"/>
  <c r="AD61" i="29" s="1"/>
  <c r="AH61" i="29"/>
  <c r="AL61" i="29"/>
  <c r="M62" i="29"/>
  <c r="P62" i="29"/>
  <c r="R62" i="29" s="1"/>
  <c r="S62" i="29"/>
  <c r="Y62" i="29"/>
  <c r="AB62" i="29"/>
  <c r="AD62" i="29" s="1"/>
  <c r="AH62" i="29"/>
  <c r="AJ62" i="29" s="1"/>
  <c r="AL62" i="29"/>
  <c r="M63" i="29"/>
  <c r="P63" i="29"/>
  <c r="R63" i="29" s="1"/>
  <c r="S63" i="29"/>
  <c r="Y63" i="29"/>
  <c r="AH63" i="29"/>
  <c r="AJ63" i="29" s="1"/>
  <c r="AL63" i="29"/>
  <c r="AK64" i="29"/>
  <c r="R100" i="29"/>
  <c r="C101" i="29"/>
  <c r="B102" i="29"/>
  <c r="J102" i="29"/>
  <c r="B103" i="29"/>
  <c r="C103" i="29"/>
  <c r="D103" i="29"/>
  <c r="E103" i="29"/>
  <c r="F103" i="29"/>
  <c r="B104" i="29"/>
  <c r="A105" i="29"/>
  <c r="A106" i="29"/>
  <c r="B106" i="29"/>
  <c r="A107" i="29"/>
  <c r="B107" i="29"/>
  <c r="A108" i="29"/>
  <c r="B108" i="29"/>
  <c r="C108" i="29"/>
  <c r="D108" i="29"/>
  <c r="E108" i="29"/>
  <c r="F108" i="29"/>
  <c r="A109" i="29"/>
  <c r="B109" i="29"/>
  <c r="A110" i="29"/>
  <c r="B110" i="29"/>
  <c r="A111" i="29"/>
  <c r="B111" i="29"/>
  <c r="C111" i="29"/>
  <c r="D111" i="29"/>
  <c r="E111" i="29"/>
  <c r="F111" i="29"/>
  <c r="A112" i="29"/>
  <c r="B112" i="29"/>
  <c r="A113" i="29"/>
  <c r="B113" i="29"/>
  <c r="A114" i="29"/>
  <c r="B114" i="29"/>
  <c r="A115" i="29"/>
  <c r="B115" i="29"/>
  <c r="C115" i="29"/>
  <c r="D115" i="29"/>
  <c r="E115" i="29"/>
  <c r="F115" i="29"/>
  <c r="A116" i="29"/>
  <c r="B116" i="29"/>
  <c r="A117" i="29"/>
  <c r="B117" i="29"/>
  <c r="A118" i="29"/>
  <c r="B118" i="29"/>
  <c r="A119" i="29"/>
  <c r="B119" i="29"/>
  <c r="C119" i="29"/>
  <c r="D119" i="29"/>
  <c r="E119" i="29"/>
  <c r="F119" i="29"/>
  <c r="A120" i="29"/>
  <c r="B120" i="29"/>
  <c r="A121" i="29"/>
  <c r="B121" i="29"/>
  <c r="J2" i="22"/>
  <c r="K2" i="22"/>
  <c r="C3" i="22"/>
  <c r="H3" i="22"/>
  <c r="I3" i="22"/>
  <c r="J3" i="22"/>
  <c r="A4" i="22"/>
  <c r="B4" i="22"/>
  <c r="C4" i="22"/>
  <c r="H24" i="27" s="1"/>
  <c r="D4" i="22"/>
  <c r="I24" i="27" s="1"/>
  <c r="E4" i="22"/>
  <c r="J24" i="27" s="1"/>
  <c r="F4" i="22"/>
  <c r="K24" i="27" s="1"/>
  <c r="B5" i="22"/>
  <c r="C5" i="22"/>
  <c r="D5" i="22"/>
  <c r="E5" i="22"/>
  <c r="F5" i="22"/>
  <c r="H5" i="22"/>
  <c r="I5" i="22"/>
  <c r="J5" i="22"/>
  <c r="H7" i="22"/>
  <c r="I7" i="22"/>
  <c r="J7" i="22"/>
  <c r="K7" i="22"/>
  <c r="L7" i="22"/>
  <c r="M7" i="22"/>
  <c r="N7" i="22"/>
  <c r="O7" i="22"/>
  <c r="P7" i="22"/>
  <c r="Q7" i="22"/>
  <c r="R7" i="22"/>
  <c r="S7" i="22"/>
  <c r="T7" i="22"/>
  <c r="U7" i="22"/>
  <c r="V7" i="22"/>
  <c r="A8" i="22"/>
  <c r="B8" i="22"/>
  <c r="C8" i="22"/>
  <c r="D8" i="22"/>
  <c r="E8" i="22"/>
  <c r="F8" i="22"/>
  <c r="B9" i="22"/>
  <c r="C9" i="22"/>
  <c r="B12" i="22"/>
  <c r="C12" i="22"/>
  <c r="D12" i="22"/>
  <c r="E12" i="22"/>
  <c r="F12" i="22"/>
  <c r="A15" i="22"/>
  <c r="B15" i="22"/>
  <c r="C15" i="22"/>
  <c r="D15" i="22"/>
  <c r="D17" i="22" s="1"/>
  <c r="E15" i="22"/>
  <c r="E17" i="22" s="1"/>
  <c r="F15" i="22"/>
  <c r="F17" i="22" s="1"/>
  <c r="A19" i="22"/>
  <c r="B19" i="22"/>
  <c r="C19" i="22"/>
  <c r="C21" i="22" s="1"/>
  <c r="D19" i="22"/>
  <c r="D21" i="22" s="1"/>
  <c r="E19" i="22"/>
  <c r="E21" i="22" s="1"/>
  <c r="F19" i="22"/>
  <c r="F21" i="22" s="1"/>
  <c r="B22" i="22"/>
  <c r="C22" i="22"/>
  <c r="B25" i="22"/>
  <c r="C25" i="22"/>
  <c r="D25" i="22"/>
  <c r="E25" i="22"/>
  <c r="F25" i="22"/>
  <c r="A28" i="22"/>
  <c r="B28" i="22"/>
  <c r="D28" i="22"/>
  <c r="D30" i="22" s="1"/>
  <c r="E28" i="22"/>
  <c r="E30" i="22" s="1"/>
  <c r="F28" i="22"/>
  <c r="F30" i="22" s="1"/>
  <c r="A34" i="22"/>
  <c r="B34" i="22"/>
  <c r="C34" i="22"/>
  <c r="D34" i="22"/>
  <c r="E34" i="22"/>
  <c r="F34" i="22"/>
  <c r="B35" i="22"/>
  <c r="C35" i="22"/>
  <c r="B38" i="22"/>
  <c r="C38" i="22"/>
  <c r="D38" i="22"/>
  <c r="E38" i="22"/>
  <c r="F38" i="22"/>
  <c r="A41" i="22"/>
  <c r="B41" i="22"/>
  <c r="C41" i="22"/>
  <c r="D41" i="22"/>
  <c r="E41" i="22"/>
  <c r="F41" i="22"/>
  <c r="B42" i="22"/>
  <c r="C42" i="22"/>
  <c r="C45" i="22"/>
  <c r="D45" i="22"/>
  <c r="E45" i="22"/>
  <c r="F45" i="22"/>
  <c r="J2" i="2"/>
  <c r="B3" i="2"/>
  <c r="K12" i="2"/>
  <c r="L12" i="2" s="1"/>
  <c r="M12" i="2" s="1"/>
  <c r="D13" i="2"/>
  <c r="D14" i="2"/>
  <c r="B76" i="2" s="1"/>
  <c r="K18" i="2"/>
  <c r="D19" i="2"/>
  <c r="D20" i="2"/>
  <c r="K24" i="2"/>
  <c r="L24" i="2" s="1"/>
  <c r="M24" i="2" s="1"/>
  <c r="D25" i="2"/>
  <c r="D26" i="2"/>
  <c r="K30" i="2"/>
  <c r="L30" i="2" s="1"/>
  <c r="M30" i="2" s="1"/>
  <c r="D31" i="2"/>
  <c r="K31" i="2"/>
  <c r="L31" i="2" s="1"/>
  <c r="M31" i="2" s="1"/>
  <c r="D32" i="2"/>
  <c r="F32" i="2" s="1"/>
  <c r="G32" i="2" s="1"/>
  <c r="E36" i="2"/>
  <c r="K36" i="2"/>
  <c r="D37" i="2"/>
  <c r="E37" i="2" s="1"/>
  <c r="E35" i="2" s="1"/>
  <c r="K37" i="2"/>
  <c r="L37" i="2" s="1"/>
  <c r="M37" i="2" s="1"/>
  <c r="D38" i="2"/>
  <c r="E38" i="2" s="1"/>
  <c r="E39" i="2" s="1"/>
  <c r="E42" i="2"/>
  <c r="K42" i="2"/>
  <c r="L42" i="2" s="1"/>
  <c r="M42" i="2" s="1"/>
  <c r="D43" i="2"/>
  <c r="E43" i="2" s="1"/>
  <c r="K43" i="2"/>
  <c r="D44" i="2"/>
  <c r="E44" i="2" s="1"/>
  <c r="F44" i="2" s="1"/>
  <c r="G44" i="2" s="1"/>
  <c r="G45" i="2" s="1"/>
  <c r="E48" i="2"/>
  <c r="K48" i="2"/>
  <c r="L48" i="2" s="1"/>
  <c r="M48" i="2" s="1"/>
  <c r="D49" i="2"/>
  <c r="E49" i="2" s="1"/>
  <c r="K49" i="2"/>
  <c r="D50" i="2"/>
  <c r="E50" i="2" s="1"/>
  <c r="E54" i="2"/>
  <c r="K54" i="2"/>
  <c r="L54" i="2" s="1"/>
  <c r="M54" i="2" s="1"/>
  <c r="D55" i="2"/>
  <c r="E55" i="2" s="1"/>
  <c r="K55" i="2"/>
  <c r="D56" i="2"/>
  <c r="E56" i="2" s="1"/>
  <c r="F56" i="2" s="1"/>
  <c r="F57" i="2" s="1"/>
  <c r="E60" i="2"/>
  <c r="K60" i="2"/>
  <c r="D61" i="2"/>
  <c r="E61" i="2" s="1"/>
  <c r="K61" i="2"/>
  <c r="L61" i="2" s="1"/>
  <c r="M61" i="2" s="1"/>
  <c r="D62" i="2"/>
  <c r="E62" i="2" s="1"/>
  <c r="K66" i="2"/>
  <c r="L66" i="2" s="1"/>
  <c r="M66" i="2" s="1"/>
  <c r="D67" i="2"/>
  <c r="K67" i="2"/>
  <c r="L67" i="2" s="1"/>
  <c r="M67" i="2" s="1"/>
  <c r="D68" i="2"/>
  <c r="H2" i="1"/>
  <c r="D11" i="1"/>
  <c r="H13" i="1"/>
  <c r="Q13" i="1"/>
  <c r="R13" i="1" s="1"/>
  <c r="H14" i="1"/>
  <c r="Q14" i="1"/>
  <c r="R14" i="1" s="1"/>
  <c r="H15" i="1"/>
  <c r="J15" i="1" s="1"/>
  <c r="L15" i="1" s="1"/>
  <c r="F17" i="1"/>
  <c r="H18" i="1"/>
  <c r="Q18" i="1"/>
  <c r="R18" i="1" s="1"/>
  <c r="H19" i="1"/>
  <c r="J19" i="1" s="1"/>
  <c r="L19" i="1" s="1"/>
  <c r="H22" i="1"/>
  <c r="AH30" i="30" s="1"/>
  <c r="Q22" i="1"/>
  <c r="R22" i="1" s="1"/>
  <c r="F24" i="1"/>
  <c r="AN29" i="30" s="1"/>
  <c r="H25" i="1"/>
  <c r="Q25" i="1"/>
  <c r="R25" i="1" s="1"/>
  <c r="H28" i="1"/>
  <c r="AO30" i="30" s="1"/>
  <c r="Q28" i="1"/>
  <c r="R28" i="1" s="1"/>
  <c r="H38" i="1"/>
  <c r="J38" i="1" s="1"/>
  <c r="L38" i="1" s="1"/>
  <c r="H40" i="1"/>
  <c r="H43" i="1"/>
  <c r="Q43" i="1"/>
  <c r="D46" i="1"/>
  <c r="F47" i="1"/>
  <c r="P47" i="1"/>
  <c r="Q47" i="1" s="1"/>
  <c r="R47" i="1" s="1"/>
  <c r="F48" i="1"/>
  <c r="P48" i="1"/>
  <c r="P49" i="1"/>
  <c r="P50" i="1"/>
  <c r="P51" i="1"/>
  <c r="Q51" i="1" s="1"/>
  <c r="R51" i="1" s="1"/>
  <c r="D52" i="1"/>
  <c r="P53" i="1"/>
  <c r="Q53" i="1" s="1"/>
  <c r="R53" i="1" s="1"/>
  <c r="P54" i="1"/>
  <c r="Q54" i="1" s="1"/>
  <c r="R54" i="1" s="1"/>
  <c r="P55" i="1"/>
  <c r="P56" i="1"/>
  <c r="Q56" i="1" s="1"/>
  <c r="R56" i="1" s="1"/>
  <c r="P57" i="1"/>
  <c r="Q57" i="1" s="1"/>
  <c r="R57" i="1" s="1"/>
  <c r="P58" i="1"/>
  <c r="P59" i="1"/>
  <c r="Q59" i="1" s="1"/>
  <c r="R59" i="1" s="1"/>
  <c r="P60" i="1"/>
  <c r="Q60" i="1" s="1"/>
  <c r="R60" i="1" s="1"/>
  <c r="P61" i="1"/>
  <c r="Q61" i="1" s="1"/>
  <c r="P62" i="1"/>
  <c r="Q62" i="1" s="1"/>
  <c r="R62" i="1" s="1"/>
  <c r="D63" i="1"/>
  <c r="F64" i="1"/>
  <c r="P64" i="1"/>
  <c r="Q64" i="1" s="1"/>
  <c r="R64" i="1" s="1"/>
  <c r="F65" i="1"/>
  <c r="P65" i="1"/>
  <c r="Q65" i="1" s="1"/>
  <c r="R65" i="1" s="1"/>
  <c r="F66" i="1"/>
  <c r="P66" i="1"/>
  <c r="Q66" i="1" s="1"/>
  <c r="R66" i="1" s="1"/>
  <c r="F67" i="1"/>
  <c r="P67" i="1"/>
  <c r="Q67" i="1" s="1"/>
  <c r="R67" i="1" s="1"/>
  <c r="F68" i="1"/>
  <c r="P68" i="1"/>
  <c r="Q68" i="1" s="1"/>
  <c r="R68" i="1" s="1"/>
  <c r="D69" i="1"/>
  <c r="F70" i="1"/>
  <c r="P70" i="1"/>
  <c r="Q70" i="1" s="1"/>
  <c r="R70" i="1" s="1"/>
  <c r="F71" i="1"/>
  <c r="P71" i="1"/>
  <c r="Q71" i="1" s="1"/>
  <c r="R71" i="1" s="1"/>
  <c r="P72" i="1"/>
  <c r="P73" i="1"/>
  <c r="Q73" i="1" s="1"/>
  <c r="R73" i="1" s="1"/>
  <c r="D74" i="1"/>
  <c r="F75" i="1"/>
  <c r="P75" i="1"/>
  <c r="Q75" i="1" s="1"/>
  <c r="R75" i="1" s="1"/>
  <c r="F76" i="1"/>
  <c r="P76" i="1"/>
  <c r="Q76" i="1" s="1"/>
  <c r="R76" i="1" s="1"/>
  <c r="P77" i="1"/>
  <c r="Q77" i="1" s="1"/>
  <c r="R77" i="1" s="1"/>
  <c r="F78" i="1"/>
  <c r="P78" i="1"/>
  <c r="Q78" i="1" s="1"/>
  <c r="D79" i="1"/>
  <c r="F80" i="1"/>
  <c r="P80" i="1"/>
  <c r="Q80" i="1" s="1"/>
  <c r="R80" i="1" s="1"/>
  <c r="F81" i="1"/>
  <c r="P81" i="1"/>
  <c r="Q81" i="1" s="1"/>
  <c r="R81" i="1" s="1"/>
  <c r="F82" i="1"/>
  <c r="P82" i="1"/>
  <c r="Q82" i="1" s="1"/>
  <c r="R82" i="1" s="1"/>
  <c r="D83" i="1"/>
  <c r="F84" i="1"/>
  <c r="P84" i="1"/>
  <c r="Q84" i="1" s="1"/>
  <c r="R84" i="1" s="1"/>
  <c r="P85" i="1"/>
  <c r="Q85" i="1" s="1"/>
  <c r="R85" i="1" s="1"/>
  <c r="P86" i="1"/>
  <c r="Q86" i="1" s="1"/>
  <c r="R86" i="1" s="1"/>
  <c r="F87" i="1"/>
  <c r="H87" i="1" s="1"/>
  <c r="J87" i="1" s="1"/>
  <c r="L87" i="1" s="1"/>
  <c r="P87" i="1"/>
  <c r="Q87" i="1" s="1"/>
  <c r="R87" i="1" s="1"/>
  <c r="D88" i="1"/>
  <c r="F89" i="1"/>
  <c r="P89" i="1"/>
  <c r="Q89" i="1" s="1"/>
  <c r="R89" i="1" s="1"/>
  <c r="P90" i="1"/>
  <c r="Q90" i="1" s="1"/>
  <c r="R90" i="1" s="1"/>
  <c r="P91" i="1"/>
  <c r="Q91" i="1" s="1"/>
  <c r="P92" i="1"/>
  <c r="Q92" i="1" s="1"/>
  <c r="R92" i="1" s="1"/>
  <c r="P93" i="1"/>
  <c r="Q93" i="1" s="1"/>
  <c r="R93" i="1" s="1"/>
  <c r="D94" i="1"/>
  <c r="F95" i="1"/>
  <c r="P95" i="1"/>
  <c r="Q95" i="1" s="1"/>
  <c r="R95" i="1" s="1"/>
  <c r="F96" i="1"/>
  <c r="P96" i="1"/>
  <c r="Q96" i="1" s="1"/>
  <c r="R96" i="1" s="1"/>
  <c r="F97" i="1"/>
  <c r="P97" i="1"/>
  <c r="Q97" i="1" s="1"/>
  <c r="F98" i="1"/>
  <c r="H98" i="1" s="1"/>
  <c r="P98" i="1"/>
  <c r="Q98" i="1" s="1"/>
  <c r="R98" i="1" s="1"/>
  <c r="D99" i="1"/>
  <c r="F100" i="1"/>
  <c r="P100" i="1"/>
  <c r="Q100" i="1" s="1"/>
  <c r="R100" i="1" s="1"/>
  <c r="P101" i="1"/>
  <c r="Q101" i="1" s="1"/>
  <c r="R101" i="1" s="1"/>
  <c r="F102" i="1"/>
  <c r="P102" i="1"/>
  <c r="Q102" i="1" s="1"/>
  <c r="R102" i="1" s="1"/>
  <c r="F103" i="1"/>
  <c r="H103" i="1" s="1"/>
  <c r="P103" i="1"/>
  <c r="D104" i="1"/>
  <c r="F105" i="1"/>
  <c r="P105" i="1"/>
  <c r="Q105" i="1" s="1"/>
  <c r="R105" i="1" s="1"/>
  <c r="F106" i="1"/>
  <c r="P106" i="1"/>
  <c r="D107" i="1"/>
  <c r="F108" i="1"/>
  <c r="P108" i="1"/>
  <c r="Q108" i="1" s="1"/>
  <c r="R108" i="1" s="1"/>
  <c r="F109" i="1"/>
  <c r="P109" i="1"/>
  <c r="Q109" i="1" s="1"/>
  <c r="R109" i="1" s="1"/>
  <c r="F110" i="1"/>
  <c r="P110" i="1"/>
  <c r="Q110" i="1" s="1"/>
  <c r="F111" i="1"/>
  <c r="P111" i="1"/>
  <c r="Q111" i="1" s="1"/>
  <c r="D112" i="1"/>
  <c r="F113" i="1"/>
  <c r="P113" i="1"/>
  <c r="P114" i="1"/>
  <c r="Q114" i="1" s="1"/>
  <c r="R114" i="1" s="1"/>
  <c r="P115" i="1"/>
  <c r="Q115" i="1" s="1"/>
  <c r="R115" i="1" s="1"/>
  <c r="F116" i="1"/>
  <c r="P116" i="1"/>
  <c r="Q116" i="1" s="1"/>
  <c r="R116" i="1" s="1"/>
  <c r="F117" i="1"/>
  <c r="P117" i="1"/>
  <c r="F118" i="1"/>
  <c r="P118" i="1"/>
  <c r="Q118" i="1" s="1"/>
  <c r="R118" i="1" s="1"/>
  <c r="U40" i="30"/>
  <c r="P121" i="1"/>
  <c r="F1" i="28"/>
  <c r="R8" i="29"/>
  <c r="R9" i="29"/>
  <c r="R10" i="29"/>
  <c r="R11" i="29"/>
  <c r="N15" i="28"/>
  <c r="F22" i="28"/>
  <c r="J3" i="29" s="1"/>
  <c r="J37" i="29" s="1"/>
  <c r="I22" i="28"/>
  <c r="P3" i="29" s="1"/>
  <c r="P37" i="29" s="1"/>
  <c r="L22" i="28"/>
  <c r="V3" i="29" s="1"/>
  <c r="V37" i="29" s="1"/>
  <c r="F41" i="28"/>
  <c r="I30" i="28"/>
  <c r="AG48" i="35" s="1"/>
  <c r="P30" i="28"/>
  <c r="I32" i="28"/>
  <c r="P20" i="29" s="1"/>
  <c r="M32" i="28"/>
  <c r="X20" i="29" s="1"/>
  <c r="L34" i="28"/>
  <c r="P34" i="28"/>
  <c r="AD21" i="29" s="1"/>
  <c r="P36" i="28"/>
  <c r="O38" i="28"/>
  <c r="F44" i="28"/>
  <c r="I45" i="28"/>
  <c r="L46" i="28"/>
  <c r="O47" i="28"/>
  <c r="J10" i="30"/>
  <c r="D2" i="33"/>
  <c r="H18" i="30"/>
  <c r="I18" i="30" s="1"/>
  <c r="J18" i="30" s="1"/>
  <c r="K18" i="30" s="1"/>
  <c r="L18" i="30" s="1"/>
  <c r="M18" i="30" s="1"/>
  <c r="N18" i="30" s="1"/>
  <c r="H20" i="30"/>
  <c r="J20" i="30" s="1"/>
  <c r="K20" i="30" s="1"/>
  <c r="L20" i="30" s="1"/>
  <c r="M20" i="30" s="1"/>
  <c r="N20" i="30" s="1"/>
  <c r="O20" i="30" s="1"/>
  <c r="S22" i="30"/>
  <c r="G26" i="30"/>
  <c r="G50" i="30" s="1"/>
  <c r="S26" i="30"/>
  <c r="S50" i="30" s="1"/>
  <c r="B28" i="30"/>
  <c r="H12" i="22" s="1"/>
  <c r="S28" i="30"/>
  <c r="S45" i="30"/>
  <c r="T45" i="30" s="1"/>
  <c r="S46" i="30"/>
  <c r="B47" i="30"/>
  <c r="S47" i="30"/>
  <c r="B52" i="30"/>
  <c r="B53" i="30" s="1"/>
  <c r="B54" i="30" s="1"/>
  <c r="B55" i="30" s="1"/>
  <c r="B56" i="30" s="1"/>
  <c r="S55" i="30"/>
  <c r="T55" i="30" s="1"/>
  <c r="I65" i="30"/>
  <c r="J65" i="30"/>
  <c r="N65" i="30"/>
  <c r="D67" i="30"/>
  <c r="G102" i="30"/>
  <c r="H10" i="27"/>
  <c r="H46" i="27" s="1"/>
  <c r="AH5" i="35" s="1"/>
  <c r="J46" i="27"/>
  <c r="AL5" i="35" s="1"/>
  <c r="Q13" i="27"/>
  <c r="D3" i="34" s="1"/>
  <c r="Q15" i="27"/>
  <c r="K46" i="27"/>
  <c r="AN5" i="35" s="1"/>
  <c r="H59" i="27"/>
  <c r="AH17" i="35" s="1"/>
  <c r="H53" i="32"/>
  <c r="I53" i="32"/>
  <c r="J53" i="32"/>
  <c r="G18" i="32"/>
  <c r="G41" i="32"/>
  <c r="K53" i="32"/>
  <c r="G62" i="32"/>
  <c r="T33" i="35" s="1"/>
  <c r="G71" i="32"/>
  <c r="T39" i="35" s="1"/>
  <c r="G76" i="32"/>
  <c r="T42" i="35" s="1"/>
  <c r="G80" i="32"/>
  <c r="T44" i="35" s="1"/>
  <c r="G84" i="32"/>
  <c r="T45" i="35" s="1"/>
  <c r="I86" i="32"/>
  <c r="J86" i="32" s="1"/>
  <c r="K86" i="32" s="1"/>
  <c r="G91" i="32"/>
  <c r="T46" i="35" s="1"/>
  <c r="G95" i="32"/>
  <c r="J95" i="32"/>
  <c r="K95" i="32" s="1"/>
  <c r="H6" i="27"/>
  <c r="K5" i="20"/>
  <c r="N5" i="20"/>
  <c r="H8" i="27" s="1"/>
  <c r="R8" i="27" s="1"/>
  <c r="D8" i="1"/>
  <c r="D8" i="2" s="1"/>
  <c r="G11" i="27" s="1"/>
  <c r="T12" i="20"/>
  <c r="U12" i="20" s="1"/>
  <c r="H24" i="20"/>
  <c r="G68" i="35" s="1"/>
  <c r="M28" i="20"/>
  <c r="O28" i="20" s="1"/>
  <c r="E43" i="26"/>
  <c r="H17" i="26"/>
  <c r="H20" i="26"/>
  <c r="D9" i="22"/>
  <c r="H24" i="26"/>
  <c r="H27" i="26"/>
  <c r="F22" i="22"/>
  <c r="H30" i="26"/>
  <c r="H32" i="26"/>
  <c r="E35" i="22"/>
  <c r="H35" i="26"/>
  <c r="E42" i="22"/>
  <c r="H39" i="26"/>
  <c r="D60" i="26"/>
  <c r="E40" i="26"/>
  <c r="E60" i="26" s="1"/>
  <c r="E49" i="35" s="1"/>
  <c r="F40" i="26"/>
  <c r="F60" i="26" s="1"/>
  <c r="F49" i="35" s="1"/>
  <c r="D42" i="26"/>
  <c r="D43" i="26"/>
  <c r="H46" i="26"/>
  <c r="H36" i="35" s="1"/>
  <c r="H49" i="26"/>
  <c r="H39" i="35" s="1"/>
  <c r="H50" i="26"/>
  <c r="H40" i="35" s="1"/>
  <c r="H53" i="26"/>
  <c r="H54" i="26"/>
  <c r="H55" i="26"/>
  <c r="H44" i="35" s="1"/>
  <c r="B64" i="26"/>
  <c r="B101" i="32" s="1"/>
  <c r="B102" i="32"/>
  <c r="B29" i="30"/>
  <c r="B30" i="30" s="1"/>
  <c r="B31" i="30" s="1"/>
  <c r="O7" i="29"/>
  <c r="AJ61" i="29"/>
  <c r="X19" i="29"/>
  <c r="U9" i="29"/>
  <c r="U8" i="29"/>
  <c r="U11" i="29"/>
  <c r="AM49" i="29"/>
  <c r="X11" i="29"/>
  <c r="M26" i="28"/>
  <c r="R7" i="29"/>
  <c r="N8" i="29"/>
  <c r="AB34" i="29"/>
  <c r="AD34" i="29" s="1"/>
  <c r="G34" i="30"/>
  <c r="H34" i="30" s="1"/>
  <c r="G15" i="30"/>
  <c r="C26" i="33"/>
  <c r="C27" i="33"/>
  <c r="C31" i="33"/>
  <c r="D20" i="33"/>
  <c r="D24" i="33" s="1"/>
  <c r="H18" i="20"/>
  <c r="G62" i="35" s="1"/>
  <c r="H34" i="32"/>
  <c r="C32" i="33"/>
  <c r="C33" i="33"/>
  <c r="I41" i="33" s="1"/>
  <c r="O11" i="29"/>
  <c r="Q103" i="1"/>
  <c r="R103" i="1" s="1"/>
  <c r="E69" i="2"/>
  <c r="F68" i="2"/>
  <c r="G68" i="2" s="1"/>
  <c r="H68" i="2" s="1"/>
  <c r="H69" i="2" s="1"/>
  <c r="X18" i="29"/>
  <c r="X32" i="29"/>
  <c r="N11" i="29"/>
  <c r="L36" i="1"/>
  <c r="AA30" i="30" l="1"/>
  <c r="J16" i="29"/>
  <c r="AD45" i="35"/>
  <c r="P26" i="28"/>
  <c r="AN44" i="35" s="1"/>
  <c r="AK44" i="35"/>
  <c r="H43" i="35"/>
  <c r="N46" i="35"/>
  <c r="H42" i="35"/>
  <c r="N44" i="35"/>
  <c r="H108" i="1"/>
  <c r="Z29" i="30"/>
  <c r="AP29" i="30"/>
  <c r="H87" i="32"/>
  <c r="AG29" i="30"/>
  <c r="AI29" i="30" s="1"/>
  <c r="AK29" i="30" s="1"/>
  <c r="M31" i="30"/>
  <c r="Q18" i="22" s="1"/>
  <c r="Q19" i="22" s="1"/>
  <c r="C29" i="33"/>
  <c r="G39" i="33" s="1"/>
  <c r="C25" i="33"/>
  <c r="E37" i="33" s="1"/>
  <c r="C24" i="33"/>
  <c r="C28" i="33"/>
  <c r="F38" i="33" s="1"/>
  <c r="AA11" i="29"/>
  <c r="AL33" i="35"/>
  <c r="AD18" i="29"/>
  <c r="AN48" i="35"/>
  <c r="AD59" i="35"/>
  <c r="AD23" i="29"/>
  <c r="AN54" i="35"/>
  <c r="AJ52" i="29"/>
  <c r="L43" i="29"/>
  <c r="L55" i="29" s="1"/>
  <c r="O48" i="28"/>
  <c r="K18" i="27" s="1"/>
  <c r="X56" i="35" s="1"/>
  <c r="AM66" i="35"/>
  <c r="AM67" i="35" s="1"/>
  <c r="AM71" i="35" s="1"/>
  <c r="L48" i="28"/>
  <c r="AJ65" i="35"/>
  <c r="AJ67" i="35" s="1"/>
  <c r="I18" i="27"/>
  <c r="V56" i="35" s="1"/>
  <c r="AG64" i="35"/>
  <c r="AG67" i="35" s="1"/>
  <c r="F48" i="28"/>
  <c r="AD63" i="35"/>
  <c r="AD67" i="35" s="1"/>
  <c r="V23" i="29"/>
  <c r="V33" i="29" s="1"/>
  <c r="AJ54" i="35"/>
  <c r="V22" i="29"/>
  <c r="AJ53" i="35"/>
  <c r="U43" i="29"/>
  <c r="N23" i="29"/>
  <c r="M33" i="29" s="1"/>
  <c r="O41" i="28"/>
  <c r="K17" i="27" s="1"/>
  <c r="X55" i="35" s="1"/>
  <c r="N24" i="29"/>
  <c r="AB52" i="29"/>
  <c r="D45" i="1"/>
  <c r="B125" i="1" s="1"/>
  <c r="H93" i="32"/>
  <c r="H94" i="32" s="1"/>
  <c r="J18" i="27"/>
  <c r="W56" i="35" s="1"/>
  <c r="F37" i="2"/>
  <c r="G37" i="2" s="1"/>
  <c r="H37" i="2" s="1"/>
  <c r="AL64" i="29"/>
  <c r="F61" i="2"/>
  <c r="G61" i="2" s="1"/>
  <c r="H61" i="2" s="1"/>
  <c r="L23" i="30"/>
  <c r="P23" i="30"/>
  <c r="J23" i="30"/>
  <c r="I23" i="30"/>
  <c r="N23" i="30"/>
  <c r="R23" i="30"/>
  <c r="R17" i="22"/>
  <c r="C23" i="22"/>
  <c r="E47" i="2"/>
  <c r="F32" i="22"/>
  <c r="F33" i="22" s="1"/>
  <c r="H81" i="1"/>
  <c r="E32" i="22"/>
  <c r="E33" i="22" s="1"/>
  <c r="D32" i="22"/>
  <c r="D33" i="22" s="1"/>
  <c r="U52" i="30"/>
  <c r="F56" i="28"/>
  <c r="H17" i="27"/>
  <c r="U55" i="35" s="1"/>
  <c r="F38" i="2"/>
  <c r="E41" i="2"/>
  <c r="U13" i="22"/>
  <c r="C17" i="22"/>
  <c r="C18" i="22" s="1"/>
  <c r="S20" i="29"/>
  <c r="R17" i="29"/>
  <c r="AJ25" i="29"/>
  <c r="O43" i="29"/>
  <c r="H44" i="28" s="1"/>
  <c r="AD49" i="29"/>
  <c r="P46" i="28" s="1"/>
  <c r="AN65" i="35" s="1"/>
  <c r="O56" i="28"/>
  <c r="V21" i="29"/>
  <c r="Z21" i="29" s="1"/>
  <c r="L41" i="28"/>
  <c r="R15" i="29"/>
  <c r="J41" i="28"/>
  <c r="I48" i="28"/>
  <c r="S19" i="29"/>
  <c r="U19" i="29" s="1"/>
  <c r="K31" i="28" s="1"/>
  <c r="AI49" i="35" s="1"/>
  <c r="P18" i="29"/>
  <c r="S18" i="29" s="1"/>
  <c r="I41" i="28"/>
  <c r="AG59" i="35" s="1"/>
  <c r="X15" i="29"/>
  <c r="AD15" i="29"/>
  <c r="N17" i="29"/>
  <c r="T17" i="29" s="1"/>
  <c r="AG46" i="29"/>
  <c r="Q45" i="28" s="1"/>
  <c r="AO64" i="35" s="1"/>
  <c r="K24" i="29"/>
  <c r="Q24" i="29" s="1"/>
  <c r="W24" i="29" s="1"/>
  <c r="AC24" i="29" s="1"/>
  <c r="AI24" i="29" s="1"/>
  <c r="F18" i="22"/>
  <c r="E18" i="22"/>
  <c r="D18" i="22"/>
  <c r="F35" i="22"/>
  <c r="F36" i="22" s="1"/>
  <c r="F37" i="22" s="1"/>
  <c r="M27" i="28"/>
  <c r="S11" i="29"/>
  <c r="H44" i="2"/>
  <c r="H45" i="2" s="1"/>
  <c r="S10" i="29"/>
  <c r="J92" i="1"/>
  <c r="L92" i="1" s="1"/>
  <c r="K15" i="29"/>
  <c r="S9" i="29"/>
  <c r="H77" i="1"/>
  <c r="J77" i="1" s="1"/>
  <c r="L77" i="1" s="1"/>
  <c r="F45" i="2"/>
  <c r="G60" i="26"/>
  <c r="G49" i="35" s="1"/>
  <c r="S8" i="29"/>
  <c r="H56" i="35"/>
  <c r="G23" i="30"/>
  <c r="E45" i="2"/>
  <c r="M8" i="29"/>
  <c r="AG52" i="29"/>
  <c r="Q47" i="28" s="1"/>
  <c r="H18" i="27"/>
  <c r="U56" i="35" s="1"/>
  <c r="AF26" i="29"/>
  <c r="AE35" i="29" s="1"/>
  <c r="AE26" i="29"/>
  <c r="AG26" i="29" s="1"/>
  <c r="Q40" i="28" s="1"/>
  <c r="AO58" i="35" s="1"/>
  <c r="K16" i="29"/>
  <c r="Q16" i="29" s="1"/>
  <c r="W16" i="29" s="1"/>
  <c r="AC16" i="29" s="1"/>
  <c r="AI16" i="29" s="1"/>
  <c r="M16" i="29"/>
  <c r="O16" i="29" s="1"/>
  <c r="H27" i="28" s="1"/>
  <c r="AF45" i="35" s="1"/>
  <c r="J75" i="35"/>
  <c r="H75" i="35"/>
  <c r="K17" i="29"/>
  <c r="Q17" i="29" s="1"/>
  <c r="W17" i="29" s="1"/>
  <c r="AC17" i="29" s="1"/>
  <c r="AI17" i="29" s="1"/>
  <c r="AD52" i="29"/>
  <c r="AF52" i="29" s="1"/>
  <c r="AL52" i="29" s="1"/>
  <c r="AF63" i="29" s="1"/>
  <c r="J43" i="29"/>
  <c r="J60" i="29" s="1"/>
  <c r="J64" i="29" s="1"/>
  <c r="Q121" i="1"/>
  <c r="R121" i="1" s="1"/>
  <c r="H121" i="1"/>
  <c r="H59" i="1"/>
  <c r="J59" i="1" s="1"/>
  <c r="L59" i="1" s="1"/>
  <c r="F23" i="22"/>
  <c r="U17" i="22"/>
  <c r="Q17" i="22"/>
  <c r="M17" i="29"/>
  <c r="O17" i="29" s="1"/>
  <c r="H28" i="28" s="1"/>
  <c r="AF46" i="35" s="1"/>
  <c r="Y22" i="29"/>
  <c r="AA22" i="29" s="1"/>
  <c r="N35" i="28" s="1"/>
  <c r="AL53" i="35" s="1"/>
  <c r="D49" i="35"/>
  <c r="S17" i="22"/>
  <c r="P17" i="22"/>
  <c r="O17" i="22"/>
  <c r="M17" i="22"/>
  <c r="V17" i="22"/>
  <c r="T17" i="22"/>
  <c r="C6" i="22"/>
  <c r="C7" i="22" s="1"/>
  <c r="H20" i="32" s="1"/>
  <c r="H19" i="32" s="1"/>
  <c r="E36" i="22"/>
  <c r="S56" i="30"/>
  <c r="T56" i="30" s="1"/>
  <c r="N17" i="28"/>
  <c r="AD12" i="29"/>
  <c r="Q17" i="28"/>
  <c r="AD11" i="29"/>
  <c r="Q15" i="28"/>
  <c r="AD10" i="29"/>
  <c r="Q14" i="28"/>
  <c r="AG10" i="29" s="1"/>
  <c r="X10" i="29"/>
  <c r="N14" i="28"/>
  <c r="AA10" i="29" s="1"/>
  <c r="X9" i="29"/>
  <c r="N13" i="28"/>
  <c r="AA9" i="29" s="1"/>
  <c r="AD9" i="29"/>
  <c r="Q13" i="28"/>
  <c r="AG9" i="29" s="1"/>
  <c r="AD8" i="29"/>
  <c r="Q12" i="28"/>
  <c r="N12" i="28"/>
  <c r="S7" i="29"/>
  <c r="K11" i="28"/>
  <c r="AH64" i="29"/>
  <c r="N25" i="29"/>
  <c r="M34" i="29" s="1"/>
  <c r="R8" i="22"/>
  <c r="N17" i="22"/>
  <c r="H14" i="22"/>
  <c r="R13" i="22"/>
  <c r="S8" i="22"/>
  <c r="S13" i="22"/>
  <c r="K13" i="22"/>
  <c r="L13" i="22"/>
  <c r="N13" i="22"/>
  <c r="M13" i="22"/>
  <c r="V13" i="22"/>
  <c r="Q8" i="22"/>
  <c r="U8" i="22"/>
  <c r="V8" i="22"/>
  <c r="P8" i="22"/>
  <c r="N8" i="22"/>
  <c r="O8" i="22"/>
  <c r="T8" i="22"/>
  <c r="M8" i="22"/>
  <c r="K8" i="22"/>
  <c r="C19" i="33"/>
  <c r="L8" i="22"/>
  <c r="E53" i="2"/>
  <c r="F49" i="2"/>
  <c r="E59" i="2"/>
  <c r="T10" i="27"/>
  <c r="C121" i="29"/>
  <c r="U14" i="35"/>
  <c r="F31" i="2"/>
  <c r="G31" i="2" s="1"/>
  <c r="H72" i="1"/>
  <c r="G67" i="32"/>
  <c r="V28" i="35"/>
  <c r="G38" i="32"/>
  <c r="T15" i="35" s="1"/>
  <c r="T17" i="35"/>
  <c r="G13" i="32"/>
  <c r="T7" i="35" s="1"/>
  <c r="T9" i="35"/>
  <c r="Q14" i="27"/>
  <c r="F76" i="35" s="1"/>
  <c r="E3" i="1"/>
  <c r="B8" i="32"/>
  <c r="B5" i="1"/>
  <c r="B6" i="35"/>
  <c r="F16" i="26"/>
  <c r="F43" i="26" s="1"/>
  <c r="E15" i="35"/>
  <c r="E33" i="35" s="1"/>
  <c r="H23" i="30"/>
  <c r="K12" i="20"/>
  <c r="J56" i="35" s="1"/>
  <c r="E5" i="28"/>
  <c r="E5" i="1"/>
  <c r="F8" i="1"/>
  <c r="O74" i="1" s="1"/>
  <c r="H11" i="32"/>
  <c r="U6" i="35" s="1"/>
  <c r="U26" i="35" s="1"/>
  <c r="F69" i="2"/>
  <c r="G69" i="2"/>
  <c r="T9" i="29"/>
  <c r="M9" i="29"/>
  <c r="T20" i="29"/>
  <c r="Y20" i="29" s="1"/>
  <c r="AA20" i="29" s="1"/>
  <c r="N32" i="28" s="1"/>
  <c r="AL50" i="35" s="1"/>
  <c r="M24" i="29"/>
  <c r="O24" i="29" s="1"/>
  <c r="N33" i="29"/>
  <c r="K25" i="29"/>
  <c r="Q25" i="29" s="1"/>
  <c r="W25" i="29" s="1"/>
  <c r="AC25" i="29" s="1"/>
  <c r="AI25" i="29" s="1"/>
  <c r="S23" i="29"/>
  <c r="U23" i="29" s="1"/>
  <c r="H18" i="28"/>
  <c r="H111" i="1"/>
  <c r="H91" i="1"/>
  <c r="J91" i="1" s="1"/>
  <c r="H60" i="1"/>
  <c r="J60" i="1" s="1"/>
  <c r="L60" i="1" s="1"/>
  <c r="H50" i="1"/>
  <c r="J28" i="1"/>
  <c r="L28" i="1" s="1"/>
  <c r="G53" i="32"/>
  <c r="F10" i="32"/>
  <c r="D35" i="22"/>
  <c r="D36" i="22" s="1"/>
  <c r="B35" i="20"/>
  <c r="B126" i="1" s="1"/>
  <c r="B77" i="2" s="1"/>
  <c r="B59" i="28"/>
  <c r="C106" i="30"/>
  <c r="B63" i="27"/>
  <c r="M63" i="27" s="1"/>
  <c r="C36" i="22"/>
  <c r="B93" i="29"/>
  <c r="C99" i="29" s="1"/>
  <c r="AD46" i="29"/>
  <c r="X46" i="29"/>
  <c r="M45" i="28" s="1"/>
  <c r="AK64" i="35" s="1"/>
  <c r="AM46" i="29"/>
  <c r="R46" i="29"/>
  <c r="J45" i="28" s="1"/>
  <c r="AH64" i="35" s="1"/>
  <c r="AJ46" i="29"/>
  <c r="I59" i="29"/>
  <c r="H39" i="29"/>
  <c r="H42" i="29" s="1"/>
  <c r="X39" i="29"/>
  <c r="X42" i="29" s="1"/>
  <c r="AA39" i="29"/>
  <c r="N20" i="28" s="1"/>
  <c r="AL38" i="35" s="1"/>
  <c r="T7" i="29"/>
  <c r="H117" i="1"/>
  <c r="AA46" i="29"/>
  <c r="N45" i="28" s="1"/>
  <c r="AL64" i="35" s="1"/>
  <c r="D72" i="2"/>
  <c r="H58" i="1"/>
  <c r="H40" i="32"/>
  <c r="G40" i="32"/>
  <c r="D10" i="22"/>
  <c r="I25" i="27" s="1"/>
  <c r="B6" i="27"/>
  <c r="M6" i="27" s="1"/>
  <c r="B6" i="32"/>
  <c r="B5" i="2"/>
  <c r="B12" i="30"/>
  <c r="D68" i="30" s="1"/>
  <c r="B5" i="28"/>
  <c r="H49" i="1"/>
  <c r="R91" i="1"/>
  <c r="F83" i="1"/>
  <c r="F104" i="1"/>
  <c r="J43" i="1"/>
  <c r="H55" i="1"/>
  <c r="H61" i="1"/>
  <c r="H65" i="32"/>
  <c r="I65" i="32" s="1"/>
  <c r="J65" i="32" s="1"/>
  <c r="K65" i="32" s="1"/>
  <c r="H76" i="1"/>
  <c r="J76" i="1" s="1"/>
  <c r="L76" i="1" s="1"/>
  <c r="H56" i="1"/>
  <c r="J56" i="1" s="1"/>
  <c r="L56" i="1" s="1"/>
  <c r="F94" i="1"/>
  <c r="F88" i="1"/>
  <c r="J98" i="1"/>
  <c r="L98" i="1" s="1"/>
  <c r="Q49" i="1"/>
  <c r="R49" i="1" s="1"/>
  <c r="H55" i="27"/>
  <c r="G45" i="32"/>
  <c r="H57" i="27"/>
  <c r="AH15" i="35" s="1"/>
  <c r="AH10" i="35"/>
  <c r="G43" i="32"/>
  <c r="E5" i="2"/>
  <c r="H5" i="28"/>
  <c r="J5" i="1"/>
  <c r="O23" i="30"/>
  <c r="K23" i="30"/>
  <c r="O39" i="29"/>
  <c r="O42" i="29" s="1"/>
  <c r="AA43" i="29"/>
  <c r="N44" i="28" s="1"/>
  <c r="AL63" i="35" s="1"/>
  <c r="AJ49" i="29"/>
  <c r="U39" i="29"/>
  <c r="U42" i="29" s="1"/>
  <c r="R43" i="29"/>
  <c r="R59" i="29" s="1"/>
  <c r="AG43" i="29"/>
  <c r="Q44" i="28" s="1"/>
  <c r="AO63" i="35" s="1"/>
  <c r="AM52" i="29"/>
  <c r="AD39" i="29"/>
  <c r="R36" i="29"/>
  <c r="X49" i="29"/>
  <c r="M46" i="28" s="1"/>
  <c r="AK65" i="35" s="1"/>
  <c r="AJ43" i="29"/>
  <c r="T19" i="29"/>
  <c r="P36" i="29"/>
  <c r="F27" i="29"/>
  <c r="L13" i="29"/>
  <c r="H30" i="29" s="1"/>
  <c r="I30" i="29" s="1"/>
  <c r="R39" i="29"/>
  <c r="I20" i="28" s="1"/>
  <c r="AG38" i="35" s="1"/>
  <c r="AG39" i="29"/>
  <c r="Q20" i="28" s="1"/>
  <c r="AO38" i="35" s="1"/>
  <c r="Z22" i="29"/>
  <c r="K23" i="29"/>
  <c r="Q23" i="29" s="1"/>
  <c r="W23" i="29" s="1"/>
  <c r="AC23" i="29" s="1"/>
  <c r="AI23" i="29" s="1"/>
  <c r="L27" i="29"/>
  <c r="B13" i="29"/>
  <c r="AM39" i="29"/>
  <c r="AM42" i="29" s="1"/>
  <c r="T23" i="29"/>
  <c r="AD43" i="29"/>
  <c r="P44" i="28" s="1"/>
  <c r="AN63" i="35" s="1"/>
  <c r="AG49" i="29"/>
  <c r="Q46" i="28" s="1"/>
  <c r="AO65" i="35" s="1"/>
  <c r="AM43" i="29"/>
  <c r="AA49" i="29"/>
  <c r="N46" i="28" s="1"/>
  <c r="AL65" i="35" s="1"/>
  <c r="X43" i="29"/>
  <c r="M44" i="28" s="1"/>
  <c r="AK63" i="35" s="1"/>
  <c r="C123" i="29"/>
  <c r="E123" i="29"/>
  <c r="U55" i="29"/>
  <c r="K44" i="28"/>
  <c r="N16" i="29"/>
  <c r="S16" i="29" s="1"/>
  <c r="H26" i="30"/>
  <c r="H50" i="30" s="1"/>
  <c r="O31" i="30"/>
  <c r="S18" i="22" s="1"/>
  <c r="S19" i="22" s="1"/>
  <c r="T11" i="29"/>
  <c r="F74" i="1"/>
  <c r="M23" i="29"/>
  <c r="O23" i="29" s="1"/>
  <c r="S24" i="29"/>
  <c r="U24" i="29" s="1"/>
  <c r="D27" i="33"/>
  <c r="T8" i="29"/>
  <c r="U10" i="29"/>
  <c r="AH36" i="29"/>
  <c r="H80" i="1"/>
  <c r="J80" i="1" s="1"/>
  <c r="L80" i="1" s="1"/>
  <c r="H6" i="32"/>
  <c r="X12" i="29"/>
  <c r="F60" i="2"/>
  <c r="J34" i="29"/>
  <c r="L34" i="29" s="1"/>
  <c r="B36" i="20"/>
  <c r="B63" i="30" s="1"/>
  <c r="H102" i="30"/>
  <c r="U20" i="29"/>
  <c r="K32" i="28" s="1"/>
  <c r="AI50" i="35" s="1"/>
  <c r="M7" i="29"/>
  <c r="H114" i="1"/>
  <c r="J114" i="1" s="1"/>
  <c r="L114" i="1" s="1"/>
  <c r="E43" i="22"/>
  <c r="E46" i="22" s="1"/>
  <c r="E47" i="22" s="1"/>
  <c r="J15" i="32" s="1"/>
  <c r="E102" i="29" s="1"/>
  <c r="R15" i="27"/>
  <c r="P31" i="30"/>
  <c r="T18" i="22" s="1"/>
  <c r="T19" i="22" s="1"/>
  <c r="X52" i="29"/>
  <c r="Z52" i="29" s="1"/>
  <c r="AE63" i="29" s="1"/>
  <c r="L2" i="22"/>
  <c r="AJ64" i="29"/>
  <c r="B99" i="29"/>
  <c r="E23" i="2"/>
  <c r="E27" i="2" s="1"/>
  <c r="E33" i="2"/>
  <c r="K26" i="29"/>
  <c r="D107" i="30"/>
  <c r="R10" i="27"/>
  <c r="F42" i="2"/>
  <c r="G42" i="2" s="1"/>
  <c r="H42" i="2" s="1"/>
  <c r="M25" i="29"/>
  <c r="O25" i="29" s="1"/>
  <c r="G56" i="2"/>
  <c r="G57" i="2" s="1"/>
  <c r="E57" i="2"/>
  <c r="F46" i="1"/>
  <c r="O13" i="22"/>
  <c r="Q55" i="1"/>
  <c r="M11" i="29"/>
  <c r="B105" i="29"/>
  <c r="D28" i="33"/>
  <c r="T24" i="29"/>
  <c r="Y24" i="29" s="1"/>
  <c r="L42" i="29"/>
  <c r="F66" i="2"/>
  <c r="G66" i="2" s="1"/>
  <c r="H66" i="2" s="1"/>
  <c r="P32" i="28"/>
  <c r="AD20" i="29" s="1"/>
  <c r="H106" i="1"/>
  <c r="Q72" i="1"/>
  <c r="R72" i="1" s="1"/>
  <c r="H68" i="1"/>
  <c r="J68" i="1" s="1"/>
  <c r="L68" i="1" s="1"/>
  <c r="F36" i="2"/>
  <c r="B32" i="30"/>
  <c r="H18" i="22"/>
  <c r="D34" i="33"/>
  <c r="D19" i="33"/>
  <c r="X33" i="29"/>
  <c r="X36" i="29" s="1"/>
  <c r="V36" i="29"/>
  <c r="E63" i="2"/>
  <c r="F62" i="2"/>
  <c r="P28" i="28"/>
  <c r="AD17" i="29" s="1"/>
  <c r="X17" i="29"/>
  <c r="N13" i="29"/>
  <c r="M10" i="29"/>
  <c r="T10" i="29"/>
  <c r="F9" i="22"/>
  <c r="F10" i="22" s="1"/>
  <c r="F13" i="22" s="1"/>
  <c r="E9" i="22"/>
  <c r="E10" i="22" s="1"/>
  <c r="J25" i="27" s="1"/>
  <c r="P20" i="30"/>
  <c r="Q20" i="30" s="1"/>
  <c r="H25" i="20"/>
  <c r="G69" i="35" s="1"/>
  <c r="O13" i="29"/>
  <c r="D30" i="33"/>
  <c r="H23" i="20"/>
  <c r="G67" i="35" s="1"/>
  <c r="F64" i="35"/>
  <c r="D3" i="22"/>
  <c r="B8" i="27"/>
  <c r="M8" i="27" s="1"/>
  <c r="AB24" i="29"/>
  <c r="AB27" i="29" s="1"/>
  <c r="J15" i="29"/>
  <c r="M15" i="29" s="1"/>
  <c r="X8" i="29"/>
  <c r="AJ8" i="29" s="1"/>
  <c r="H86" i="1"/>
  <c r="J86" i="1" s="1"/>
  <c r="L86" i="1" s="1"/>
  <c r="H82" i="1"/>
  <c r="J82" i="1" s="1"/>
  <c r="L82" i="1" s="1"/>
  <c r="H65" i="1"/>
  <c r="J65" i="1" s="1"/>
  <c r="L65" i="1" s="1"/>
  <c r="E11" i="1"/>
  <c r="L49" i="2"/>
  <c r="M49" i="2" s="1"/>
  <c r="T13" i="22"/>
  <c r="H73" i="1"/>
  <c r="J73" i="1" s="1"/>
  <c r="L73" i="1" s="1"/>
  <c r="H115" i="1"/>
  <c r="J115" i="1" s="1"/>
  <c r="L115" i="1" s="1"/>
  <c r="G3" i="32"/>
  <c r="G63" i="35"/>
  <c r="F30" i="2"/>
  <c r="G30" i="2" s="1"/>
  <c r="H30" i="2" s="1"/>
  <c r="H96" i="1"/>
  <c r="J96" i="1" s="1"/>
  <c r="L96" i="1" s="1"/>
  <c r="H100" i="1"/>
  <c r="J100" i="1" s="1"/>
  <c r="L100" i="1" s="1"/>
  <c r="H16" i="22"/>
  <c r="E3" i="2"/>
  <c r="C3" i="33"/>
  <c r="C15" i="33" s="1"/>
  <c r="D15" i="33" s="1"/>
  <c r="E15" i="33" s="1"/>
  <c r="F15" i="33" s="1"/>
  <c r="G15" i="33" s="1"/>
  <c r="H15" i="33" s="1"/>
  <c r="I15" i="33" s="1"/>
  <c r="J15" i="33" s="1"/>
  <c r="K15" i="33" s="1"/>
  <c r="L15" i="33" s="1"/>
  <c r="H17" i="20"/>
  <c r="G61" i="35" s="1"/>
  <c r="E3" i="28"/>
  <c r="Q58" i="1"/>
  <c r="R58" i="1" s="1"/>
  <c r="F107" i="1"/>
  <c r="J85" i="1"/>
  <c r="L85" i="1" s="1"/>
  <c r="Q13" i="22"/>
  <c r="J53" i="1"/>
  <c r="L53" i="1" s="1"/>
  <c r="G3" i="27"/>
  <c r="D33" i="33"/>
  <c r="J41" i="33" s="1"/>
  <c r="H21" i="20"/>
  <c r="G65" i="35" s="1"/>
  <c r="H27" i="20"/>
  <c r="G71" i="35" s="1"/>
  <c r="H95" i="1"/>
  <c r="J95" i="1" s="1"/>
  <c r="L95" i="1" s="1"/>
  <c r="H71" i="1"/>
  <c r="J71" i="1" s="1"/>
  <c r="L71" i="1" s="1"/>
  <c r="F54" i="2"/>
  <c r="G54" i="2" s="1"/>
  <c r="H54" i="2" s="1"/>
  <c r="P13" i="22"/>
  <c r="E6" i="22"/>
  <c r="H30" i="20"/>
  <c r="G74" i="35" s="1"/>
  <c r="H90" i="1"/>
  <c r="J90" i="1" s="1"/>
  <c r="L90" i="1" s="1"/>
  <c r="B27" i="29"/>
  <c r="L17" i="22"/>
  <c r="D29" i="33"/>
  <c r="H16" i="20"/>
  <c r="J16" i="20" s="1"/>
  <c r="L16" i="20" s="1"/>
  <c r="H29" i="20"/>
  <c r="G73" i="35" s="1"/>
  <c r="H15" i="20"/>
  <c r="G59" i="35" s="1"/>
  <c r="AB35" i="29"/>
  <c r="AD35" i="29" s="1"/>
  <c r="AD36" i="29" s="1"/>
  <c r="H70" i="1"/>
  <c r="J70" i="1" s="1"/>
  <c r="L70" i="1" s="1"/>
  <c r="AJ36" i="29"/>
  <c r="H40" i="26"/>
  <c r="D6" i="22"/>
  <c r="E22" i="22"/>
  <c r="E23" i="22" s="1"/>
  <c r="K16" i="22"/>
  <c r="K17" i="22" s="1"/>
  <c r="D42" i="22"/>
  <c r="D43" i="22" s="1"/>
  <c r="C10" i="22"/>
  <c r="D22" i="22"/>
  <c r="D23" i="22" s="1"/>
  <c r="I26" i="27" s="1"/>
  <c r="C43" i="22"/>
  <c r="C44" i="22" s="1"/>
  <c r="F42" i="22"/>
  <c r="F43" i="22" s="1"/>
  <c r="R11" i="20"/>
  <c r="F9" i="28"/>
  <c r="F6" i="22"/>
  <c r="H8" i="32"/>
  <c r="N5" i="28"/>
  <c r="I34" i="32"/>
  <c r="J18" i="1"/>
  <c r="L18" i="1" s="1"/>
  <c r="P40" i="30"/>
  <c r="G40" i="30"/>
  <c r="N40" i="30"/>
  <c r="H40" i="30"/>
  <c r="O40" i="30"/>
  <c r="M40" i="30"/>
  <c r="K40" i="30"/>
  <c r="R40" i="30"/>
  <c r="Q40" i="30"/>
  <c r="L40" i="30"/>
  <c r="J40" i="30"/>
  <c r="I40" i="30"/>
  <c r="H110" i="1"/>
  <c r="J110" i="1" s="1"/>
  <c r="H78" i="1"/>
  <c r="J78" i="1" s="1"/>
  <c r="Q106" i="1"/>
  <c r="R106" i="1" s="1"/>
  <c r="Q50" i="1"/>
  <c r="R50" i="1" s="1"/>
  <c r="R43" i="1"/>
  <c r="H62" i="1"/>
  <c r="J62" i="1" s="1"/>
  <c r="L62" i="1" s="1"/>
  <c r="H54" i="1"/>
  <c r="F99" i="1"/>
  <c r="J103" i="1"/>
  <c r="L103" i="1" s="1"/>
  <c r="H102" i="1"/>
  <c r="J102" i="1" s="1"/>
  <c r="L102" i="1" s="1"/>
  <c r="H97" i="1"/>
  <c r="J97" i="1" s="1"/>
  <c r="J40" i="1"/>
  <c r="F39" i="1"/>
  <c r="F112" i="1"/>
  <c r="F69" i="1"/>
  <c r="R97" i="1"/>
  <c r="Q44" i="27"/>
  <c r="D50" i="34" s="1"/>
  <c r="G47" i="27"/>
  <c r="R111" i="1"/>
  <c r="H12" i="1"/>
  <c r="H41" i="1" s="1"/>
  <c r="G54" i="32"/>
  <c r="H105" i="1"/>
  <c r="H101" i="1"/>
  <c r="J101" i="1" s="1"/>
  <c r="L101" i="1" s="1"/>
  <c r="H89" i="1"/>
  <c r="J81" i="1"/>
  <c r="L81" i="1" s="1"/>
  <c r="R61" i="1"/>
  <c r="L102" i="29"/>
  <c r="H17" i="1"/>
  <c r="F63" i="1"/>
  <c r="F79" i="1"/>
  <c r="H51" i="1"/>
  <c r="J51" i="1" s="1"/>
  <c r="L51" i="1" s="1"/>
  <c r="H116" i="1"/>
  <c r="J116" i="1" s="1"/>
  <c r="L116" i="1" s="1"/>
  <c r="H84" i="1"/>
  <c r="H64" i="1"/>
  <c r="J22" i="1"/>
  <c r="L22" i="1" s="1"/>
  <c r="J109" i="1"/>
  <c r="L109" i="1" s="1"/>
  <c r="H66" i="1"/>
  <c r="J66" i="1" s="1"/>
  <c r="L66" i="1" s="1"/>
  <c r="F52" i="1"/>
  <c r="H57" i="1"/>
  <c r="J57" i="1" s="1"/>
  <c r="L57" i="1" s="1"/>
  <c r="H47" i="1"/>
  <c r="H67" i="1"/>
  <c r="H75" i="1"/>
  <c r="J75" i="1" s="1"/>
  <c r="L75" i="1" s="1"/>
  <c r="H93" i="1"/>
  <c r="J93" i="1" s="1"/>
  <c r="L93" i="1" s="1"/>
  <c r="H118" i="1"/>
  <c r="J118" i="1" s="1"/>
  <c r="L118" i="1" s="1"/>
  <c r="H113" i="1"/>
  <c r="J31" i="30"/>
  <c r="N18" i="22" s="1"/>
  <c r="N19" i="22" s="1"/>
  <c r="G31" i="30"/>
  <c r="K18" i="22" s="1"/>
  <c r="K19" i="22" s="1"/>
  <c r="L31" i="30"/>
  <c r="P18" i="22" s="1"/>
  <c r="P19" i="22" s="1"/>
  <c r="Q11" i="27"/>
  <c r="Q72" i="27" s="1"/>
  <c r="R31" i="30"/>
  <c r="V18" i="22" s="1"/>
  <c r="V19" i="22" s="1"/>
  <c r="K31" i="30"/>
  <c r="O18" i="22" s="1"/>
  <c r="O19" i="22" s="1"/>
  <c r="N31" i="30"/>
  <c r="R18" i="22" s="1"/>
  <c r="R19" i="22" s="1"/>
  <c r="H31" i="30"/>
  <c r="L18" i="22" s="1"/>
  <c r="L19" i="22" s="1"/>
  <c r="H24" i="1"/>
  <c r="AN30" i="30" s="1"/>
  <c r="F34" i="1"/>
  <c r="J13" i="1"/>
  <c r="I11" i="32"/>
  <c r="V6" i="35" s="1"/>
  <c r="V26" i="35" s="1"/>
  <c r="F16" i="2"/>
  <c r="G16" i="2" s="1"/>
  <c r="H16" i="2" s="1"/>
  <c r="H40" i="33"/>
  <c r="L60" i="2"/>
  <c r="M60" i="2" s="1"/>
  <c r="F48" i="2"/>
  <c r="L36" i="2"/>
  <c r="E17" i="2"/>
  <c r="E21" i="2" s="1"/>
  <c r="L18" i="2"/>
  <c r="J14" i="1"/>
  <c r="H85" i="32"/>
  <c r="F11" i="1"/>
  <c r="R110" i="1"/>
  <c r="O18" i="30"/>
  <c r="J108" i="1"/>
  <c r="M2" i="22"/>
  <c r="AJ42" i="29"/>
  <c r="AL39" i="29"/>
  <c r="AE59" i="29"/>
  <c r="AB63" i="29"/>
  <c r="AB55" i="29"/>
  <c r="F2" i="33"/>
  <c r="M12" i="29"/>
  <c r="E51" i="2"/>
  <c r="F50" i="2"/>
  <c r="H32" i="2"/>
  <c r="Q31" i="30"/>
  <c r="U18" i="22" s="1"/>
  <c r="U19" i="22" s="1"/>
  <c r="I31" i="30"/>
  <c r="M18" i="22" s="1"/>
  <c r="M19" i="22" s="1"/>
  <c r="I46" i="27"/>
  <c r="AJ5" i="35" s="1"/>
  <c r="S10" i="27"/>
  <c r="R12" i="29"/>
  <c r="I18" i="28"/>
  <c r="D26" i="33"/>
  <c r="D25" i="33"/>
  <c r="E20" i="33"/>
  <c r="D32" i="33"/>
  <c r="H48" i="1"/>
  <c r="Q48" i="1"/>
  <c r="R48" i="1" s="1"/>
  <c r="Q10" i="27"/>
  <c r="AF5" i="35" s="1"/>
  <c r="G46" i="27"/>
  <c r="R78" i="1"/>
  <c r="F55" i="2"/>
  <c r="L55" i="2"/>
  <c r="M55" i="2" s="1"/>
  <c r="L43" i="2"/>
  <c r="M43" i="2" s="1"/>
  <c r="F43" i="2"/>
  <c r="D31" i="33"/>
  <c r="P45" i="28"/>
  <c r="AN64" i="35" s="1"/>
  <c r="P46" i="29"/>
  <c r="F67" i="2"/>
  <c r="E65" i="2"/>
  <c r="U32" i="30"/>
  <c r="G32" i="30" s="1"/>
  <c r="V49" i="29"/>
  <c r="Q117" i="1"/>
  <c r="R117" i="1" s="1"/>
  <c r="Q113" i="1"/>
  <c r="R113" i="1" s="1"/>
  <c r="D123" i="29"/>
  <c r="F123" i="29"/>
  <c r="G75" i="32"/>
  <c r="Q27" i="27" s="1"/>
  <c r="I50" i="27"/>
  <c r="I59" i="27"/>
  <c r="AJ17" i="35" s="1"/>
  <c r="J25" i="1"/>
  <c r="L25" i="1" s="1"/>
  <c r="L24" i="1" s="1"/>
  <c r="X16" i="29" l="1"/>
  <c r="AK45" i="35"/>
  <c r="AK59" i="35" s="1"/>
  <c r="AA8" i="29"/>
  <c r="AL30" i="35"/>
  <c r="AG8" i="29"/>
  <c r="AO30" i="35"/>
  <c r="AD71" i="35"/>
  <c r="F35" i="2"/>
  <c r="B96" i="29"/>
  <c r="U41" i="30" s="1"/>
  <c r="B94" i="29"/>
  <c r="B95" i="29" s="1"/>
  <c r="F24" i="22"/>
  <c r="K26" i="27"/>
  <c r="C26" i="22"/>
  <c r="H26" i="27"/>
  <c r="E24" i="22"/>
  <c r="J26" i="27"/>
  <c r="J111" i="1"/>
  <c r="Z30" i="30"/>
  <c r="AB30" i="30" s="1"/>
  <c r="AB29" i="30"/>
  <c r="AD29" i="30" s="1"/>
  <c r="AF29" i="30" s="1"/>
  <c r="F23" i="2"/>
  <c r="F27" i="2" s="1"/>
  <c r="AR29" i="30"/>
  <c r="AS29" i="30"/>
  <c r="AP30" i="30"/>
  <c r="AL29" i="30"/>
  <c r="G38" i="30"/>
  <c r="H38" i="30" s="1"/>
  <c r="I38" i="30" s="1"/>
  <c r="J38" i="30" s="1"/>
  <c r="K38" i="30" s="1"/>
  <c r="L38" i="30" s="1"/>
  <c r="M38" i="30" s="1"/>
  <c r="N38" i="30" s="1"/>
  <c r="O38" i="30" s="1"/>
  <c r="P38" i="30" s="1"/>
  <c r="Q38" i="30" s="1"/>
  <c r="R38" i="30" s="1"/>
  <c r="I87" i="32"/>
  <c r="AG30" i="30"/>
  <c r="G44" i="28"/>
  <c r="AE63" i="35" s="1"/>
  <c r="AE67" i="35" s="1"/>
  <c r="AE71" i="35" s="1"/>
  <c r="L60" i="29"/>
  <c r="L64" i="29" s="1"/>
  <c r="Q31" i="27"/>
  <c r="AT12" i="35" s="1"/>
  <c r="Q80" i="27"/>
  <c r="AQ79" i="35"/>
  <c r="Q79" i="35"/>
  <c r="Z79" i="35"/>
  <c r="T35" i="35"/>
  <c r="AG11" i="29"/>
  <c r="AO33" i="35"/>
  <c r="AH59" i="35"/>
  <c r="I30" i="27"/>
  <c r="AG71" i="35"/>
  <c r="Q29" i="27"/>
  <c r="Q30" i="27" s="1"/>
  <c r="AT11" i="35" s="1"/>
  <c r="J40" i="32"/>
  <c r="H45" i="32"/>
  <c r="AH13" i="35"/>
  <c r="V27" i="29"/>
  <c r="AJ59" i="35"/>
  <c r="AJ71" i="35" s="1"/>
  <c r="F23" i="28"/>
  <c r="J4" i="29" s="1"/>
  <c r="J56" i="29" s="1"/>
  <c r="AD27" i="35"/>
  <c r="AD41" i="35" s="1"/>
  <c r="AD61" i="35" s="1"/>
  <c r="D2" i="34"/>
  <c r="D26" i="34" s="1"/>
  <c r="AF6" i="35"/>
  <c r="AL67" i="35"/>
  <c r="AO67" i="35"/>
  <c r="AK67" i="35"/>
  <c r="K48" i="28"/>
  <c r="AI63" i="35"/>
  <c r="AI67" i="35" s="1"/>
  <c r="H48" i="28"/>
  <c r="AF63" i="35"/>
  <c r="AF67" i="35" s="1"/>
  <c r="AG12" i="29"/>
  <c r="AO35" i="35"/>
  <c r="AA12" i="29"/>
  <c r="AL35" i="35"/>
  <c r="H43" i="32"/>
  <c r="P47" i="28"/>
  <c r="AN66" i="35" s="1"/>
  <c r="AN67" i="35" s="1"/>
  <c r="U7" i="29"/>
  <c r="AI29" i="35"/>
  <c r="AI36" i="35" s="1"/>
  <c r="R27" i="29"/>
  <c r="O55" i="29"/>
  <c r="P27" i="28"/>
  <c r="Z9" i="29"/>
  <c r="G16" i="26"/>
  <c r="G15" i="35" s="1"/>
  <c r="G33" i="35" s="1"/>
  <c r="F59" i="2"/>
  <c r="F45" i="1"/>
  <c r="G119" i="1" s="1"/>
  <c r="J61" i="1"/>
  <c r="J54" i="1"/>
  <c r="I93" i="32"/>
  <c r="I94" i="32" s="1"/>
  <c r="H91" i="32"/>
  <c r="U46" i="35" s="1"/>
  <c r="C24" i="22"/>
  <c r="G38" i="2"/>
  <c r="F39" i="2"/>
  <c r="J121" i="1"/>
  <c r="L121" i="1" s="1"/>
  <c r="S15" i="27"/>
  <c r="L75" i="35"/>
  <c r="F26" i="22"/>
  <c r="F27" i="22" s="1"/>
  <c r="H23" i="2"/>
  <c r="E8" i="2"/>
  <c r="J53" i="2" s="1"/>
  <c r="O52" i="1"/>
  <c r="O107" i="1"/>
  <c r="O79" i="1"/>
  <c r="O17" i="1"/>
  <c r="O94" i="1"/>
  <c r="C39" i="22"/>
  <c r="C40" i="22" s="1"/>
  <c r="H31" i="32" s="1"/>
  <c r="H33" i="32" s="1"/>
  <c r="C120" i="29" s="1"/>
  <c r="H27" i="27"/>
  <c r="D39" i="22"/>
  <c r="D40" i="22" s="1"/>
  <c r="I31" i="32" s="1"/>
  <c r="D118" i="29" s="1"/>
  <c r="I27" i="27"/>
  <c r="F39" i="22"/>
  <c r="F40" i="22" s="1"/>
  <c r="K31" i="32" s="1"/>
  <c r="F118" i="29" s="1"/>
  <c r="K27" i="27"/>
  <c r="E37" i="22"/>
  <c r="J27" i="27"/>
  <c r="Y10" i="29"/>
  <c r="P27" i="29"/>
  <c r="T18" i="29"/>
  <c r="Y18" i="29" s="1"/>
  <c r="Z63" i="29"/>
  <c r="O104" i="1"/>
  <c r="O112" i="1"/>
  <c r="O41" i="1"/>
  <c r="O27" i="1"/>
  <c r="O34" i="1"/>
  <c r="O99" i="1"/>
  <c r="O46" i="1"/>
  <c r="O83" i="1"/>
  <c r="O12" i="1"/>
  <c r="O24" i="1"/>
  <c r="O21" i="1"/>
  <c r="O69" i="1"/>
  <c r="O63" i="1"/>
  <c r="O88" i="1"/>
  <c r="E7" i="22"/>
  <c r="J20" i="32" s="1"/>
  <c r="E107" i="29" s="1"/>
  <c r="F7" i="22"/>
  <c r="K20" i="32" s="1"/>
  <c r="F107" i="29" s="1"/>
  <c r="D7" i="22"/>
  <c r="I20" i="32" s="1"/>
  <c r="D107" i="29" s="1"/>
  <c r="Y21" i="29"/>
  <c r="AA21" i="29" s="1"/>
  <c r="N34" i="28" s="1"/>
  <c r="AL52" i="35" s="1"/>
  <c r="AE21" i="29"/>
  <c r="AG21" i="29" s="1"/>
  <c r="Q34" i="28" s="1"/>
  <c r="AO52" i="35" s="1"/>
  <c r="AF21" i="29"/>
  <c r="AK21" i="29" s="1"/>
  <c r="AM21" i="29" s="1"/>
  <c r="S17" i="29"/>
  <c r="U17" i="29" s="1"/>
  <c r="K28" i="28" s="1"/>
  <c r="AI46" i="35" s="1"/>
  <c r="I56" i="28"/>
  <c r="I17" i="27"/>
  <c r="V55" i="35" s="1"/>
  <c r="L56" i="28"/>
  <c r="J17" i="27"/>
  <c r="W55" i="35" s="1"/>
  <c r="M41" i="28"/>
  <c r="T63" i="29"/>
  <c r="S25" i="29"/>
  <c r="U25" i="29" s="1"/>
  <c r="G48" i="28"/>
  <c r="G56" i="28" s="1"/>
  <c r="Z20" i="29"/>
  <c r="AE20" i="29" s="1"/>
  <c r="AG20" i="29" s="1"/>
  <c r="Q32" i="28" s="1"/>
  <c r="AO50" i="35" s="1"/>
  <c r="AM55" i="29"/>
  <c r="N34" i="29"/>
  <c r="T25" i="29"/>
  <c r="X55" i="29"/>
  <c r="M48" i="28"/>
  <c r="J55" i="29"/>
  <c r="AK63" i="29"/>
  <c r="Y9" i="29"/>
  <c r="J44" i="28"/>
  <c r="H42" i="1"/>
  <c r="J42" i="1" s="1"/>
  <c r="L42" i="1" s="1"/>
  <c r="H77" i="32"/>
  <c r="H76" i="32" s="1"/>
  <c r="U42" i="35" s="1"/>
  <c r="Y17" i="29"/>
  <c r="AA17" i="29" s="1"/>
  <c r="N28" i="28" s="1"/>
  <c r="AL46" i="35" s="1"/>
  <c r="M13" i="29"/>
  <c r="Q15" i="29"/>
  <c r="W15" i="29" s="1"/>
  <c r="AC15" i="29" s="1"/>
  <c r="AI15" i="29" s="1"/>
  <c r="H60" i="26"/>
  <c r="H49" i="35" s="1"/>
  <c r="D26" i="22"/>
  <c r="D27" i="22" s="1"/>
  <c r="D24" i="22"/>
  <c r="N43" i="29"/>
  <c r="M60" i="29" s="1"/>
  <c r="AF22" i="29"/>
  <c r="AE22" i="29"/>
  <c r="AG22" i="29" s="1"/>
  <c r="Q35" i="28" s="1"/>
  <c r="AO53" i="35" s="1"/>
  <c r="G52" i="30"/>
  <c r="S52" i="30" s="1"/>
  <c r="T52" i="30" s="1"/>
  <c r="Z23" i="29"/>
  <c r="AF23" i="29" s="1"/>
  <c r="AJ23" i="29" s="1"/>
  <c r="Y23" i="29"/>
  <c r="AA23" i="29" s="1"/>
  <c r="N36" i="28" s="1"/>
  <c r="AL54" i="35" s="1"/>
  <c r="Q48" i="28"/>
  <c r="L91" i="1"/>
  <c r="AK26" i="29"/>
  <c r="AM26" i="29" s="1"/>
  <c r="AL26" i="29"/>
  <c r="AK35" i="29" s="1"/>
  <c r="Y19" i="29"/>
  <c r="AA19" i="29" s="1"/>
  <c r="N31" i="28" s="1"/>
  <c r="AL49" i="35" s="1"/>
  <c r="C107" i="29"/>
  <c r="E29" i="2"/>
  <c r="D124" i="1"/>
  <c r="AE9" i="29"/>
  <c r="Z8" i="29"/>
  <c r="AE8" i="29" s="1"/>
  <c r="E39" i="22"/>
  <c r="E40" i="22" s="1"/>
  <c r="J31" i="32" s="1"/>
  <c r="E118" i="29" s="1"/>
  <c r="C37" i="22"/>
  <c r="R13" i="29"/>
  <c r="S30" i="29" s="1"/>
  <c r="S12" i="29"/>
  <c r="S13" i="29" s="1"/>
  <c r="Z11" i="29"/>
  <c r="Y11" i="29"/>
  <c r="Y8" i="29"/>
  <c r="L18" i="28"/>
  <c r="N11" i="28"/>
  <c r="AL29" i="35" s="1"/>
  <c r="AG55" i="29"/>
  <c r="S33" i="29"/>
  <c r="AJ55" i="29"/>
  <c r="N48" i="28"/>
  <c r="F11" i="2"/>
  <c r="F15" i="2" s="1"/>
  <c r="AG42" i="29"/>
  <c r="M12" i="20"/>
  <c r="G51" i="32"/>
  <c r="F17" i="2"/>
  <c r="F21" i="2" s="1"/>
  <c r="J34" i="32"/>
  <c r="W14" i="35" s="1"/>
  <c r="V14" i="35"/>
  <c r="N39" i="29"/>
  <c r="N42" i="29" s="1"/>
  <c r="AA42" i="29"/>
  <c r="L20" i="28"/>
  <c r="AJ38" i="35" s="1"/>
  <c r="K20" i="28"/>
  <c r="AI38" i="35" s="1"/>
  <c r="H31" i="2"/>
  <c r="H29" i="2" s="1"/>
  <c r="H33" i="2" s="1"/>
  <c r="G29" i="2"/>
  <c r="G33" i="2" s="1"/>
  <c r="F29" i="2"/>
  <c r="F33" i="2" s="1"/>
  <c r="AA55" i="29"/>
  <c r="R55" i="29"/>
  <c r="S59" i="29"/>
  <c r="Q28" i="27"/>
  <c r="AT9" i="35" s="1"/>
  <c r="T41" i="35"/>
  <c r="W28" i="35"/>
  <c r="C106" i="29"/>
  <c r="U10" i="35"/>
  <c r="G60" i="35"/>
  <c r="J147" i="35"/>
  <c r="D147" i="35"/>
  <c r="U51" i="35"/>
  <c r="AU6" i="35"/>
  <c r="V51" i="35"/>
  <c r="AV6" i="35"/>
  <c r="F15" i="35"/>
  <c r="F33" i="35" s="1"/>
  <c r="E3" i="22"/>
  <c r="E11" i="2"/>
  <c r="B62" i="30"/>
  <c r="K83" i="32"/>
  <c r="I83" i="32"/>
  <c r="F53" i="32"/>
  <c r="F10" i="27"/>
  <c r="P10" i="27" s="1"/>
  <c r="AD5" i="35" s="1"/>
  <c r="J47" i="1"/>
  <c r="G44" i="27"/>
  <c r="F66" i="35"/>
  <c r="F14" i="22"/>
  <c r="K23" i="32" s="1"/>
  <c r="F110" i="29" s="1"/>
  <c r="F11" i="22"/>
  <c r="K25" i="27"/>
  <c r="D13" i="22"/>
  <c r="D14" i="22" s="1"/>
  <c r="I23" i="32" s="1"/>
  <c r="D110" i="29" s="1"/>
  <c r="D37" i="22"/>
  <c r="D11" i="22"/>
  <c r="H64" i="32"/>
  <c r="H62" i="32" s="1"/>
  <c r="U33" i="35" s="1"/>
  <c r="E44" i="22"/>
  <c r="Z19" i="29"/>
  <c r="H20" i="28"/>
  <c r="AF38" i="35" s="1"/>
  <c r="R42" i="29"/>
  <c r="H83" i="32" s="1"/>
  <c r="M59" i="29"/>
  <c r="X7" i="29"/>
  <c r="H39" i="33"/>
  <c r="H11" i="2"/>
  <c r="G38" i="33"/>
  <c r="G11" i="2"/>
  <c r="G15" i="2" s="1"/>
  <c r="H79" i="1"/>
  <c r="J55" i="1"/>
  <c r="I55" i="27"/>
  <c r="I57" i="27"/>
  <c r="AJ15" i="35" s="1"/>
  <c r="H82" i="32"/>
  <c r="E11" i="22"/>
  <c r="E13" i="22"/>
  <c r="E14" i="22" s="1"/>
  <c r="J23" i="32" s="1"/>
  <c r="E110" i="29" s="1"/>
  <c r="L43" i="1"/>
  <c r="H46" i="1"/>
  <c r="J49" i="1"/>
  <c r="L49" i="1" s="1"/>
  <c r="H52" i="1"/>
  <c r="J50" i="1"/>
  <c r="L50" i="1" s="1"/>
  <c r="H112" i="1"/>
  <c r="J72" i="1"/>
  <c r="L72" i="1" s="1"/>
  <c r="L69" i="1" s="1"/>
  <c r="C13" i="33"/>
  <c r="D13" i="33" s="1"/>
  <c r="E13" i="33" s="1"/>
  <c r="F13" i="33" s="1"/>
  <c r="G13" i="33" s="1"/>
  <c r="H13" i="33" s="1"/>
  <c r="I13" i="33" s="1"/>
  <c r="J13" i="33" s="1"/>
  <c r="C4" i="33"/>
  <c r="C5" i="33" s="1"/>
  <c r="C10" i="33"/>
  <c r="D10" i="33" s="1"/>
  <c r="E10" i="33" s="1"/>
  <c r="F10" i="33" s="1"/>
  <c r="G10" i="33" s="1"/>
  <c r="C12" i="33"/>
  <c r="D12" i="33" s="1"/>
  <c r="E12" i="33" s="1"/>
  <c r="F12" i="33" s="1"/>
  <c r="G12" i="33" s="1"/>
  <c r="H12" i="33" s="1"/>
  <c r="I12" i="33" s="1"/>
  <c r="C11" i="33"/>
  <c r="D11" i="33" s="1"/>
  <c r="E11" i="33" s="1"/>
  <c r="F11" i="33" s="1"/>
  <c r="G11" i="33" s="1"/>
  <c r="H11" i="33" s="1"/>
  <c r="C6" i="33"/>
  <c r="C7" i="33"/>
  <c r="D7" i="33" s="1"/>
  <c r="D3" i="33"/>
  <c r="E3" i="33" s="1"/>
  <c r="C9" i="33"/>
  <c r="D9" i="33" s="1"/>
  <c r="E9" i="33" s="1"/>
  <c r="F9" i="33" s="1"/>
  <c r="C16" i="33"/>
  <c r="D16" i="33" s="1"/>
  <c r="E16" i="33" s="1"/>
  <c r="F16" i="33" s="1"/>
  <c r="G16" i="33" s="1"/>
  <c r="H16" i="33" s="1"/>
  <c r="I16" i="33" s="1"/>
  <c r="J16" i="33" s="1"/>
  <c r="K16" i="33" s="1"/>
  <c r="L16" i="33" s="1"/>
  <c r="C14" i="33"/>
  <c r="D14" i="33" s="1"/>
  <c r="E14" i="33" s="1"/>
  <c r="F14" i="33" s="1"/>
  <c r="G14" i="33" s="1"/>
  <c r="H14" i="33" s="1"/>
  <c r="I14" i="33" s="1"/>
  <c r="J14" i="33" s="1"/>
  <c r="K14" i="33" s="1"/>
  <c r="C8" i="33"/>
  <c r="D8" i="33" s="1"/>
  <c r="E8" i="33" s="1"/>
  <c r="AD55" i="29"/>
  <c r="AD42" i="29"/>
  <c r="Y59" i="29"/>
  <c r="O20" i="28"/>
  <c r="AM38" i="35" s="1"/>
  <c r="J83" i="32"/>
  <c r="P48" i="28"/>
  <c r="B127" i="1"/>
  <c r="L101" i="29"/>
  <c r="H39" i="1"/>
  <c r="AA24" i="29"/>
  <c r="Z24" i="29"/>
  <c r="AF24" i="29" s="1"/>
  <c r="AK24" i="29" s="1"/>
  <c r="U16" i="29"/>
  <c r="K27" i="28" s="1"/>
  <c r="AI45" i="35" s="1"/>
  <c r="T16" i="29"/>
  <c r="Y16" i="29" s="1"/>
  <c r="H56" i="2"/>
  <c r="H57" i="2" s="1"/>
  <c r="J38" i="29"/>
  <c r="AB36" i="29"/>
  <c r="J101" i="29"/>
  <c r="E56" i="29"/>
  <c r="E38" i="29"/>
  <c r="H69" i="1"/>
  <c r="E2" i="33"/>
  <c r="I26" i="30"/>
  <c r="I50" i="30" s="1"/>
  <c r="I102" i="30"/>
  <c r="R55" i="1"/>
  <c r="H94" i="1"/>
  <c r="L99" i="1"/>
  <c r="L78" i="1"/>
  <c r="L17" i="1"/>
  <c r="H107" i="1"/>
  <c r="H20" i="20"/>
  <c r="Q19" i="27" s="1"/>
  <c r="H22" i="20"/>
  <c r="AF9" i="29"/>
  <c r="AK9" i="29" s="1"/>
  <c r="X27" i="29"/>
  <c r="S40" i="30"/>
  <c r="T40" i="30" s="1"/>
  <c r="S20" i="30"/>
  <c r="T20" i="30" s="1"/>
  <c r="G49" i="2"/>
  <c r="H49" i="2" s="1"/>
  <c r="N2" i="22"/>
  <c r="J26" i="30"/>
  <c r="J50" i="30" s="1"/>
  <c r="J102" i="30"/>
  <c r="L103" i="29"/>
  <c r="J94" i="1"/>
  <c r="G62" i="2"/>
  <c r="F63" i="2"/>
  <c r="B33" i="30"/>
  <c r="H22" i="22"/>
  <c r="H99" i="1"/>
  <c r="J32" i="29"/>
  <c r="N15" i="29"/>
  <c r="S15" i="29" s="1"/>
  <c r="J27" i="29"/>
  <c r="Z10" i="29"/>
  <c r="AE10" i="29" s="1"/>
  <c r="J58" i="1"/>
  <c r="L58" i="1" s="1"/>
  <c r="Z17" i="29"/>
  <c r="AE17" i="29" s="1"/>
  <c r="Q46" i="27"/>
  <c r="D52" i="34" s="1"/>
  <c r="D121" i="29"/>
  <c r="C46" i="22"/>
  <c r="C47" i="22" s="1"/>
  <c r="H15" i="32" s="1"/>
  <c r="C102" i="29" s="1"/>
  <c r="H25" i="27"/>
  <c r="C13" i="22"/>
  <c r="D46" i="22"/>
  <c r="D47" i="22" s="1"/>
  <c r="I15" i="32" s="1"/>
  <c r="D102" i="29" s="1"/>
  <c r="D44" i="22"/>
  <c r="E26" i="22"/>
  <c r="E27" i="22" s="1"/>
  <c r="F44" i="22"/>
  <c r="F46" i="22"/>
  <c r="F47" i="22" s="1"/>
  <c r="K15" i="32" s="1"/>
  <c r="F102" i="29" s="1"/>
  <c r="C11" i="22"/>
  <c r="H34" i="1"/>
  <c r="I64" i="32"/>
  <c r="I62" i="32" s="1"/>
  <c r="V33" i="35" s="1"/>
  <c r="I85" i="32"/>
  <c r="J17" i="1"/>
  <c r="H11" i="1"/>
  <c r="H74" i="1"/>
  <c r="L40" i="1"/>
  <c r="L111" i="1"/>
  <c r="J106" i="1"/>
  <c r="L106" i="1" s="1"/>
  <c r="G36" i="30"/>
  <c r="F37" i="1"/>
  <c r="F32" i="1" s="1"/>
  <c r="R40" i="27" s="1"/>
  <c r="J89" i="1"/>
  <c r="H88" i="1"/>
  <c r="J79" i="1"/>
  <c r="L79" i="1"/>
  <c r="J64" i="1"/>
  <c r="H63" i="1"/>
  <c r="J99" i="1"/>
  <c r="J84" i="1"/>
  <c r="H83" i="1"/>
  <c r="J105" i="1"/>
  <c r="H104" i="1"/>
  <c r="J117" i="1"/>
  <c r="L117" i="1" s="1"/>
  <c r="N102" i="29"/>
  <c r="J67" i="1"/>
  <c r="L67" i="1" s="1"/>
  <c r="L97" i="1"/>
  <c r="L94" i="1" s="1"/>
  <c r="L74" i="1"/>
  <c r="E79" i="1"/>
  <c r="E63" i="1"/>
  <c r="E74" i="1"/>
  <c r="E52" i="1"/>
  <c r="E99" i="1"/>
  <c r="E112" i="1"/>
  <c r="E104" i="1"/>
  <c r="E83" i="1"/>
  <c r="E46" i="1"/>
  <c r="E69" i="1"/>
  <c r="E107" i="1"/>
  <c r="E94" i="1"/>
  <c r="E116" i="1"/>
  <c r="E87" i="1"/>
  <c r="E117" i="1"/>
  <c r="E86" i="1"/>
  <c r="E88" i="1"/>
  <c r="J24" i="1"/>
  <c r="L13" i="1"/>
  <c r="L12" i="1" s="1"/>
  <c r="J12" i="1"/>
  <c r="J41" i="1" s="1"/>
  <c r="S11" i="20"/>
  <c r="I9" i="28"/>
  <c r="H8" i="1"/>
  <c r="P34" i="1" s="1"/>
  <c r="D93" i="29"/>
  <c r="D99" i="29" s="1"/>
  <c r="F22" i="2"/>
  <c r="G22" i="2" s="1"/>
  <c r="H22" i="2" s="1"/>
  <c r="G60" i="2"/>
  <c r="G48" i="2"/>
  <c r="F47" i="2"/>
  <c r="M36" i="2"/>
  <c r="G36" i="2"/>
  <c r="I40" i="33"/>
  <c r="M18" i="2"/>
  <c r="H37" i="1"/>
  <c r="L14" i="1"/>
  <c r="F20" i="33"/>
  <c r="E26" i="33"/>
  <c r="E25" i="33"/>
  <c r="E32" i="33"/>
  <c r="E29" i="33"/>
  <c r="E24" i="33"/>
  <c r="E27" i="33"/>
  <c r="E31" i="33"/>
  <c r="E30" i="33"/>
  <c r="E33" i="33"/>
  <c r="K41" i="33" s="1"/>
  <c r="E28" i="33"/>
  <c r="F34" i="33"/>
  <c r="F19" i="33"/>
  <c r="V62" i="29"/>
  <c r="V55" i="29"/>
  <c r="Z49" i="29"/>
  <c r="AB64" i="29"/>
  <c r="AD63" i="29"/>
  <c r="AD64" i="29" s="1"/>
  <c r="L110" i="1"/>
  <c r="G43" i="2"/>
  <c r="F41" i="2"/>
  <c r="N75" i="35"/>
  <c r="T15" i="27"/>
  <c r="AF59" i="29"/>
  <c r="AL42" i="29"/>
  <c r="K18" i="28"/>
  <c r="U12" i="29"/>
  <c r="P61" i="29"/>
  <c r="T46" i="29"/>
  <c r="P55" i="29"/>
  <c r="Z18" i="29"/>
  <c r="AE18" i="29" s="1"/>
  <c r="K11" i="32"/>
  <c r="X6" i="35" s="1"/>
  <c r="X26" i="35" s="1"/>
  <c r="F37" i="33"/>
  <c r="G2" i="33"/>
  <c r="O2" i="22"/>
  <c r="K26" i="30"/>
  <c r="K50" i="30" s="1"/>
  <c r="K102" i="30"/>
  <c r="L108" i="1"/>
  <c r="J107" i="1"/>
  <c r="J32" i="30"/>
  <c r="L32" i="30"/>
  <c r="N32" i="30"/>
  <c r="Q32" i="30"/>
  <c r="P32" i="30"/>
  <c r="R32" i="30"/>
  <c r="M32" i="30"/>
  <c r="I32" i="30"/>
  <c r="H32" i="30"/>
  <c r="K32" i="30"/>
  <c r="O32" i="30"/>
  <c r="G17" i="2"/>
  <c r="G21" i="2" s="1"/>
  <c r="U18" i="29"/>
  <c r="J74" i="1"/>
  <c r="G55" i="2"/>
  <c r="F53" i="2"/>
  <c r="J48" i="1"/>
  <c r="T12" i="29"/>
  <c r="Y12" i="29" s="1"/>
  <c r="S31" i="30"/>
  <c r="T31" i="30" s="1"/>
  <c r="P18" i="30"/>
  <c r="G67" i="2"/>
  <c r="F65" i="2"/>
  <c r="J113" i="1"/>
  <c r="G50" i="2"/>
  <c r="F51" i="2"/>
  <c r="J59" i="27"/>
  <c r="AL17" i="35" s="1"/>
  <c r="J50" i="27"/>
  <c r="AD16" i="29" l="1"/>
  <c r="AD27" i="29" s="1"/>
  <c r="AN45" i="35"/>
  <c r="P41" i="28"/>
  <c r="J29" i="2"/>
  <c r="D96" i="29"/>
  <c r="D94" i="29"/>
  <c r="D95" i="29" s="1"/>
  <c r="L41" i="1"/>
  <c r="C50" i="22"/>
  <c r="H20" i="27" s="1"/>
  <c r="U58" i="35" s="1"/>
  <c r="S32" i="30"/>
  <c r="T32" i="30" s="1"/>
  <c r="AD30" i="30"/>
  <c r="AF30" i="30" s="1"/>
  <c r="K87" i="32"/>
  <c r="H15" i="2"/>
  <c r="J87" i="32"/>
  <c r="AS30" i="30"/>
  <c r="AR30" i="30"/>
  <c r="AT29" i="30"/>
  <c r="AV29" i="30"/>
  <c r="AM29" i="30"/>
  <c r="AU29" i="30"/>
  <c r="H36" i="30" s="1"/>
  <c r="I36" i="30" s="1"/>
  <c r="J36" i="30" s="1"/>
  <c r="K36" i="30" s="1"/>
  <c r="L36" i="30" s="1"/>
  <c r="M36" i="30" s="1"/>
  <c r="N36" i="30" s="1"/>
  <c r="O36" i="30" s="1"/>
  <c r="P36" i="30" s="1"/>
  <c r="Q36" i="30" s="1"/>
  <c r="R36" i="30" s="1"/>
  <c r="AI30" i="30"/>
  <c r="AK30" i="30" s="1"/>
  <c r="R79" i="27"/>
  <c r="Q86" i="27"/>
  <c r="Q81" i="27"/>
  <c r="V61" i="35"/>
  <c r="W61" i="35"/>
  <c r="I41" i="30"/>
  <c r="J47" i="2"/>
  <c r="J35" i="2"/>
  <c r="J23" i="2"/>
  <c r="J41" i="2"/>
  <c r="J11" i="2"/>
  <c r="J59" i="2"/>
  <c r="J17" i="2"/>
  <c r="F71" i="2"/>
  <c r="U33" i="30"/>
  <c r="P33" i="30" s="1"/>
  <c r="T24" i="22" s="1"/>
  <c r="T25" i="22" s="1"/>
  <c r="U13" i="29"/>
  <c r="AT10" i="35"/>
  <c r="J30" i="27"/>
  <c r="W64" i="35" s="1"/>
  <c r="AN59" i="35"/>
  <c r="AN71" i="35" s="1"/>
  <c r="AT8" i="35"/>
  <c r="E73" i="2"/>
  <c r="E15" i="2"/>
  <c r="E71" i="2" s="1"/>
  <c r="I15" i="20" s="1"/>
  <c r="H59" i="35" s="1"/>
  <c r="I45" i="32"/>
  <c r="AJ13" i="35"/>
  <c r="Q21" i="27"/>
  <c r="Q22" i="27" s="1"/>
  <c r="D28" i="34"/>
  <c r="K40" i="32"/>
  <c r="AJ8" i="35"/>
  <c r="G66" i="35"/>
  <c r="U61" i="35"/>
  <c r="H11" i="27"/>
  <c r="R11" i="27" s="1"/>
  <c r="E2" i="34" s="1"/>
  <c r="E26" i="34" s="1"/>
  <c r="X61" i="35"/>
  <c r="I23" i="28"/>
  <c r="P4" i="29" s="1"/>
  <c r="P56" i="29" s="1"/>
  <c r="AG27" i="35"/>
  <c r="AG41" i="35" s="1"/>
  <c r="AG61" i="35" s="1"/>
  <c r="J65" i="2"/>
  <c r="I43" i="32"/>
  <c r="AJ10" i="35"/>
  <c r="AK71" i="35"/>
  <c r="J48" i="28"/>
  <c r="I36" i="27" s="1"/>
  <c r="V68" i="35" s="1"/>
  <c r="AH63" i="35"/>
  <c r="AH67" i="35" s="1"/>
  <c r="AH71" i="35" s="1"/>
  <c r="AL36" i="35"/>
  <c r="AA7" i="29"/>
  <c r="AA13" i="29" s="1"/>
  <c r="U64" i="35"/>
  <c r="AF20" i="29"/>
  <c r="AK20" i="29" s="1"/>
  <c r="F3" i="22"/>
  <c r="R34" i="1"/>
  <c r="I19" i="32"/>
  <c r="J19" i="32" s="1"/>
  <c r="G43" i="26"/>
  <c r="C49" i="22"/>
  <c r="D58" i="26" s="1"/>
  <c r="D47" i="35" s="1"/>
  <c r="H45" i="1"/>
  <c r="I119" i="1" s="1"/>
  <c r="L61" i="1"/>
  <c r="L54" i="1"/>
  <c r="J93" i="32"/>
  <c r="J94" i="32" s="1"/>
  <c r="K93" i="32"/>
  <c r="K94" i="32" s="1"/>
  <c r="I91" i="32"/>
  <c r="V46" i="35" s="1"/>
  <c r="F50" i="22"/>
  <c r="D50" i="22"/>
  <c r="F49" i="22"/>
  <c r="H30" i="32"/>
  <c r="U13" i="35" s="1"/>
  <c r="E50" i="22"/>
  <c r="C118" i="29"/>
  <c r="C14" i="22"/>
  <c r="H23" i="32" s="1"/>
  <c r="G23" i="2"/>
  <c r="G27" i="2" s="1"/>
  <c r="G39" i="2"/>
  <c r="H38" i="2"/>
  <c r="H39" i="2" s="1"/>
  <c r="AL21" i="29"/>
  <c r="M56" i="28"/>
  <c r="AL22" i="29"/>
  <c r="AF8" i="29"/>
  <c r="AK8" i="29" s="1"/>
  <c r="H36" i="27"/>
  <c r="U68" i="35" s="1"/>
  <c r="I77" i="32"/>
  <c r="I76" i="32" s="1"/>
  <c r="V42" i="35" s="1"/>
  <c r="V64" i="35"/>
  <c r="J36" i="27"/>
  <c r="W68" i="35" s="1"/>
  <c r="C27" i="22"/>
  <c r="H27" i="32" s="1"/>
  <c r="U39" i="30"/>
  <c r="Y25" i="29"/>
  <c r="AA25" i="29" s="1"/>
  <c r="Z25" i="29"/>
  <c r="S34" i="29"/>
  <c r="AC27" i="29"/>
  <c r="T39" i="29"/>
  <c r="Z39" i="29" s="1"/>
  <c r="U51" i="30"/>
  <c r="AK23" i="29"/>
  <c r="AM23" i="29" s="1"/>
  <c r="AL23" i="29"/>
  <c r="AK33" i="29" s="1"/>
  <c r="AE33" i="29"/>
  <c r="M64" i="29"/>
  <c r="AE19" i="29"/>
  <c r="AG19" i="29" s="1"/>
  <c r="Q31" i="28" s="1"/>
  <c r="AO49" i="35" s="1"/>
  <c r="T43" i="29"/>
  <c r="Y60" i="29" s="1"/>
  <c r="Y33" i="29"/>
  <c r="AE23" i="29"/>
  <c r="AG23" i="29" s="1"/>
  <c r="Q36" i="28" s="1"/>
  <c r="AO54" i="35" s="1"/>
  <c r="M30" i="29"/>
  <c r="H17" i="32"/>
  <c r="H14" i="32" s="1"/>
  <c r="U8" i="35" s="1"/>
  <c r="N55" i="29"/>
  <c r="AE24" i="29"/>
  <c r="AG24" i="29" s="1"/>
  <c r="Q38" i="28" s="1"/>
  <c r="AO56" i="35" s="1"/>
  <c r="S60" i="29"/>
  <c r="S64" i="29" s="1"/>
  <c r="E70" i="2"/>
  <c r="I11" i="20" s="1"/>
  <c r="T24" i="35"/>
  <c r="D4" i="34"/>
  <c r="E121" i="29"/>
  <c r="AE11" i="29"/>
  <c r="AF11" i="29"/>
  <c r="AJ11" i="29" s="1"/>
  <c r="Q11" i="28"/>
  <c r="AO29" i="35" s="1"/>
  <c r="AO36" i="35" s="1"/>
  <c r="AD7" i="29"/>
  <c r="AD13" i="29" s="1"/>
  <c r="AE30" i="29" s="1"/>
  <c r="X13" i="29"/>
  <c r="Y30" i="29" s="1"/>
  <c r="Y7" i="29"/>
  <c r="K34" i="32"/>
  <c r="F121" i="29" s="1"/>
  <c r="O12" i="20"/>
  <c r="N56" i="35" s="1"/>
  <c r="L56" i="35"/>
  <c r="H17" i="2"/>
  <c r="H21" i="2" s="1"/>
  <c r="K36" i="27"/>
  <c r="X68" i="35" s="1"/>
  <c r="N18" i="28"/>
  <c r="J69" i="1"/>
  <c r="X28" i="35"/>
  <c r="G64" i="35"/>
  <c r="I60" i="35"/>
  <c r="X51" i="35"/>
  <c r="AX6" i="35"/>
  <c r="J11" i="32"/>
  <c r="W6" i="35" s="1"/>
  <c r="W26" i="35" s="1"/>
  <c r="J8" i="1"/>
  <c r="E99" i="29"/>
  <c r="T11" i="20"/>
  <c r="L9" i="28"/>
  <c r="F70" i="35"/>
  <c r="F46" i="27"/>
  <c r="L47" i="1"/>
  <c r="G83" i="1"/>
  <c r="J52" i="27"/>
  <c r="AL10" i="35" s="1"/>
  <c r="J55" i="27"/>
  <c r="G58" i="26"/>
  <c r="E49" i="22"/>
  <c r="F58" i="26" s="1"/>
  <c r="D49" i="22"/>
  <c r="E58" i="26" s="1"/>
  <c r="I30" i="20"/>
  <c r="H73" i="35" s="1"/>
  <c r="G117" i="1"/>
  <c r="K64" i="32"/>
  <c r="K62" i="32" s="1"/>
  <c r="X33" i="35" s="1"/>
  <c r="AF19" i="29"/>
  <c r="AJ19" i="29" s="1"/>
  <c r="O18" i="28"/>
  <c r="P56" i="28" s="1"/>
  <c r="Z7" i="29"/>
  <c r="L34" i="1"/>
  <c r="L39" i="1"/>
  <c r="M41" i="30"/>
  <c r="L55" i="1"/>
  <c r="J57" i="27"/>
  <c r="AL15" i="35" s="1"/>
  <c r="I82" i="32"/>
  <c r="G74" i="1"/>
  <c r="N103" i="29"/>
  <c r="G63" i="1"/>
  <c r="G112" i="1"/>
  <c r="G118" i="1"/>
  <c r="G107" i="1"/>
  <c r="G52" i="1"/>
  <c r="G69" i="1"/>
  <c r="I18" i="20"/>
  <c r="H62" i="35" s="1"/>
  <c r="G87" i="1"/>
  <c r="G88" i="1"/>
  <c r="G94" i="1"/>
  <c r="G79" i="1"/>
  <c r="G99" i="1"/>
  <c r="G121" i="1"/>
  <c r="G116" i="1"/>
  <c r="G104" i="1"/>
  <c r="G86" i="1"/>
  <c r="G46" i="1"/>
  <c r="J41" i="30"/>
  <c r="L41" i="30"/>
  <c r="R41" i="30"/>
  <c r="D6" i="33"/>
  <c r="D18" i="33" s="1"/>
  <c r="H16" i="30" s="1"/>
  <c r="C18" i="33"/>
  <c r="G16" i="30" s="1"/>
  <c r="S53" i="30"/>
  <c r="T53" i="30" s="1"/>
  <c r="L11" i="1"/>
  <c r="J52" i="1"/>
  <c r="AA16" i="29"/>
  <c r="N27" i="28" s="1"/>
  <c r="AL45" i="35" s="1"/>
  <c r="Z16" i="29"/>
  <c r="AE16" i="29" s="1"/>
  <c r="E34" i="33"/>
  <c r="E19" i="33"/>
  <c r="K85" i="32"/>
  <c r="T15" i="29"/>
  <c r="Y15" i="29" s="1"/>
  <c r="N27" i="29"/>
  <c r="M32" i="29"/>
  <c r="N32" i="29"/>
  <c r="L32" i="29"/>
  <c r="L36" i="29" s="1"/>
  <c r="J36" i="29"/>
  <c r="AF17" i="29"/>
  <c r="AK17" i="29" s="1"/>
  <c r="AG17" i="29"/>
  <c r="Q28" i="28" s="1"/>
  <c r="AO46" i="35" s="1"/>
  <c r="AL20" i="29"/>
  <c r="AM20" i="29"/>
  <c r="H24" i="22"/>
  <c r="B34" i="30"/>
  <c r="B35" i="30" s="1"/>
  <c r="B36" i="30" s="1"/>
  <c r="B37" i="30" s="1"/>
  <c r="B38" i="30" s="1"/>
  <c r="AF10" i="29"/>
  <c r="AK10" i="29" s="1"/>
  <c r="O15" i="29"/>
  <c r="M27" i="29"/>
  <c r="H62" i="2"/>
  <c r="H63" i="2" s="1"/>
  <c r="G63" i="2"/>
  <c r="AL9" i="29"/>
  <c r="AM24" i="29"/>
  <c r="AL24" i="29"/>
  <c r="H32" i="1"/>
  <c r="H31" i="1" s="1"/>
  <c r="H44" i="1" s="1"/>
  <c r="K30" i="20"/>
  <c r="J73" i="35" s="1"/>
  <c r="J11" i="1"/>
  <c r="J85" i="32"/>
  <c r="J64" i="32"/>
  <c r="M30" i="20" s="1"/>
  <c r="L73" i="35" s="1"/>
  <c r="J34" i="1"/>
  <c r="J39" i="1"/>
  <c r="F31" i="1"/>
  <c r="F44" i="1" s="1"/>
  <c r="I17" i="20" s="1"/>
  <c r="P41" i="30"/>
  <c r="K41" i="30"/>
  <c r="G41" i="30"/>
  <c r="H41" i="30"/>
  <c r="Q41" i="30"/>
  <c r="O41" i="30"/>
  <c r="N41" i="30"/>
  <c r="J83" i="1"/>
  <c r="L84" i="1"/>
  <c r="L83" i="1" s="1"/>
  <c r="R41" i="27"/>
  <c r="L89" i="1"/>
  <c r="L88" i="1" s="1"/>
  <c r="J88" i="1"/>
  <c r="M24" i="32"/>
  <c r="M32" i="32"/>
  <c r="M16" i="32"/>
  <c r="H54" i="32"/>
  <c r="M28" i="32"/>
  <c r="E118" i="1"/>
  <c r="E121" i="1"/>
  <c r="L105" i="1"/>
  <c r="L104" i="1" s="1"/>
  <c r="J104" i="1"/>
  <c r="L64" i="1"/>
  <c r="L63" i="1" s="1"/>
  <c r="J63" i="1"/>
  <c r="P21" i="1"/>
  <c r="P104" i="1"/>
  <c r="P99" i="1"/>
  <c r="P46" i="1"/>
  <c r="P24" i="1"/>
  <c r="P12" i="1"/>
  <c r="P52" i="1"/>
  <c r="P112" i="1"/>
  <c r="P88" i="1"/>
  <c r="P74" i="1"/>
  <c r="P107" i="1"/>
  <c r="P79" i="1"/>
  <c r="P41" i="1"/>
  <c r="P69" i="1"/>
  <c r="P83" i="1"/>
  <c r="P63" i="1"/>
  <c r="P17" i="1"/>
  <c r="P27" i="1"/>
  <c r="P94" i="1"/>
  <c r="F8" i="2"/>
  <c r="F28" i="2"/>
  <c r="G28" i="2" s="1"/>
  <c r="H28" i="2" s="1"/>
  <c r="H60" i="2"/>
  <c r="H59" i="2" s="1"/>
  <c r="G59" i="2"/>
  <c r="F70" i="2"/>
  <c r="K11" i="20" s="1"/>
  <c r="H48" i="2"/>
  <c r="H47" i="2" s="1"/>
  <c r="G47" i="2"/>
  <c r="H36" i="2"/>
  <c r="H35" i="2" s="1"/>
  <c r="G35" i="2"/>
  <c r="J40" i="33"/>
  <c r="H38" i="33"/>
  <c r="J37" i="1"/>
  <c r="L37" i="1"/>
  <c r="L48" i="1"/>
  <c r="J46" i="1"/>
  <c r="F28" i="33"/>
  <c r="F27" i="33"/>
  <c r="F31" i="33"/>
  <c r="F32" i="33"/>
  <c r="F26" i="33"/>
  <c r="F24" i="33"/>
  <c r="F25" i="33"/>
  <c r="F29" i="33"/>
  <c r="G20" i="33"/>
  <c r="F30" i="33"/>
  <c r="F33" i="33"/>
  <c r="L41" i="33" s="1"/>
  <c r="U22" i="22"/>
  <c r="U23" i="22" s="1"/>
  <c r="L107" i="1"/>
  <c r="K47" i="27"/>
  <c r="AN6" i="35" s="1"/>
  <c r="U44" i="27"/>
  <c r="H50" i="34" s="1"/>
  <c r="U11" i="27"/>
  <c r="H2" i="34" s="1"/>
  <c r="H26" i="34" s="1"/>
  <c r="U15" i="27"/>
  <c r="X62" i="29"/>
  <c r="X64" i="29" s="1"/>
  <c r="V64" i="29"/>
  <c r="G34" i="33"/>
  <c r="G19" i="33"/>
  <c r="T22" i="22"/>
  <c r="T23" i="22" s="1"/>
  <c r="M17" i="2"/>
  <c r="M29" i="2"/>
  <c r="M35" i="2"/>
  <c r="M11" i="2"/>
  <c r="M53" i="2"/>
  <c r="M65" i="2"/>
  <c r="M41" i="2"/>
  <c r="M23" i="2"/>
  <c r="M47" i="2"/>
  <c r="M59" i="2"/>
  <c r="H27" i="2"/>
  <c r="S22" i="22"/>
  <c r="S23" i="22" s="1"/>
  <c r="R22" i="22"/>
  <c r="R23" i="22" s="1"/>
  <c r="L102" i="30"/>
  <c r="H2" i="33"/>
  <c r="L26" i="30"/>
  <c r="L50" i="30" s="1"/>
  <c r="P2" i="22"/>
  <c r="V22" i="22"/>
  <c r="V23" i="22" s="1"/>
  <c r="H55" i="2"/>
  <c r="H53" i="2" s="1"/>
  <c r="G53" i="2"/>
  <c r="Z46" i="29"/>
  <c r="Y61" i="29"/>
  <c r="L22" i="22"/>
  <c r="L23" i="22" s="1"/>
  <c r="N22" i="22"/>
  <c r="N23" i="22" s="1"/>
  <c r="R94" i="1"/>
  <c r="R46" i="1"/>
  <c r="R27" i="1"/>
  <c r="R107" i="1"/>
  <c r="R61" i="29"/>
  <c r="R64" i="29" s="1"/>
  <c r="P64" i="29"/>
  <c r="H43" i="2"/>
  <c r="H41" i="2" s="1"/>
  <c r="G41" i="2"/>
  <c r="I39" i="33"/>
  <c r="O22" i="22"/>
  <c r="O23" i="22" s="1"/>
  <c r="P22" i="22"/>
  <c r="P23" i="22" s="1"/>
  <c r="O9" i="28"/>
  <c r="U11" i="20"/>
  <c r="F99" i="29"/>
  <c r="H67" i="2"/>
  <c r="H65" i="2" s="1"/>
  <c r="G65" i="2"/>
  <c r="Z12" i="29"/>
  <c r="AE12" i="29" s="1"/>
  <c r="T13" i="29"/>
  <c r="H50" i="2"/>
  <c r="H51" i="2" s="1"/>
  <c r="G51" i="2"/>
  <c r="K30" i="28"/>
  <c r="AI48" i="35" s="1"/>
  <c r="M22" i="22"/>
  <c r="M23" i="22" s="1"/>
  <c r="K22" i="22"/>
  <c r="K23" i="22" s="1"/>
  <c r="AA18" i="29"/>
  <c r="L113" i="1"/>
  <c r="J112" i="1"/>
  <c r="P102" i="29"/>
  <c r="Q18" i="30"/>
  <c r="Q22" i="22"/>
  <c r="Q23" i="22" s="1"/>
  <c r="AF18" i="29"/>
  <c r="G37" i="33"/>
  <c r="K54" i="32"/>
  <c r="P32" i="32"/>
  <c r="P28" i="32"/>
  <c r="P24" i="32"/>
  <c r="P16" i="32"/>
  <c r="AE62" i="29"/>
  <c r="T62" i="29"/>
  <c r="AF49" i="29"/>
  <c r="K59" i="27"/>
  <c r="AN17" i="35" s="1"/>
  <c r="F3" i="33"/>
  <c r="E7" i="33"/>
  <c r="E18" i="33" s="1"/>
  <c r="I16" i="30" s="1"/>
  <c r="K50" i="27"/>
  <c r="F96" i="29" l="1"/>
  <c r="F94" i="29"/>
  <c r="F95" i="29" s="1"/>
  <c r="H94" i="29"/>
  <c r="H95" i="29" s="1"/>
  <c r="AT30" i="30"/>
  <c r="K17" i="20"/>
  <c r="I31" i="1"/>
  <c r="C117" i="29"/>
  <c r="R83" i="1"/>
  <c r="H47" i="27"/>
  <c r="AH6" i="35" s="1"/>
  <c r="L52" i="1"/>
  <c r="R103" i="29" s="1"/>
  <c r="R12" i="1"/>
  <c r="R104" i="1"/>
  <c r="R52" i="1"/>
  <c r="R41" i="1"/>
  <c r="R112" i="1"/>
  <c r="R17" i="1"/>
  <c r="R24" i="1"/>
  <c r="R63" i="1"/>
  <c r="R69" i="1"/>
  <c r="R88" i="1"/>
  <c r="R99" i="1"/>
  <c r="R21" i="1"/>
  <c r="R74" i="1"/>
  <c r="R79" i="1"/>
  <c r="AW29" i="30"/>
  <c r="G35" i="30" s="1"/>
  <c r="H35" i="30" s="1"/>
  <c r="I35" i="30" s="1"/>
  <c r="J35" i="30" s="1"/>
  <c r="K35" i="30" s="1"/>
  <c r="L35" i="30" s="1"/>
  <c r="M35" i="30" s="1"/>
  <c r="N35" i="30" s="1"/>
  <c r="O35" i="30" s="1"/>
  <c r="P35" i="30" s="1"/>
  <c r="Q35" i="30" s="1"/>
  <c r="R35" i="30" s="1"/>
  <c r="AL30" i="30"/>
  <c r="AV30" i="30" s="1"/>
  <c r="O33" i="30"/>
  <c r="S24" i="22" s="1"/>
  <c r="S25" i="22" s="1"/>
  <c r="K33" i="30"/>
  <c r="O24" i="22" s="1"/>
  <c r="O25" i="22" s="1"/>
  <c r="R33" i="30"/>
  <c r="V24" i="22" s="1"/>
  <c r="V25" i="22" s="1"/>
  <c r="I33" i="30"/>
  <c r="M24" i="22" s="1"/>
  <c r="M25" i="22" s="1"/>
  <c r="L33" i="30"/>
  <c r="P24" i="22" s="1"/>
  <c r="P25" i="22" s="1"/>
  <c r="H33" i="30"/>
  <c r="L24" i="22" s="1"/>
  <c r="L25" i="22" s="1"/>
  <c r="G33" i="30"/>
  <c r="K24" i="22" s="1"/>
  <c r="K25" i="22" s="1"/>
  <c r="N33" i="30"/>
  <c r="R24" i="22" s="1"/>
  <c r="R25" i="22" s="1"/>
  <c r="M33" i="30"/>
  <c r="Q24" i="22" s="1"/>
  <c r="Q25" i="22" s="1"/>
  <c r="J33" i="30"/>
  <c r="N24" i="22" s="1"/>
  <c r="N25" i="22" s="1"/>
  <c r="D27" i="34"/>
  <c r="R44" i="27"/>
  <c r="E50" i="34" s="1"/>
  <c r="H39" i="30"/>
  <c r="Q33" i="30"/>
  <c r="U24" i="22" s="1"/>
  <c r="U25" i="22" s="1"/>
  <c r="I51" i="30"/>
  <c r="I57" i="30" s="1"/>
  <c r="P38" i="29"/>
  <c r="N101" i="29"/>
  <c r="E72" i="2"/>
  <c r="E74" i="2" s="1"/>
  <c r="U27" i="30"/>
  <c r="H53" i="27"/>
  <c r="K30" i="27"/>
  <c r="X64" i="35" s="1"/>
  <c r="AJ18" i="29"/>
  <c r="AK18" i="29" s="1"/>
  <c r="AM18" i="29" s="1"/>
  <c r="AN8" i="35"/>
  <c r="H49" i="27"/>
  <c r="AH7" i="35" s="1"/>
  <c r="J45" i="32"/>
  <c r="AL13" i="35"/>
  <c r="J56" i="28"/>
  <c r="W10" i="35"/>
  <c r="E106" i="29"/>
  <c r="D106" i="29"/>
  <c r="L23" i="28"/>
  <c r="V4" i="29" s="1"/>
  <c r="P101" i="29" s="1"/>
  <c r="AJ27" i="35"/>
  <c r="AJ41" i="35" s="1"/>
  <c r="AJ61" i="35" s="1"/>
  <c r="V10" i="35"/>
  <c r="O23" i="28"/>
  <c r="AH4" i="29" s="1"/>
  <c r="AM27" i="35"/>
  <c r="AM41" i="35" s="1"/>
  <c r="AM61" i="35" s="1"/>
  <c r="J43" i="32"/>
  <c r="T55" i="29"/>
  <c r="AL8" i="29"/>
  <c r="I33" i="32"/>
  <c r="I30" i="32" s="1"/>
  <c r="V13" i="35" s="1"/>
  <c r="G71" i="2"/>
  <c r="M15" i="20" s="1"/>
  <c r="H71" i="2"/>
  <c r="J45" i="1"/>
  <c r="K119" i="1" s="1"/>
  <c r="K91" i="32"/>
  <c r="X46" i="35" s="1"/>
  <c r="J91" i="32"/>
  <c r="W46" i="35" s="1"/>
  <c r="H25" i="32"/>
  <c r="C112" i="29" s="1"/>
  <c r="C110" i="29"/>
  <c r="K19" i="32"/>
  <c r="X10" i="35" s="1"/>
  <c r="O24" i="32"/>
  <c r="AK22" i="29"/>
  <c r="AM22" i="29" s="1"/>
  <c r="Z42" i="29"/>
  <c r="AF39" i="29"/>
  <c r="Z43" i="29"/>
  <c r="T60" i="29" s="1"/>
  <c r="I39" i="30"/>
  <c r="L39" i="30"/>
  <c r="K39" i="30"/>
  <c r="G39" i="30"/>
  <c r="Q39" i="30"/>
  <c r="J39" i="30"/>
  <c r="J77" i="32"/>
  <c r="J76" i="32" s="1"/>
  <c r="W42" i="35" s="1"/>
  <c r="P39" i="30"/>
  <c r="N39" i="30"/>
  <c r="O39" i="30"/>
  <c r="R39" i="30"/>
  <c r="M39" i="30"/>
  <c r="Y64" i="29"/>
  <c r="H73" i="32"/>
  <c r="H71" i="32" s="1"/>
  <c r="U39" i="35" s="1"/>
  <c r="N59" i="29"/>
  <c r="N64" i="29" s="1"/>
  <c r="T42" i="29"/>
  <c r="J51" i="30"/>
  <c r="J57" i="30" s="1"/>
  <c r="G51" i="30"/>
  <c r="G57" i="30" s="1"/>
  <c r="O51" i="30"/>
  <c r="O57" i="30" s="1"/>
  <c r="H51" i="30"/>
  <c r="H57" i="30" s="1"/>
  <c r="K51" i="30"/>
  <c r="K57" i="30" s="1"/>
  <c r="T59" i="29"/>
  <c r="L51" i="30"/>
  <c r="L57" i="30" s="1"/>
  <c r="M51" i="30"/>
  <c r="M57" i="30" s="1"/>
  <c r="R51" i="30"/>
  <c r="R57" i="30" s="1"/>
  <c r="Q51" i="30"/>
  <c r="Q57" i="30" s="1"/>
  <c r="AE25" i="29"/>
  <c r="AG25" i="29" s="1"/>
  <c r="Q39" i="28" s="1"/>
  <c r="AO57" i="35" s="1"/>
  <c r="Y34" i="29"/>
  <c r="AF25" i="29"/>
  <c r="P51" i="30"/>
  <c r="P57" i="30" s="1"/>
  <c r="N51" i="30"/>
  <c r="N57" i="30" s="1"/>
  <c r="E47" i="35"/>
  <c r="F47" i="35"/>
  <c r="G47" i="35"/>
  <c r="I88" i="32"/>
  <c r="C104" i="29"/>
  <c r="H88" i="32"/>
  <c r="M36" i="29"/>
  <c r="AL19" i="29"/>
  <c r="AK19" i="29"/>
  <c r="AM19" i="29" s="1"/>
  <c r="X14" i="35"/>
  <c r="AK11" i="29"/>
  <c r="AL11" i="29"/>
  <c r="AE7" i="29"/>
  <c r="AE13" i="29" s="1"/>
  <c r="Y13" i="29"/>
  <c r="H68" i="32"/>
  <c r="U36" i="35" s="1"/>
  <c r="I11" i="1"/>
  <c r="D59" i="26"/>
  <c r="D48" i="26" s="1"/>
  <c r="I14" i="20"/>
  <c r="H55" i="35"/>
  <c r="K14" i="20"/>
  <c r="J55" i="35"/>
  <c r="N16" i="20"/>
  <c r="K60" i="35"/>
  <c r="W51" i="35"/>
  <c r="AW6" i="35"/>
  <c r="Q112" i="1"/>
  <c r="Q24" i="1"/>
  <c r="Q63" i="1"/>
  <c r="Q46" i="1"/>
  <c r="Q99" i="1"/>
  <c r="Q107" i="1"/>
  <c r="Q83" i="1"/>
  <c r="Q41" i="1"/>
  <c r="Q21" i="1"/>
  <c r="Q79" i="1"/>
  <c r="Q52" i="1"/>
  <c r="Q88" i="1"/>
  <c r="G8" i="2"/>
  <c r="Q17" i="1"/>
  <c r="Q104" i="1"/>
  <c r="Q74" i="1"/>
  <c r="Q94" i="1"/>
  <c r="Q12" i="1"/>
  <c r="Q27" i="1"/>
  <c r="Q69" i="1"/>
  <c r="Q34" i="1"/>
  <c r="H58" i="26"/>
  <c r="H47" i="35" s="1"/>
  <c r="H26" i="20"/>
  <c r="G70" i="35" s="1"/>
  <c r="G31" i="20"/>
  <c r="I88" i="1"/>
  <c r="K55" i="27"/>
  <c r="K52" i="27"/>
  <c r="L32" i="1"/>
  <c r="AF7" i="29"/>
  <c r="AJ7" i="29" s="1"/>
  <c r="AG7" i="29"/>
  <c r="AG13" i="29" s="1"/>
  <c r="Q18" i="28"/>
  <c r="S13" i="27"/>
  <c r="F3" i="34" s="1"/>
  <c r="I51" i="27"/>
  <c r="I58" i="27"/>
  <c r="AJ16" i="35" s="1"/>
  <c r="I54" i="27"/>
  <c r="AJ12" i="35" s="1"/>
  <c r="I99" i="1"/>
  <c r="I63" i="1"/>
  <c r="I117" i="1"/>
  <c r="K57" i="27"/>
  <c r="AN15" i="35" s="1"/>
  <c r="J82" i="32"/>
  <c r="P103" i="29"/>
  <c r="M103" i="29"/>
  <c r="O16" i="32"/>
  <c r="O32" i="32"/>
  <c r="O28" i="32"/>
  <c r="I79" i="1"/>
  <c r="H61" i="35"/>
  <c r="G11" i="1"/>
  <c r="I69" i="1"/>
  <c r="I83" i="1"/>
  <c r="I121" i="1"/>
  <c r="I86" i="1"/>
  <c r="I116" i="1"/>
  <c r="I74" i="1"/>
  <c r="I104" i="1"/>
  <c r="I46" i="1"/>
  <c r="AF16" i="29"/>
  <c r="AG16" i="29"/>
  <c r="Q27" i="28" s="1"/>
  <c r="AO45" i="35" s="1"/>
  <c r="I107" i="1"/>
  <c r="I112" i="1"/>
  <c r="I87" i="1"/>
  <c r="I52" i="1"/>
  <c r="U15" i="29"/>
  <c r="S27" i="29"/>
  <c r="I118" i="1"/>
  <c r="I94" i="1"/>
  <c r="K18" i="20"/>
  <c r="J62" i="35" s="1"/>
  <c r="O27" i="29"/>
  <c r="H26" i="28"/>
  <c r="AL17" i="29"/>
  <c r="AM17" i="29"/>
  <c r="S41" i="30"/>
  <c r="T41" i="30" s="1"/>
  <c r="AL10" i="29"/>
  <c r="S32" i="29"/>
  <c r="S36" i="29" s="1"/>
  <c r="Z15" i="29"/>
  <c r="AE15" i="29" s="1"/>
  <c r="T27" i="29"/>
  <c r="H29" i="32"/>
  <c r="C114" i="29"/>
  <c r="I17" i="32"/>
  <c r="D101" i="29"/>
  <c r="O30" i="20"/>
  <c r="N73" i="35" s="1"/>
  <c r="J62" i="32"/>
  <c r="W33" i="35" s="1"/>
  <c r="J32" i="1"/>
  <c r="H37" i="30"/>
  <c r="I37" i="30" s="1"/>
  <c r="J37" i="30" s="1"/>
  <c r="K37" i="30" s="1"/>
  <c r="F124" i="1"/>
  <c r="G31" i="1"/>
  <c r="H124" i="1"/>
  <c r="K65" i="2"/>
  <c r="I11" i="27"/>
  <c r="K23" i="2"/>
  <c r="K35" i="2"/>
  <c r="K17" i="2"/>
  <c r="K53" i="2"/>
  <c r="K41" i="2"/>
  <c r="K59" i="2"/>
  <c r="K47" i="2"/>
  <c r="K11" i="2"/>
  <c r="K29" i="2"/>
  <c r="F34" i="2"/>
  <c r="G34" i="2" s="1"/>
  <c r="I38" i="33"/>
  <c r="K40" i="33"/>
  <c r="S18" i="30"/>
  <c r="U18" i="30" s="1"/>
  <c r="AL49" i="29"/>
  <c r="AF62" i="29" s="1"/>
  <c r="Z62" i="29"/>
  <c r="AK62" i="29"/>
  <c r="N30" i="29"/>
  <c r="N36" i="29" s="1"/>
  <c r="G70" i="2"/>
  <c r="M11" i="20" s="1"/>
  <c r="AL18" i="29"/>
  <c r="L112" i="1"/>
  <c r="H96" i="29" s="1"/>
  <c r="R102" i="29"/>
  <c r="N30" i="28"/>
  <c r="AL48" i="35" s="1"/>
  <c r="AF12" i="29"/>
  <c r="Z13" i="29"/>
  <c r="AB4" i="29"/>
  <c r="M102" i="30"/>
  <c r="I2" i="33"/>
  <c r="Q2" i="22"/>
  <c r="M26" i="30"/>
  <c r="M50" i="30" s="1"/>
  <c r="AG18" i="29"/>
  <c r="R13" i="27"/>
  <c r="E3" i="34" s="1"/>
  <c r="H54" i="27"/>
  <c r="H58" i="27"/>
  <c r="H51" i="27"/>
  <c r="AH9" i="35" s="1"/>
  <c r="H20" i="33"/>
  <c r="G28" i="33"/>
  <c r="G32" i="33"/>
  <c r="G24" i="33"/>
  <c r="G27" i="33"/>
  <c r="G29" i="33"/>
  <c r="G31" i="33"/>
  <c r="G26" i="33"/>
  <c r="G25" i="33"/>
  <c r="G33" i="33"/>
  <c r="M41" i="33" s="1"/>
  <c r="G30" i="33"/>
  <c r="L46" i="1"/>
  <c r="H70" i="2"/>
  <c r="O11" i="20" s="1"/>
  <c r="J39" i="33"/>
  <c r="AF46" i="29"/>
  <c r="AE61" i="29"/>
  <c r="T61" i="29"/>
  <c r="H19" i="33"/>
  <c r="H34" i="33"/>
  <c r="H37" i="33"/>
  <c r="F72" i="2"/>
  <c r="K15" i="20"/>
  <c r="I49" i="27" s="1"/>
  <c r="G3" i="33"/>
  <c r="F8" i="33"/>
  <c r="F18" i="33" s="1"/>
  <c r="J16" i="30" s="1"/>
  <c r="AK16" i="29" l="1"/>
  <c r="AM16" i="29" s="1"/>
  <c r="AJ16" i="29"/>
  <c r="V56" i="29"/>
  <c r="L31" i="1"/>
  <c r="L44" i="1" s="1"/>
  <c r="F106" i="29"/>
  <c r="AU30" i="30"/>
  <c r="AM30" i="30"/>
  <c r="AW30" i="30" s="1"/>
  <c r="U21" i="35"/>
  <c r="I21" i="20"/>
  <c r="D120" i="29"/>
  <c r="H22" i="32"/>
  <c r="I25" i="32" s="1"/>
  <c r="D112" i="29" s="1"/>
  <c r="S33" i="30"/>
  <c r="T33" i="30" s="1"/>
  <c r="V38" i="29"/>
  <c r="J49" i="27"/>
  <c r="H39" i="32"/>
  <c r="U16" i="35" s="1"/>
  <c r="V21" i="35"/>
  <c r="I53" i="27"/>
  <c r="K45" i="32"/>
  <c r="AN13" i="35"/>
  <c r="H41" i="28"/>
  <c r="U42" i="30" s="1"/>
  <c r="AF44" i="35"/>
  <c r="H44" i="32"/>
  <c r="U19" i="35" s="1"/>
  <c r="AH12" i="35"/>
  <c r="I44" i="32"/>
  <c r="V19" i="35" s="1"/>
  <c r="K82" i="32"/>
  <c r="I96" i="32"/>
  <c r="V47" i="35" s="1"/>
  <c r="H96" i="32"/>
  <c r="U47" i="35" s="1"/>
  <c r="AH16" i="35"/>
  <c r="AT14" i="35"/>
  <c r="AT13" i="35"/>
  <c r="I42" i="32"/>
  <c r="V18" i="35" s="1"/>
  <c r="AJ9" i="35"/>
  <c r="K43" i="32"/>
  <c r="AN10" i="35"/>
  <c r="H42" i="32"/>
  <c r="U18" i="35" s="1"/>
  <c r="AF43" i="29"/>
  <c r="AK60" i="29" s="1"/>
  <c r="AJ12" i="29"/>
  <c r="AJ13" i="29" s="1"/>
  <c r="AE60" i="29"/>
  <c r="AE64" i="29" s="1"/>
  <c r="I73" i="32"/>
  <c r="I71" i="32" s="1"/>
  <c r="V39" i="35" s="1"/>
  <c r="Z55" i="29"/>
  <c r="J21" i="20"/>
  <c r="L45" i="1"/>
  <c r="M119" i="1" s="1"/>
  <c r="L18" i="20"/>
  <c r="K62" i="35" s="1"/>
  <c r="Z59" i="29"/>
  <c r="AF42" i="29"/>
  <c r="S39" i="30"/>
  <c r="T39" i="30" s="1"/>
  <c r="AK25" i="29"/>
  <c r="AM25" i="29" s="1"/>
  <c r="AL25" i="29"/>
  <c r="AK34" i="29" s="1"/>
  <c r="AE34" i="29"/>
  <c r="S51" i="30"/>
  <c r="T51" i="30" s="1"/>
  <c r="D48" i="35"/>
  <c r="D38" i="35" s="1"/>
  <c r="K27" i="32"/>
  <c r="F114" i="29" s="1"/>
  <c r="F122" i="29" s="1"/>
  <c r="J27" i="32"/>
  <c r="E114" i="29" s="1"/>
  <c r="I27" i="32"/>
  <c r="D114" i="29" s="1"/>
  <c r="J88" i="32"/>
  <c r="J58" i="35"/>
  <c r="L24" i="20"/>
  <c r="K68" i="35" s="1"/>
  <c r="L23" i="20"/>
  <c r="K67" i="35" s="1"/>
  <c r="L29" i="20"/>
  <c r="K73" i="35" s="1"/>
  <c r="L30" i="20"/>
  <c r="K74" i="35" s="1"/>
  <c r="H58" i="35"/>
  <c r="J29" i="20"/>
  <c r="I73" i="35" s="1"/>
  <c r="J23" i="20"/>
  <c r="I67" i="35" s="1"/>
  <c r="J24" i="20"/>
  <c r="I68" i="35" s="1"/>
  <c r="J30" i="20"/>
  <c r="I74" i="35" s="1"/>
  <c r="M23" i="30"/>
  <c r="H67" i="32"/>
  <c r="R80" i="27" s="1"/>
  <c r="AK7" i="29"/>
  <c r="K16" i="20"/>
  <c r="J60" i="35" s="1"/>
  <c r="N55" i="35"/>
  <c r="K88" i="32"/>
  <c r="J59" i="35"/>
  <c r="M14" i="20"/>
  <c r="L55" i="35"/>
  <c r="S14" i="27"/>
  <c r="J76" i="35" s="1"/>
  <c r="R14" i="27"/>
  <c r="H76" i="35" s="1"/>
  <c r="L59" i="35"/>
  <c r="L17" i="20"/>
  <c r="K61" i="35" s="1"/>
  <c r="J61" i="35"/>
  <c r="H31" i="20"/>
  <c r="Q24" i="27" s="1"/>
  <c r="D29" i="34" s="1"/>
  <c r="F74" i="35"/>
  <c r="P16" i="20"/>
  <c r="O60" i="35" s="1"/>
  <c r="M60" i="35"/>
  <c r="L11" i="2"/>
  <c r="L65" i="2"/>
  <c r="L59" i="2"/>
  <c r="J11" i="27"/>
  <c r="L41" i="2"/>
  <c r="L17" i="2"/>
  <c r="L53" i="2"/>
  <c r="L35" i="2"/>
  <c r="L29" i="2"/>
  <c r="L47" i="2"/>
  <c r="L23" i="2"/>
  <c r="G60" i="32"/>
  <c r="T31" i="35" s="1"/>
  <c r="Q23" i="27"/>
  <c r="K51" i="27"/>
  <c r="O14" i="20"/>
  <c r="U40" i="27"/>
  <c r="U41" i="27" s="1"/>
  <c r="H72" i="2"/>
  <c r="AL7" i="29"/>
  <c r="L15" i="20"/>
  <c r="K59" i="35" s="1"/>
  <c r="O103" i="29"/>
  <c r="T64" i="29"/>
  <c r="AL16" i="29"/>
  <c r="K26" i="28"/>
  <c r="AI44" i="35" s="1"/>
  <c r="U27" i="29"/>
  <c r="AA15" i="29"/>
  <c r="Y27" i="29"/>
  <c r="Y32" i="29"/>
  <c r="Y36" i="29" s="1"/>
  <c r="AF15" i="29"/>
  <c r="Z27" i="29"/>
  <c r="G72" i="2"/>
  <c r="O15" i="20"/>
  <c r="H26" i="32"/>
  <c r="I14" i="32"/>
  <c r="D104" i="29"/>
  <c r="C122" i="29"/>
  <c r="C129" i="29"/>
  <c r="C116" i="29"/>
  <c r="C124" i="29" s="1"/>
  <c r="T40" i="27"/>
  <c r="T41" i="27" s="1"/>
  <c r="J31" i="1"/>
  <c r="J44" i="1" s="1"/>
  <c r="M17" i="20" s="1"/>
  <c r="S44" i="27"/>
  <c r="F50" i="34" s="1"/>
  <c r="I47" i="27"/>
  <c r="AJ6" i="35" s="1"/>
  <c r="S11" i="27"/>
  <c r="F2" i="34" s="1"/>
  <c r="F26" i="34" s="1"/>
  <c r="N16" i="32"/>
  <c r="N24" i="32"/>
  <c r="N32" i="32"/>
  <c r="N28" i="32"/>
  <c r="I54" i="32"/>
  <c r="F40" i="2"/>
  <c r="L40" i="33"/>
  <c r="I37" i="33"/>
  <c r="I68" i="32"/>
  <c r="V36" i="35" s="1"/>
  <c r="T30" i="29"/>
  <c r="U13" i="27"/>
  <c r="H3" i="34" s="1"/>
  <c r="N26" i="30"/>
  <c r="N50" i="30" s="1"/>
  <c r="N102" i="30"/>
  <c r="J2" i="33"/>
  <c r="R2" i="22"/>
  <c r="M18" i="20"/>
  <c r="L62" i="35" s="1"/>
  <c r="K99" i="1"/>
  <c r="K46" i="1"/>
  <c r="K117" i="1"/>
  <c r="K88" i="1"/>
  <c r="K104" i="1"/>
  <c r="K94" i="1"/>
  <c r="K107" i="1"/>
  <c r="K63" i="1"/>
  <c r="K74" i="1"/>
  <c r="K116" i="1"/>
  <c r="K86" i="1"/>
  <c r="K121" i="1"/>
  <c r="K112" i="1"/>
  <c r="K52" i="1"/>
  <c r="K79" i="1"/>
  <c r="K87" i="1"/>
  <c r="K118" i="1"/>
  <c r="K69" i="1"/>
  <c r="K83" i="1"/>
  <c r="AF13" i="29"/>
  <c r="D117" i="29"/>
  <c r="J33" i="32"/>
  <c r="E120" i="29" s="1"/>
  <c r="H32" i="33"/>
  <c r="H27" i="33"/>
  <c r="H24" i="33"/>
  <c r="H28" i="33"/>
  <c r="I20" i="33"/>
  <c r="H29" i="33"/>
  <c r="H31" i="33"/>
  <c r="H25" i="33"/>
  <c r="H26" i="33"/>
  <c r="H30" i="33"/>
  <c r="H33" i="33"/>
  <c r="N41" i="33" s="1"/>
  <c r="J18" i="20"/>
  <c r="I62" i="35" s="1"/>
  <c r="J15" i="20"/>
  <c r="I59" i="35" s="1"/>
  <c r="I16" i="20"/>
  <c r="H60" i="35" s="1"/>
  <c r="J17" i="20"/>
  <c r="I61" i="35" s="1"/>
  <c r="I19" i="33"/>
  <c r="I34" i="33"/>
  <c r="K58" i="27"/>
  <c r="AN16" i="35" s="1"/>
  <c r="Q30" i="28"/>
  <c r="AO48" i="35" s="1"/>
  <c r="K54" i="27"/>
  <c r="AN12" i="35" s="1"/>
  <c r="AH38" i="29"/>
  <c r="AH56" i="29"/>
  <c r="T13" i="27"/>
  <c r="G3" i="34" s="1"/>
  <c r="J51" i="27"/>
  <c r="AL9" i="35" s="1"/>
  <c r="J58" i="27"/>
  <c r="AL16" i="35" s="1"/>
  <c r="J54" i="27"/>
  <c r="AL12" i="35" s="1"/>
  <c r="K39" i="33"/>
  <c r="AK61" i="29"/>
  <c r="Z61" i="29"/>
  <c r="AL46" i="29"/>
  <c r="J73" i="32"/>
  <c r="J71" i="32" s="1"/>
  <c r="W39" i="35" s="1"/>
  <c r="AF55" i="29"/>
  <c r="J38" i="33"/>
  <c r="AB38" i="29"/>
  <c r="AB56" i="29"/>
  <c r="R101" i="29"/>
  <c r="G9" i="33"/>
  <c r="G18" i="33" s="1"/>
  <c r="K16" i="30" s="1"/>
  <c r="H3" i="33"/>
  <c r="L37" i="30"/>
  <c r="AJ15" i="29" l="1"/>
  <c r="AJ27" i="29" s="1"/>
  <c r="K77" i="32" s="1"/>
  <c r="K76" i="32" s="1"/>
  <c r="X42" i="35" s="1"/>
  <c r="O17" i="20"/>
  <c r="N61" i="35" s="1"/>
  <c r="M11" i="1"/>
  <c r="M31" i="1"/>
  <c r="C109" i="29"/>
  <c r="U11" i="35"/>
  <c r="S79" i="27"/>
  <c r="R86" i="27"/>
  <c r="R81" i="27"/>
  <c r="I19" i="20"/>
  <c r="I20" i="20" s="1"/>
  <c r="N59" i="35"/>
  <c r="K49" i="27"/>
  <c r="AN7" i="35" s="1"/>
  <c r="X21" i="35"/>
  <c r="K53" i="27"/>
  <c r="W21" i="35"/>
  <c r="J53" i="27"/>
  <c r="AH11" i="35"/>
  <c r="AJ11" i="35"/>
  <c r="H41" i="32"/>
  <c r="U17" i="35" s="1"/>
  <c r="H56" i="28"/>
  <c r="I25" i="20" s="1"/>
  <c r="J25" i="20" s="1"/>
  <c r="I69" i="35" s="1"/>
  <c r="AF59" i="35"/>
  <c r="AF71" i="35" s="1"/>
  <c r="I41" i="32"/>
  <c r="V17" i="35" s="1"/>
  <c r="I56" i="27"/>
  <c r="AJ14" i="35" s="1"/>
  <c r="J44" i="32"/>
  <c r="W19" i="35" s="1"/>
  <c r="I39" i="32"/>
  <c r="K19" i="20" s="1"/>
  <c r="AJ7" i="35"/>
  <c r="J39" i="32"/>
  <c r="W16" i="35" s="1"/>
  <c r="AL7" i="35"/>
  <c r="J96" i="32"/>
  <c r="W47" i="35" s="1"/>
  <c r="K96" i="32"/>
  <c r="X47" i="35" s="1"/>
  <c r="Z60" i="29"/>
  <c r="AL43" i="29"/>
  <c r="AF60" i="29" s="1"/>
  <c r="K42" i="32"/>
  <c r="X18" i="35" s="1"/>
  <c r="AN9" i="35"/>
  <c r="AK30" i="29"/>
  <c r="AK12" i="29"/>
  <c r="AK13" i="29" s="1"/>
  <c r="AL12" i="29"/>
  <c r="AL13" i="29" s="1"/>
  <c r="AF30" i="29" s="1"/>
  <c r="AF36" i="29" s="1"/>
  <c r="O18" i="20"/>
  <c r="N62" i="35" s="1"/>
  <c r="M87" i="1"/>
  <c r="M117" i="1"/>
  <c r="M79" i="1"/>
  <c r="K41" i="28"/>
  <c r="U35" i="35"/>
  <c r="I20" i="27"/>
  <c r="V58" i="35" s="1"/>
  <c r="E59" i="26"/>
  <c r="E48" i="26" s="1"/>
  <c r="D129" i="29"/>
  <c r="D122" i="29"/>
  <c r="F59" i="26"/>
  <c r="F48" i="26" s="1"/>
  <c r="J20" i="27"/>
  <c r="W58" i="35" s="1"/>
  <c r="E129" i="29"/>
  <c r="E122" i="29"/>
  <c r="K20" i="27"/>
  <c r="X58" i="35" s="1"/>
  <c r="G59" i="26"/>
  <c r="G48" i="26" s="1"/>
  <c r="N58" i="35"/>
  <c r="P30" i="20"/>
  <c r="O74" i="35" s="1"/>
  <c r="P29" i="20"/>
  <c r="O73" i="35" s="1"/>
  <c r="P24" i="20"/>
  <c r="O68" i="35" s="1"/>
  <c r="P23" i="20"/>
  <c r="O67" i="35" s="1"/>
  <c r="L58" i="35"/>
  <c r="N24" i="20"/>
  <c r="M68" i="35" s="1"/>
  <c r="N23" i="20"/>
  <c r="M67" i="35" s="1"/>
  <c r="N30" i="20"/>
  <c r="M74" i="35" s="1"/>
  <c r="N29" i="20"/>
  <c r="M73" i="35" s="1"/>
  <c r="S23" i="30"/>
  <c r="K31" i="1"/>
  <c r="I67" i="32"/>
  <c r="T14" i="27"/>
  <c r="L76" i="35" s="1"/>
  <c r="U14" i="27"/>
  <c r="N76" i="35" s="1"/>
  <c r="E101" i="29"/>
  <c r="V8" i="35"/>
  <c r="G56" i="32"/>
  <c r="Q76" i="27" s="1"/>
  <c r="Q37" i="27" s="1"/>
  <c r="H58" i="32"/>
  <c r="U29" i="35" s="1"/>
  <c r="I22" i="32"/>
  <c r="V11" i="35" s="1"/>
  <c r="I29" i="32"/>
  <c r="U12" i="35"/>
  <c r="I65" i="35"/>
  <c r="H65" i="35"/>
  <c r="J47" i="27"/>
  <c r="AL6" i="35" s="1"/>
  <c r="T44" i="27"/>
  <c r="G50" i="34" s="1"/>
  <c r="T11" i="27"/>
  <c r="G2" i="34" s="1"/>
  <c r="G26" i="34" s="1"/>
  <c r="M88" i="1"/>
  <c r="M83" i="1"/>
  <c r="L124" i="1"/>
  <c r="M46" i="1"/>
  <c r="M86" i="1"/>
  <c r="M99" i="1"/>
  <c r="M107" i="1"/>
  <c r="M63" i="1"/>
  <c r="M104" i="1"/>
  <c r="M69" i="1"/>
  <c r="M121" i="1"/>
  <c r="M52" i="1"/>
  <c r="M94" i="1"/>
  <c r="M118" i="1"/>
  <c r="M74" i="1"/>
  <c r="M116" i="1"/>
  <c r="M112" i="1"/>
  <c r="U29" i="30"/>
  <c r="H56" i="27"/>
  <c r="K44" i="32"/>
  <c r="X19" i="35" s="1"/>
  <c r="Z64" i="29"/>
  <c r="J17" i="32"/>
  <c r="I42" i="30"/>
  <c r="R42" i="30"/>
  <c r="M42" i="30"/>
  <c r="L42" i="30"/>
  <c r="G42" i="30"/>
  <c r="N42" i="30"/>
  <c r="K42" i="30"/>
  <c r="Q42" i="30"/>
  <c r="P42" i="30"/>
  <c r="J42" i="30"/>
  <c r="H42" i="30"/>
  <c r="O42" i="30"/>
  <c r="N26" i="28"/>
  <c r="AL44" i="35" s="1"/>
  <c r="AL59" i="35" s="1"/>
  <c r="AL71" i="35" s="1"/>
  <c r="AA27" i="29"/>
  <c r="AG15" i="29"/>
  <c r="AE27" i="29"/>
  <c r="AL15" i="29"/>
  <c r="AE32" i="29"/>
  <c r="AE36" i="29" s="1"/>
  <c r="AF27" i="29"/>
  <c r="H18" i="32"/>
  <c r="C113" i="29"/>
  <c r="J30" i="32"/>
  <c r="K11" i="1"/>
  <c r="J124" i="1"/>
  <c r="G40" i="2"/>
  <c r="F46" i="2"/>
  <c r="G46" i="2" s="1"/>
  <c r="H46" i="2" s="1"/>
  <c r="L39" i="33"/>
  <c r="J37" i="33"/>
  <c r="M40" i="33"/>
  <c r="S2" i="22"/>
  <c r="K2" i="33"/>
  <c r="O26" i="30"/>
  <c r="O50" i="30" s="1"/>
  <c r="O102" i="30"/>
  <c r="J42" i="32"/>
  <c r="W18" i="35" s="1"/>
  <c r="P15" i="20"/>
  <c r="O59" i="35" s="1"/>
  <c r="O16" i="20"/>
  <c r="N60" i="35" s="1"/>
  <c r="AF61" i="29"/>
  <c r="J68" i="32"/>
  <c r="W36" i="35" s="1"/>
  <c r="Z30" i="29"/>
  <c r="Z36" i="29" s="1"/>
  <c r="Q103" i="29"/>
  <c r="I28" i="33"/>
  <c r="I26" i="33"/>
  <c r="I31" i="33"/>
  <c r="I24" i="33"/>
  <c r="I32" i="33"/>
  <c r="I30" i="33"/>
  <c r="I33" i="33"/>
  <c r="I29" i="33"/>
  <c r="I25" i="33"/>
  <c r="J20" i="33"/>
  <c r="I27" i="33"/>
  <c r="N15" i="20"/>
  <c r="M59" i="35" s="1"/>
  <c r="M16" i="20"/>
  <c r="N18" i="20"/>
  <c r="M62" i="35" s="1"/>
  <c r="K38" i="33"/>
  <c r="J34" i="33"/>
  <c r="J19" i="33"/>
  <c r="H10" i="33"/>
  <c r="H18" i="33" s="1"/>
  <c r="L16" i="30" s="1"/>
  <c r="S16" i="30" s="1"/>
  <c r="I3" i="33"/>
  <c r="M37" i="30"/>
  <c r="P17" i="20" l="1"/>
  <c r="O61" i="35" s="1"/>
  <c r="AK15" i="29"/>
  <c r="AM15" i="29" s="1"/>
  <c r="AL55" i="29"/>
  <c r="K73" i="32" s="1"/>
  <c r="K71" i="32" s="1"/>
  <c r="X39" i="35" s="1"/>
  <c r="AF64" i="29"/>
  <c r="V35" i="35"/>
  <c r="S80" i="27"/>
  <c r="S81" i="27" s="1"/>
  <c r="J48" i="26"/>
  <c r="R75" i="27"/>
  <c r="Q77" i="27"/>
  <c r="Q82" i="27" s="1"/>
  <c r="Q16" i="27" s="1"/>
  <c r="I29" i="30"/>
  <c r="M14" i="22" s="1"/>
  <c r="M15" i="22" s="1"/>
  <c r="P18" i="20"/>
  <c r="O62" i="35" s="1"/>
  <c r="H63" i="35"/>
  <c r="J19" i="20"/>
  <c r="I63" i="35" s="1"/>
  <c r="AT18" i="35"/>
  <c r="H69" i="35"/>
  <c r="I60" i="27"/>
  <c r="AJ18" i="35" s="1"/>
  <c r="V16" i="35"/>
  <c r="I81" i="32"/>
  <c r="I80" i="32" s="1"/>
  <c r="V44" i="35" s="1"/>
  <c r="H64" i="35"/>
  <c r="R18" i="27"/>
  <c r="I26" i="32"/>
  <c r="V12" i="35" s="1"/>
  <c r="K21" i="20"/>
  <c r="L21" i="20" s="1"/>
  <c r="K65" i="35" s="1"/>
  <c r="K56" i="28"/>
  <c r="K25" i="20" s="1"/>
  <c r="L25" i="20" s="1"/>
  <c r="K69" i="35" s="1"/>
  <c r="AI59" i="35"/>
  <c r="AI71" i="35" s="1"/>
  <c r="M19" i="20"/>
  <c r="N19" i="20" s="1"/>
  <c r="M63" i="35" s="1"/>
  <c r="K39" i="32"/>
  <c r="O19" i="20" s="1"/>
  <c r="H81" i="32"/>
  <c r="H80" i="32" s="1"/>
  <c r="U44" i="35" s="1"/>
  <c r="AH14" i="35"/>
  <c r="J63" i="35"/>
  <c r="L19" i="20"/>
  <c r="K63" i="35" s="1"/>
  <c r="C63" i="26"/>
  <c r="N41" i="28"/>
  <c r="N56" i="28" s="1"/>
  <c r="M25" i="20" s="1"/>
  <c r="N25" i="20" s="1"/>
  <c r="M69" i="35" s="1"/>
  <c r="F48" i="35"/>
  <c r="F38" i="35" s="1"/>
  <c r="G48" i="35"/>
  <c r="G38" i="35" s="1"/>
  <c r="E48" i="35"/>
  <c r="E38" i="35" s="1"/>
  <c r="H59" i="26"/>
  <c r="H48" i="35" s="1"/>
  <c r="H38" i="35" s="1"/>
  <c r="T27" i="35"/>
  <c r="E104" i="29"/>
  <c r="D116" i="29"/>
  <c r="D124" i="29" s="1"/>
  <c r="K20" i="20"/>
  <c r="G98" i="32"/>
  <c r="D109" i="29"/>
  <c r="J25" i="32"/>
  <c r="E112" i="29" s="1"/>
  <c r="J67" i="32"/>
  <c r="N17" i="20"/>
  <c r="M61" i="35" s="1"/>
  <c r="L61" i="35"/>
  <c r="B126" i="29"/>
  <c r="J56" i="27"/>
  <c r="AL14" i="35" s="1"/>
  <c r="L60" i="35"/>
  <c r="K33" i="32"/>
  <c r="F120" i="29" s="1"/>
  <c r="W13" i="35"/>
  <c r="H13" i="32"/>
  <c r="U7" i="35" s="1"/>
  <c r="U9" i="35"/>
  <c r="O29" i="30"/>
  <c r="S14" i="22" s="1"/>
  <c r="S15" i="22" s="1"/>
  <c r="J14" i="32"/>
  <c r="K17" i="32" s="1"/>
  <c r="R29" i="30"/>
  <c r="V14" i="22" s="1"/>
  <c r="V15" i="22" s="1"/>
  <c r="Q29" i="30"/>
  <c r="U14" i="22" s="1"/>
  <c r="U15" i="22" s="1"/>
  <c r="M29" i="30"/>
  <c r="Q14" i="22" s="1"/>
  <c r="Q15" i="22" s="1"/>
  <c r="N29" i="30"/>
  <c r="R14" i="22" s="1"/>
  <c r="R15" i="22" s="1"/>
  <c r="L29" i="30"/>
  <c r="P14" i="22" s="1"/>
  <c r="P15" i="22" s="1"/>
  <c r="H29" i="30"/>
  <c r="L14" i="22" s="1"/>
  <c r="L15" i="22" s="1"/>
  <c r="G29" i="30"/>
  <c r="J29" i="30"/>
  <c r="N14" i="22" s="1"/>
  <c r="N15" i="22" s="1"/>
  <c r="K29" i="30"/>
  <c r="O14" i="22" s="1"/>
  <c r="O15" i="22" s="1"/>
  <c r="P29" i="30"/>
  <c r="T14" i="22" s="1"/>
  <c r="T15" i="22" s="1"/>
  <c r="I22" i="20"/>
  <c r="J20" i="20"/>
  <c r="R19" i="27" s="1"/>
  <c r="K56" i="27"/>
  <c r="AN14" i="35" s="1"/>
  <c r="H60" i="27"/>
  <c r="AH18" i="35" s="1"/>
  <c r="C105" i="29"/>
  <c r="S42" i="30"/>
  <c r="T42" i="30" s="1"/>
  <c r="AK32" i="29"/>
  <c r="AL27" i="29"/>
  <c r="K68" i="32" s="1"/>
  <c r="X36" i="35" s="1"/>
  <c r="Q26" i="28"/>
  <c r="AO44" i="35" s="1"/>
  <c r="AG27" i="29"/>
  <c r="E117" i="29"/>
  <c r="F52" i="2"/>
  <c r="G52" i="2" s="1"/>
  <c r="H52" i="2" s="1"/>
  <c r="H40" i="2"/>
  <c r="K37" i="33"/>
  <c r="K34" i="33"/>
  <c r="K19" i="33"/>
  <c r="M39" i="33"/>
  <c r="J25" i="33"/>
  <c r="K20" i="33"/>
  <c r="J28" i="33"/>
  <c r="J32" i="33"/>
  <c r="J30" i="33"/>
  <c r="J26" i="33"/>
  <c r="J24" i="33"/>
  <c r="J29" i="33"/>
  <c r="J33" i="33"/>
  <c r="J27" i="33"/>
  <c r="J31" i="33"/>
  <c r="L2" i="33"/>
  <c r="P102" i="30"/>
  <c r="T2" i="22"/>
  <c r="P26" i="30"/>
  <c r="P50" i="30" s="1"/>
  <c r="L38" i="33"/>
  <c r="N40" i="33"/>
  <c r="J3" i="33"/>
  <c r="J12" i="33" s="1"/>
  <c r="I11" i="33"/>
  <c r="I18" i="33" s="1"/>
  <c r="N37" i="30"/>
  <c r="W35" i="35" l="1"/>
  <c r="T80" i="27"/>
  <c r="S86" i="27"/>
  <c r="T79" i="27"/>
  <c r="Q38" i="27"/>
  <c r="AT19" i="35" s="1"/>
  <c r="Q35" i="27"/>
  <c r="Q42" i="27" s="1"/>
  <c r="Q43" i="27" s="1"/>
  <c r="J69" i="35"/>
  <c r="L69" i="35"/>
  <c r="X16" i="35"/>
  <c r="I18" i="32"/>
  <c r="V9" i="35" s="1"/>
  <c r="D113" i="29"/>
  <c r="J29" i="32"/>
  <c r="M21" i="20" s="1"/>
  <c r="L63" i="35"/>
  <c r="M20" i="20"/>
  <c r="L64" i="35" s="1"/>
  <c r="L20" i="20"/>
  <c r="S19" i="27" s="1"/>
  <c r="S18" i="27"/>
  <c r="J22" i="20"/>
  <c r="E28" i="34" s="1"/>
  <c r="R20" i="27"/>
  <c r="J81" i="32"/>
  <c r="J80" i="32" s="1"/>
  <c r="W44" i="35" s="1"/>
  <c r="K81" i="32"/>
  <c r="K80" i="32" s="1"/>
  <c r="X44" i="35" s="1"/>
  <c r="O20" i="20"/>
  <c r="P19" i="20"/>
  <c r="O63" i="35" s="1"/>
  <c r="Q41" i="28"/>
  <c r="H48" i="26"/>
  <c r="K30" i="32"/>
  <c r="F117" i="29" s="1"/>
  <c r="J22" i="32"/>
  <c r="W11" i="35" s="1"/>
  <c r="K22" i="20"/>
  <c r="S20" i="27" s="1"/>
  <c r="J64" i="35"/>
  <c r="Q25" i="27"/>
  <c r="D30" i="34" s="1"/>
  <c r="J65" i="35"/>
  <c r="Q45" i="27"/>
  <c r="T48" i="35"/>
  <c r="K67" i="32"/>
  <c r="F101" i="29"/>
  <c r="W8" i="35"/>
  <c r="N63" i="35"/>
  <c r="I64" i="35"/>
  <c r="I26" i="20"/>
  <c r="H66" i="35"/>
  <c r="S29" i="30"/>
  <c r="T29" i="30" s="1"/>
  <c r="K14" i="22"/>
  <c r="K15" i="22" s="1"/>
  <c r="H61" i="27"/>
  <c r="I61" i="27"/>
  <c r="K14" i="32"/>
  <c r="X8" i="35" s="1"/>
  <c r="F104" i="29"/>
  <c r="F64" i="2"/>
  <c r="G64" i="2" s="1"/>
  <c r="H64" i="2" s="1"/>
  <c r="F58" i="2"/>
  <c r="G58" i="2" s="1"/>
  <c r="H58" i="2" s="1"/>
  <c r="N39" i="33"/>
  <c r="L37" i="33"/>
  <c r="Q102" i="30"/>
  <c r="Q26" i="30"/>
  <c r="Q50" i="30" s="1"/>
  <c r="U2" i="22"/>
  <c r="M2" i="33"/>
  <c r="L19" i="33"/>
  <c r="L34" i="33"/>
  <c r="M38" i="33"/>
  <c r="L20" i="33"/>
  <c r="K26" i="33"/>
  <c r="K27" i="33"/>
  <c r="K25" i="33"/>
  <c r="K31" i="33"/>
  <c r="K30" i="33"/>
  <c r="K32" i="33"/>
  <c r="K24" i="33"/>
  <c r="K33" i="33"/>
  <c r="K29" i="33"/>
  <c r="K28" i="33"/>
  <c r="K3" i="33"/>
  <c r="J18" i="33"/>
  <c r="O37" i="30"/>
  <c r="L65" i="35" l="1"/>
  <c r="N21" i="20"/>
  <c r="M65" i="35" s="1"/>
  <c r="I13" i="32"/>
  <c r="V7" i="35" s="1"/>
  <c r="D105" i="29"/>
  <c r="T86" i="27"/>
  <c r="U79" i="27"/>
  <c r="X35" i="35"/>
  <c r="U80" i="27"/>
  <c r="T81" i="27"/>
  <c r="N20" i="20"/>
  <c r="T19" i="27" s="1"/>
  <c r="T18" i="27"/>
  <c r="J26" i="32"/>
  <c r="E113" i="29" s="1"/>
  <c r="E116" i="29"/>
  <c r="E124" i="29" s="1"/>
  <c r="R21" i="27"/>
  <c r="R22" i="27" s="1"/>
  <c r="I66" i="35"/>
  <c r="K64" i="35"/>
  <c r="N64" i="35"/>
  <c r="U18" i="27"/>
  <c r="P20" i="20"/>
  <c r="U19" i="27" s="1"/>
  <c r="I28" i="27"/>
  <c r="V62" i="35" s="1"/>
  <c r="AJ19" i="35"/>
  <c r="H28" i="27"/>
  <c r="U62" i="35" s="1"/>
  <c r="AH19" i="35"/>
  <c r="Q56" i="28"/>
  <c r="O25" i="20" s="1"/>
  <c r="P25" i="20" s="1"/>
  <c r="O69" i="35" s="1"/>
  <c r="AO59" i="35"/>
  <c r="AO71" i="35" s="1"/>
  <c r="Q36" i="27"/>
  <c r="AT17" i="35" s="1"/>
  <c r="H70" i="35"/>
  <c r="J26" i="20"/>
  <c r="J66" i="35"/>
  <c r="L22" i="20"/>
  <c r="X13" i="35"/>
  <c r="E109" i="29"/>
  <c r="K25" i="32"/>
  <c r="F112" i="29" s="1"/>
  <c r="D51" i="34"/>
  <c r="Q49" i="27"/>
  <c r="K26" i="20"/>
  <c r="AT16" i="35"/>
  <c r="D5" i="34"/>
  <c r="M22" i="20"/>
  <c r="H73" i="2"/>
  <c r="H74" i="2" s="1"/>
  <c r="G73" i="2"/>
  <c r="G74" i="2" s="1"/>
  <c r="F73" i="2"/>
  <c r="F74" i="2" s="1"/>
  <c r="S17" i="30"/>
  <c r="N38" i="33"/>
  <c r="R26" i="30"/>
  <c r="R50" i="30" s="1"/>
  <c r="V2" i="22"/>
  <c r="N2" i="33"/>
  <c r="R102" i="30"/>
  <c r="L29" i="33"/>
  <c r="M20" i="33"/>
  <c r="L24" i="33"/>
  <c r="L26" i="33"/>
  <c r="L31" i="33"/>
  <c r="L27" i="33"/>
  <c r="L32" i="33"/>
  <c r="L30" i="33"/>
  <c r="L33" i="33"/>
  <c r="L28" i="33"/>
  <c r="L25" i="33"/>
  <c r="M19" i="33"/>
  <c r="M34" i="33"/>
  <c r="M37" i="33"/>
  <c r="L3" i="33"/>
  <c r="K13" i="33"/>
  <c r="K18" i="33" s="1"/>
  <c r="P37" i="30"/>
  <c r="J18" i="32" l="1"/>
  <c r="W9" i="35" s="1"/>
  <c r="D53" i="34"/>
  <c r="R50" i="27"/>
  <c r="K29" i="32"/>
  <c r="O21" i="20" s="1"/>
  <c r="P21" i="20" s="1"/>
  <c r="W12" i="35"/>
  <c r="U81" i="27"/>
  <c r="U86" i="27"/>
  <c r="M64" i="35"/>
  <c r="E27" i="34"/>
  <c r="N69" i="35"/>
  <c r="S21" i="27"/>
  <c r="S22" i="27" s="1"/>
  <c r="F28" i="34"/>
  <c r="K66" i="35"/>
  <c r="N22" i="20"/>
  <c r="G28" i="34" s="1"/>
  <c r="T20" i="27"/>
  <c r="O64" i="35"/>
  <c r="K22" i="32"/>
  <c r="X11" i="35" s="1"/>
  <c r="J70" i="35"/>
  <c r="L26" i="20"/>
  <c r="K70" i="35" s="1"/>
  <c r="K27" i="20"/>
  <c r="S74" i="27" s="1"/>
  <c r="M26" i="20"/>
  <c r="L66" i="35"/>
  <c r="J84" i="32"/>
  <c r="I70" i="35"/>
  <c r="H84" i="32"/>
  <c r="I84" i="32"/>
  <c r="N37" i="33"/>
  <c r="S19" i="30"/>
  <c r="Q17" i="30"/>
  <c r="J17" i="30"/>
  <c r="P17" i="30"/>
  <c r="N17" i="30"/>
  <c r="O17" i="30"/>
  <c r="I17" i="30"/>
  <c r="R17" i="30"/>
  <c r="L17" i="30"/>
  <c r="M17" i="30"/>
  <c r="G17" i="30"/>
  <c r="K17" i="30"/>
  <c r="H17" i="30"/>
  <c r="S38" i="30"/>
  <c r="M24" i="33"/>
  <c r="N20" i="33"/>
  <c r="M32" i="33"/>
  <c r="M31" i="33"/>
  <c r="M33" i="33"/>
  <c r="M27" i="33"/>
  <c r="M28" i="33"/>
  <c r="M25" i="33"/>
  <c r="M30" i="33"/>
  <c r="M29" i="33"/>
  <c r="M26" i="33"/>
  <c r="N19" i="33"/>
  <c r="N34" i="33"/>
  <c r="M3" i="33"/>
  <c r="L14" i="33"/>
  <c r="L18" i="33" s="1"/>
  <c r="Q37" i="30"/>
  <c r="E105" i="29" l="1"/>
  <c r="J13" i="32"/>
  <c r="W7" i="35" s="1"/>
  <c r="F116" i="29"/>
  <c r="F124" i="29" s="1"/>
  <c r="N65" i="35"/>
  <c r="K26" i="32"/>
  <c r="X12" i="35" s="1"/>
  <c r="J27" i="20"/>
  <c r="I71" i="35" s="1"/>
  <c r="R74" i="27"/>
  <c r="F109" i="29"/>
  <c r="F27" i="34"/>
  <c r="T21" i="27"/>
  <c r="T22" i="27" s="1"/>
  <c r="M66" i="35"/>
  <c r="J71" i="35"/>
  <c r="L27" i="20"/>
  <c r="K71" i="35" s="1"/>
  <c r="L70" i="35"/>
  <c r="N26" i="20"/>
  <c r="M70" i="35" s="1"/>
  <c r="H37" i="27"/>
  <c r="H75" i="32"/>
  <c r="U3" i="22"/>
  <c r="U4" i="22" s="1"/>
  <c r="V3" i="22"/>
  <c r="V4" i="22" s="1"/>
  <c r="P3" i="22"/>
  <c r="P4" i="22" s="1"/>
  <c r="M3" i="22"/>
  <c r="M4" i="22" s="1"/>
  <c r="S3" i="22"/>
  <c r="S4" i="22" s="1"/>
  <c r="N3" i="22"/>
  <c r="N4" i="22" s="1"/>
  <c r="L3" i="22"/>
  <c r="L4" i="22" s="1"/>
  <c r="O3" i="22"/>
  <c r="O4" i="22" s="1"/>
  <c r="T3" i="22"/>
  <c r="T4" i="22" s="1"/>
  <c r="J37" i="27"/>
  <c r="W69" i="35" s="1"/>
  <c r="R51" i="27"/>
  <c r="H39" i="27"/>
  <c r="U71" i="35" s="1"/>
  <c r="I15" i="27"/>
  <c r="V45" i="35"/>
  <c r="I37" i="27"/>
  <c r="V69" i="35" s="1"/>
  <c r="K31" i="20"/>
  <c r="S54" i="30"/>
  <c r="S57" i="30" s="1"/>
  <c r="U45" i="35"/>
  <c r="J75" i="32"/>
  <c r="W45" i="35"/>
  <c r="H15" i="27"/>
  <c r="H71" i="35"/>
  <c r="O22" i="20"/>
  <c r="O65" i="35"/>
  <c r="M27" i="20"/>
  <c r="T74" i="27" s="1"/>
  <c r="I75" i="32"/>
  <c r="I31" i="20"/>
  <c r="R52" i="27" s="1"/>
  <c r="U43" i="30"/>
  <c r="K3" i="22"/>
  <c r="K4" i="22" s="1"/>
  <c r="K19" i="30"/>
  <c r="K27" i="30" s="1"/>
  <c r="O10" i="22" s="1"/>
  <c r="O11" i="22" s="1"/>
  <c r="O26" i="22" s="1"/>
  <c r="R19" i="30"/>
  <c r="R27" i="30" s="1"/>
  <c r="V10" i="22" s="1"/>
  <c r="V11" i="22" s="1"/>
  <c r="V26" i="22" s="1"/>
  <c r="N19" i="30"/>
  <c r="N27" i="30" s="1"/>
  <c r="R10" i="22" s="1"/>
  <c r="R11" i="22" s="1"/>
  <c r="R26" i="22" s="1"/>
  <c r="M19" i="30"/>
  <c r="M27" i="30" s="1"/>
  <c r="Q10" i="22" s="1"/>
  <c r="Q11" i="22" s="1"/>
  <c r="Q26" i="22" s="1"/>
  <c r="H19" i="30"/>
  <c r="H27" i="30" s="1"/>
  <c r="Q19" i="30"/>
  <c r="Q27" i="30" s="1"/>
  <c r="U10" i="22" s="1"/>
  <c r="U11" i="22" s="1"/>
  <c r="U26" i="22" s="1"/>
  <c r="L19" i="30"/>
  <c r="L27" i="30" s="1"/>
  <c r="I19" i="30"/>
  <c r="I27" i="30" s="1"/>
  <c r="M10" i="22" s="1"/>
  <c r="M11" i="22" s="1"/>
  <c r="M26" i="22" s="1"/>
  <c r="O19" i="30"/>
  <c r="O27" i="30" s="1"/>
  <c r="J19" i="30"/>
  <c r="J27" i="30" s="1"/>
  <c r="G19" i="30"/>
  <c r="G27" i="30" s="1"/>
  <c r="K10" i="22" s="1"/>
  <c r="K11" i="22" s="1"/>
  <c r="K26" i="22" s="1"/>
  <c r="P19" i="30"/>
  <c r="P27" i="30" s="1"/>
  <c r="T10" i="22" s="1"/>
  <c r="T11" i="22" s="1"/>
  <c r="T26" i="22" s="1"/>
  <c r="Q3" i="22"/>
  <c r="Q4" i="22" s="1"/>
  <c r="R3" i="22"/>
  <c r="R4" i="22" s="1"/>
  <c r="S36" i="30"/>
  <c r="N26" i="33"/>
  <c r="N28" i="33"/>
  <c r="N32" i="33"/>
  <c r="N25" i="33"/>
  <c r="N33" i="33"/>
  <c r="N27" i="33"/>
  <c r="N29" i="33"/>
  <c r="N31" i="33"/>
  <c r="N30" i="33"/>
  <c r="N24" i="33"/>
  <c r="M16" i="33"/>
  <c r="M15" i="33"/>
  <c r="N3" i="33"/>
  <c r="N16" i="33" s="1"/>
  <c r="N18" i="33" s="1"/>
  <c r="R37" i="30"/>
  <c r="F113" i="29" l="1"/>
  <c r="K18" i="32"/>
  <c r="X9" i="35" s="1"/>
  <c r="U69" i="35"/>
  <c r="H41" i="27"/>
  <c r="U73" i="35" s="1"/>
  <c r="G27" i="34"/>
  <c r="P22" i="20"/>
  <c r="H28" i="34" s="1"/>
  <c r="U20" i="27"/>
  <c r="R32" i="27"/>
  <c r="U53" i="35"/>
  <c r="L71" i="35"/>
  <c r="N27" i="20"/>
  <c r="M71" i="35" s="1"/>
  <c r="L31" i="20"/>
  <c r="S24" i="27" s="1"/>
  <c r="F29" i="34" s="1"/>
  <c r="H74" i="35"/>
  <c r="J31" i="20"/>
  <c r="R24" i="27" s="1"/>
  <c r="E29" i="34" s="1"/>
  <c r="V53" i="35"/>
  <c r="S32" i="27"/>
  <c r="S33" i="27" s="1"/>
  <c r="I21" i="27"/>
  <c r="V59" i="35" s="1"/>
  <c r="S31" i="27"/>
  <c r="AV12" i="35" s="1"/>
  <c r="S23" i="27"/>
  <c r="C128" i="29"/>
  <c r="H59" i="32"/>
  <c r="J74" i="35"/>
  <c r="D127" i="29"/>
  <c r="I60" i="32"/>
  <c r="V31" i="35" s="1"/>
  <c r="W41" i="35"/>
  <c r="T46" i="27"/>
  <c r="G52" i="34" s="1"/>
  <c r="S46" i="27"/>
  <c r="F52" i="34" s="1"/>
  <c r="V41" i="35"/>
  <c r="R46" i="27"/>
  <c r="E52" i="34" s="1"/>
  <c r="U41" i="35"/>
  <c r="O26" i="20"/>
  <c r="N66" i="35"/>
  <c r="AL11" i="35"/>
  <c r="J41" i="32"/>
  <c r="W17" i="35" s="1"/>
  <c r="M31" i="20"/>
  <c r="N31" i="20" s="1"/>
  <c r="J15" i="27"/>
  <c r="R31" i="27"/>
  <c r="AU12" i="35" s="1"/>
  <c r="H21" i="27"/>
  <c r="U59" i="35" s="1"/>
  <c r="K43" i="30"/>
  <c r="P43" i="30"/>
  <c r="I43" i="30"/>
  <c r="R43" i="30"/>
  <c r="M43" i="30"/>
  <c r="O43" i="30"/>
  <c r="G43" i="30"/>
  <c r="G48" i="30" s="1"/>
  <c r="J43" i="30"/>
  <c r="H43" i="30"/>
  <c r="H48" i="30" s="1"/>
  <c r="L43" i="30"/>
  <c r="N43" i="30"/>
  <c r="Q43" i="30"/>
  <c r="R23" i="27"/>
  <c r="H60" i="32"/>
  <c r="C127" i="29"/>
  <c r="F105" i="29"/>
  <c r="S27" i="30"/>
  <c r="T27" i="30" s="1"/>
  <c r="C21" i="33"/>
  <c r="K5" i="22"/>
  <c r="K6" i="22" s="1"/>
  <c r="K9" i="22" s="1"/>
  <c r="K27" i="22" s="1"/>
  <c r="I34" i="30" s="1"/>
  <c r="J21" i="33"/>
  <c r="R5" i="22"/>
  <c r="R6" i="22" s="1"/>
  <c r="R9" i="22" s="1"/>
  <c r="R27" i="22" s="1"/>
  <c r="P34" i="30" s="1"/>
  <c r="N5" i="22"/>
  <c r="N6" i="22" s="1"/>
  <c r="N9" i="22" s="1"/>
  <c r="F21" i="33"/>
  <c r="N21" i="33"/>
  <c r="N22" i="33" s="1"/>
  <c r="N35" i="33" s="1"/>
  <c r="V5" i="22"/>
  <c r="V6" i="22" s="1"/>
  <c r="V9" i="22" s="1"/>
  <c r="V27" i="22" s="1"/>
  <c r="K21" i="33"/>
  <c r="S5" i="22"/>
  <c r="S6" i="22" s="1"/>
  <c r="S9" i="22" s="1"/>
  <c r="G21" i="33"/>
  <c r="O5" i="22"/>
  <c r="O6" i="22" s="1"/>
  <c r="O9" i="22" s="1"/>
  <c r="O27" i="22" s="1"/>
  <c r="M34" i="30" s="1"/>
  <c r="P10" i="22"/>
  <c r="P11" i="22" s="1"/>
  <c r="P26" i="22" s="1"/>
  <c r="M5" i="22"/>
  <c r="M6" i="22" s="1"/>
  <c r="M9" i="22" s="1"/>
  <c r="M27" i="22" s="1"/>
  <c r="K34" i="30" s="1"/>
  <c r="E21" i="33"/>
  <c r="S10" i="22"/>
  <c r="S11" i="22" s="1"/>
  <c r="S26" i="22" s="1"/>
  <c r="P5" i="22"/>
  <c r="P6" i="22" s="1"/>
  <c r="P9" i="22" s="1"/>
  <c r="H21" i="33"/>
  <c r="N10" i="22"/>
  <c r="N11" i="22" s="1"/>
  <c r="N26" i="22" s="1"/>
  <c r="D21" i="33"/>
  <c r="L5" i="22"/>
  <c r="L6" i="22" s="1"/>
  <c r="L9" i="22" s="1"/>
  <c r="L10" i="22"/>
  <c r="L11" i="22" s="1"/>
  <c r="L26" i="22" s="1"/>
  <c r="M21" i="33"/>
  <c r="U5" i="22"/>
  <c r="U6" i="22" s="1"/>
  <c r="U9" i="22" s="1"/>
  <c r="U27" i="22" s="1"/>
  <c r="L21" i="33"/>
  <c r="T5" i="22"/>
  <c r="T6" i="22" s="1"/>
  <c r="T9" i="22" s="1"/>
  <c r="T27" i="22" s="1"/>
  <c r="R34" i="30" s="1"/>
  <c r="I21" i="33"/>
  <c r="Q5" i="22"/>
  <c r="Q6" i="22" s="1"/>
  <c r="Q9" i="22" s="1"/>
  <c r="Q27" i="22" s="1"/>
  <c r="O34" i="30" s="1"/>
  <c r="M18" i="33"/>
  <c r="S37" i="30"/>
  <c r="K13" i="32" l="1"/>
  <c r="X7" i="35" s="1"/>
  <c r="H56" i="32"/>
  <c r="R76" i="27" s="1"/>
  <c r="AU13" i="35"/>
  <c r="R33" i="27"/>
  <c r="AU14" i="35" s="1"/>
  <c r="O66" i="35"/>
  <c r="U21" i="27"/>
  <c r="U22" i="27" s="1"/>
  <c r="J60" i="27"/>
  <c r="AL18" i="35" s="1"/>
  <c r="AV14" i="35"/>
  <c r="AV13" i="35"/>
  <c r="N70" i="35"/>
  <c r="P26" i="20"/>
  <c r="O70" i="35" s="1"/>
  <c r="W53" i="35"/>
  <c r="T32" i="27"/>
  <c r="T33" i="27" s="1"/>
  <c r="U30" i="35"/>
  <c r="C126" i="29"/>
  <c r="U31" i="35"/>
  <c r="J60" i="32"/>
  <c r="W31" i="35" s="1"/>
  <c r="L74" i="35"/>
  <c r="E127" i="29"/>
  <c r="T23" i="27"/>
  <c r="T24" i="27"/>
  <c r="G29" i="34" s="1"/>
  <c r="H42" i="27"/>
  <c r="U74" i="35" s="1"/>
  <c r="M48" i="30"/>
  <c r="O48" i="30"/>
  <c r="P48" i="30"/>
  <c r="R48" i="30"/>
  <c r="I58" i="32"/>
  <c r="V29" i="35" s="1"/>
  <c r="S43" i="30"/>
  <c r="T43" i="30" s="1"/>
  <c r="J21" i="27"/>
  <c r="W59" i="35" s="1"/>
  <c r="T31" i="27"/>
  <c r="AW12" i="35" s="1"/>
  <c r="O27" i="20"/>
  <c r="U74" i="27" s="1"/>
  <c r="P27" i="22"/>
  <c r="N34" i="30" s="1"/>
  <c r="N48" i="30" s="1"/>
  <c r="L27" i="22"/>
  <c r="J34" i="30" s="1"/>
  <c r="J48" i="30" s="1"/>
  <c r="N23" i="33"/>
  <c r="H22" i="33"/>
  <c r="H35" i="33" s="1"/>
  <c r="I22" i="33"/>
  <c r="I35" i="33" s="1"/>
  <c r="F22" i="33"/>
  <c r="F35" i="33" s="1"/>
  <c r="D22" i="33"/>
  <c r="D35" i="33" s="1"/>
  <c r="L22" i="33"/>
  <c r="L35" i="33" s="1"/>
  <c r="S27" i="22"/>
  <c r="Q34" i="30" s="1"/>
  <c r="Q48" i="30" s="1"/>
  <c r="G22" i="33"/>
  <c r="G35" i="33" s="1"/>
  <c r="I48" i="30"/>
  <c r="E22" i="33"/>
  <c r="E35" i="33" s="1"/>
  <c r="J22" i="33"/>
  <c r="J35" i="33" s="1"/>
  <c r="K22" i="33"/>
  <c r="K35" i="33" s="1"/>
  <c r="M22" i="33"/>
  <c r="M35" i="33" s="1"/>
  <c r="N27" i="22"/>
  <c r="L34" i="30" s="1"/>
  <c r="L48" i="30" s="1"/>
  <c r="C22" i="33"/>
  <c r="C35" i="33" s="1"/>
  <c r="C42" i="33" s="1"/>
  <c r="G21" i="30" s="1"/>
  <c r="G24" i="30" s="1"/>
  <c r="G59" i="30" s="1"/>
  <c r="K48" i="30"/>
  <c r="S35" i="30"/>
  <c r="S75" i="27" l="1"/>
  <c r="R77" i="27"/>
  <c r="R82" i="27" s="1"/>
  <c r="R16" i="27" s="1"/>
  <c r="H27" i="34"/>
  <c r="J61" i="27"/>
  <c r="J28" i="27" s="1"/>
  <c r="W62" i="35" s="1"/>
  <c r="AW14" i="35"/>
  <c r="AW13" i="35"/>
  <c r="H98" i="32"/>
  <c r="N71" i="35"/>
  <c r="P27" i="20"/>
  <c r="O71" i="35" s="1"/>
  <c r="U27" i="35"/>
  <c r="H43" i="27"/>
  <c r="U75" i="35" s="1"/>
  <c r="K84" i="32"/>
  <c r="K15" i="27"/>
  <c r="O31" i="20"/>
  <c r="E23" i="33"/>
  <c r="F36" i="33" s="1"/>
  <c r="F42" i="33" s="1"/>
  <c r="J21" i="30" s="1"/>
  <c r="M23" i="33"/>
  <c r="N36" i="33" s="1"/>
  <c r="N42" i="33" s="1"/>
  <c r="R21" i="30" s="1"/>
  <c r="I23" i="33"/>
  <c r="J36" i="33" s="1"/>
  <c r="J42" i="33" s="1"/>
  <c r="N21" i="30" s="1"/>
  <c r="G23" i="33"/>
  <c r="H36" i="33" s="1"/>
  <c r="H42" i="33" s="1"/>
  <c r="L21" i="30" s="1"/>
  <c r="H23" i="33"/>
  <c r="I36" i="33" s="1"/>
  <c r="I42" i="33" s="1"/>
  <c r="M21" i="30" s="1"/>
  <c r="K23" i="33"/>
  <c r="L36" i="33" s="1"/>
  <c r="L42" i="33" s="1"/>
  <c r="P21" i="30" s="1"/>
  <c r="J23" i="33"/>
  <c r="K36" i="33" s="1"/>
  <c r="K42" i="33" s="1"/>
  <c r="O21" i="30" s="1"/>
  <c r="L23" i="33"/>
  <c r="M36" i="33" s="1"/>
  <c r="M42" i="33" s="1"/>
  <c r="Q21" i="30" s="1"/>
  <c r="Q24" i="30" s="1"/>
  <c r="C23" i="33"/>
  <c r="D36" i="33" s="1"/>
  <c r="D42" i="33" s="1"/>
  <c r="H21" i="30" s="1"/>
  <c r="H24" i="30" s="1"/>
  <c r="D23" i="33"/>
  <c r="E36" i="33" s="1"/>
  <c r="E42" i="33" s="1"/>
  <c r="I21" i="30" s="1"/>
  <c r="S34" i="30"/>
  <c r="F23" i="33"/>
  <c r="G36" i="33" s="1"/>
  <c r="G42" i="33" s="1"/>
  <c r="K21" i="30" s="1"/>
  <c r="S48" i="30"/>
  <c r="AL19" i="35" l="1"/>
  <c r="R35" i="27"/>
  <c r="N74" i="35"/>
  <c r="P31" i="20"/>
  <c r="U24" i="27" s="1"/>
  <c r="H29" i="34" s="1"/>
  <c r="X53" i="35"/>
  <c r="U32" i="27"/>
  <c r="U33" i="27" s="1"/>
  <c r="L24" i="30"/>
  <c r="L59" i="30" s="1"/>
  <c r="L103" i="30" s="1"/>
  <c r="N24" i="30"/>
  <c r="N59" i="30" s="1"/>
  <c r="N103" i="30" s="1"/>
  <c r="J24" i="30"/>
  <c r="J59" i="30" s="1"/>
  <c r="J103" i="30" s="1"/>
  <c r="K24" i="30"/>
  <c r="K59" i="30" s="1"/>
  <c r="K103" i="30" s="1"/>
  <c r="R24" i="30"/>
  <c r="R59" i="30" s="1"/>
  <c r="R103" i="30" s="1"/>
  <c r="O24" i="30"/>
  <c r="O59" i="30" s="1"/>
  <c r="O103" i="30" s="1"/>
  <c r="I24" i="30"/>
  <c r="I59" i="30" s="1"/>
  <c r="I103" i="30" s="1"/>
  <c r="P24" i="30"/>
  <c r="P59" i="30" s="1"/>
  <c r="P103" i="30" s="1"/>
  <c r="M24" i="30"/>
  <c r="M59" i="30" s="1"/>
  <c r="M103" i="30" s="1"/>
  <c r="X45" i="35"/>
  <c r="K37" i="27"/>
  <c r="X69" i="35" s="1"/>
  <c r="G103" i="30"/>
  <c r="G60" i="30"/>
  <c r="H15" i="30" s="1"/>
  <c r="U48" i="35"/>
  <c r="R25" i="27"/>
  <c r="E30" i="34" s="1"/>
  <c r="H44" i="27"/>
  <c r="U76" i="35" s="1"/>
  <c r="K75" i="32"/>
  <c r="AN11" i="35"/>
  <c r="K41" i="32"/>
  <c r="X17" i="35" s="1"/>
  <c r="R45" i="27"/>
  <c r="R49" i="27" s="1"/>
  <c r="H49" i="32"/>
  <c r="U23" i="27"/>
  <c r="K60" i="32"/>
  <c r="X31" i="35" s="1"/>
  <c r="U31" i="27"/>
  <c r="AX12" i="35" s="1"/>
  <c r="K21" i="27"/>
  <c r="X59" i="35" s="1"/>
  <c r="H59" i="30"/>
  <c r="S21" i="30"/>
  <c r="Q59" i="30"/>
  <c r="Q103" i="30" s="1"/>
  <c r="R87" i="27" l="1"/>
  <c r="R37" i="27" s="1"/>
  <c r="R38" i="27" s="1"/>
  <c r="R27" i="27"/>
  <c r="K60" i="27"/>
  <c r="K61" i="27" s="1"/>
  <c r="AX14" i="35"/>
  <c r="AX13" i="35"/>
  <c r="R36" i="27"/>
  <c r="AU17" i="35" s="1"/>
  <c r="AU16" i="35"/>
  <c r="U23" i="35"/>
  <c r="H60" i="30"/>
  <c r="E51" i="34"/>
  <c r="E5" i="34"/>
  <c r="U46" i="27"/>
  <c r="H52" i="34" s="1"/>
  <c r="X41" i="35"/>
  <c r="E53" i="34"/>
  <c r="H38" i="32"/>
  <c r="G104" i="30"/>
  <c r="S24" i="30"/>
  <c r="H103" i="30"/>
  <c r="S103" i="30" s="1"/>
  <c r="S59" i="30"/>
  <c r="R29" i="27" l="1"/>
  <c r="R30" i="27" s="1"/>
  <c r="AU11" i="35" s="1"/>
  <c r="AU19" i="35"/>
  <c r="AU18" i="35"/>
  <c r="AN18" i="35"/>
  <c r="K28" i="27"/>
  <c r="X62" i="35" s="1"/>
  <c r="AN19" i="35"/>
  <c r="S50" i="27"/>
  <c r="U15" i="35"/>
  <c r="H51" i="32"/>
  <c r="H104" i="30"/>
  <c r="I15" i="30"/>
  <c r="I60" i="30" s="1"/>
  <c r="J15" i="30" s="1"/>
  <c r="J60" i="30" s="1"/>
  <c r="R42" i="27" l="1"/>
  <c r="R43" i="27" s="1"/>
  <c r="R28" i="27"/>
  <c r="AU9" i="35" s="1"/>
  <c r="AU10" i="35"/>
  <c r="S51" i="27"/>
  <c r="S52" i="27"/>
  <c r="AU8" i="35"/>
  <c r="U24" i="35"/>
  <c r="E4" i="34"/>
  <c r="I104" i="30"/>
  <c r="I39" i="27"/>
  <c r="V71" i="35" s="1"/>
  <c r="K15" i="30"/>
  <c r="K60" i="30" s="1"/>
  <c r="J104" i="30"/>
  <c r="I41" i="27" l="1"/>
  <c r="V73" i="35" s="1"/>
  <c r="I59" i="32"/>
  <c r="D128" i="29"/>
  <c r="D126" i="29" s="1"/>
  <c r="K104" i="30"/>
  <c r="L15" i="30"/>
  <c r="L60" i="30" s="1"/>
  <c r="J58" i="32" l="1"/>
  <c r="W29" i="35" s="1"/>
  <c r="I56" i="32"/>
  <c r="S76" i="27" s="1"/>
  <c r="V30" i="35"/>
  <c r="I42" i="27"/>
  <c r="L104" i="30"/>
  <c r="M15" i="30"/>
  <c r="M60" i="30" s="1"/>
  <c r="S77" i="27" l="1"/>
  <c r="S82" i="27" s="1"/>
  <c r="S16" i="27" s="1"/>
  <c r="T75" i="27"/>
  <c r="I43" i="27"/>
  <c r="V75" i="35" s="1"/>
  <c r="V74" i="35"/>
  <c r="V27" i="35"/>
  <c r="I98" i="32"/>
  <c r="N15" i="30"/>
  <c r="N60" i="30" s="1"/>
  <c r="M104" i="30"/>
  <c r="S35" i="27" l="1"/>
  <c r="AV16" i="35" s="1"/>
  <c r="I44" i="27"/>
  <c r="V76" i="35" s="1"/>
  <c r="S25" i="27"/>
  <c r="F30" i="34" s="1"/>
  <c r="I49" i="32"/>
  <c r="S45" i="27"/>
  <c r="S49" i="27" s="1"/>
  <c r="V48" i="35"/>
  <c r="N104" i="30"/>
  <c r="O15" i="30"/>
  <c r="O60" i="30" s="1"/>
  <c r="S87" i="27" l="1"/>
  <c r="S37" i="27" s="1"/>
  <c r="S38" i="27" s="1"/>
  <c r="S27" i="27"/>
  <c r="V23" i="35"/>
  <c r="S36" i="27"/>
  <c r="AV17" i="35" s="1"/>
  <c r="F51" i="34"/>
  <c r="F53" i="34"/>
  <c r="I38" i="32"/>
  <c r="F5" i="34"/>
  <c r="O104" i="30"/>
  <c r="P15" i="30"/>
  <c r="P60" i="30" s="1"/>
  <c r="S28" i="27" l="1"/>
  <c r="AV9" i="35" s="1"/>
  <c r="S29" i="27"/>
  <c r="S30" i="27" s="1"/>
  <c r="AV11" i="35" s="1"/>
  <c r="AV19" i="35"/>
  <c r="AV18" i="35"/>
  <c r="I51" i="32"/>
  <c r="V15" i="35"/>
  <c r="T50" i="27"/>
  <c r="T52" i="27" s="1"/>
  <c r="Q15" i="30"/>
  <c r="Q60" i="30" s="1"/>
  <c r="P104" i="30"/>
  <c r="S42" i="27" l="1"/>
  <c r="S43" i="27" s="1"/>
  <c r="AV8" i="35"/>
  <c r="AV10" i="35"/>
  <c r="V24" i="35"/>
  <c r="F4" i="34"/>
  <c r="J39" i="27"/>
  <c r="W71" i="35" s="1"/>
  <c r="T51" i="27"/>
  <c r="Q104" i="30"/>
  <c r="R15" i="30"/>
  <c r="S40" i="27"/>
  <c r="S41" i="27" s="1"/>
  <c r="R60" i="30" l="1"/>
  <c r="R104" i="30" s="1"/>
  <c r="J41" i="27"/>
  <c r="E128" i="29"/>
  <c r="E126" i="29" s="1"/>
  <c r="J59" i="32"/>
  <c r="J42" i="27" l="1"/>
  <c r="W74" i="35" s="1"/>
  <c r="W73" i="35"/>
  <c r="J56" i="32"/>
  <c r="T76" i="27" s="1"/>
  <c r="K58" i="32"/>
  <c r="X29" i="35" s="1"/>
  <c r="W30" i="35"/>
  <c r="U75" i="27" l="1"/>
  <c r="T77" i="27"/>
  <c r="T82" i="27" s="1"/>
  <c r="T16" i="27" s="1"/>
  <c r="J43" i="27"/>
  <c r="W75" i="35" s="1"/>
  <c r="W27" i="35"/>
  <c r="J98" i="32"/>
  <c r="T35" i="27" l="1"/>
  <c r="AW16" i="35" s="1"/>
  <c r="J44" i="27"/>
  <c r="W76" i="35" s="1"/>
  <c r="W48" i="35"/>
  <c r="J49" i="32"/>
  <c r="T45" i="27"/>
  <c r="T87" i="27" l="1"/>
  <c r="T37" i="27" s="1"/>
  <c r="T38" i="27" s="1"/>
  <c r="AW19" i="35" s="1"/>
  <c r="T27" i="27"/>
  <c r="T36" i="27"/>
  <c r="AW17" i="35" s="1"/>
  <c r="G5" i="34"/>
  <c r="T25" i="27"/>
  <c r="G30" i="34" s="1"/>
  <c r="T49" i="27"/>
  <c r="G51" i="34"/>
  <c r="J38" i="32"/>
  <c r="T29" i="27" s="1"/>
  <c r="T30" i="27" s="1"/>
  <c r="AW11" i="35" s="1"/>
  <c r="W23" i="35"/>
  <c r="AW18" i="35" l="1"/>
  <c r="AW10" i="35"/>
  <c r="J51" i="32"/>
  <c r="W15" i="35"/>
  <c r="U50" i="27"/>
  <c r="U52" i="27" s="1"/>
  <c r="G53" i="34"/>
  <c r="T42" i="27" l="1"/>
  <c r="T28" i="27"/>
  <c r="AW9" i="35" s="1"/>
  <c r="AW8" i="35"/>
  <c r="W24" i="35"/>
  <c r="G4" i="34"/>
  <c r="U51" i="27"/>
  <c r="K39" i="27"/>
  <c r="T43" i="27" l="1"/>
  <c r="K41" i="27"/>
  <c r="X71" i="35"/>
  <c r="K59" i="32"/>
  <c r="K42" i="27" l="1"/>
  <c r="X74" i="35" s="1"/>
  <c r="X73" i="35"/>
  <c r="X30" i="35"/>
  <c r="K56" i="32"/>
  <c r="U76" i="27" s="1"/>
  <c r="U77" i="27" s="1"/>
  <c r="U82" i="27" s="1"/>
  <c r="U16" i="27" s="1"/>
  <c r="X27" i="35" l="1"/>
  <c r="K98" i="32"/>
  <c r="K43" i="27"/>
  <c r="X75" i="35" s="1"/>
  <c r="U35" i="27" l="1"/>
  <c r="AX16" i="35" s="1"/>
  <c r="K44" i="27"/>
  <c r="X76" i="35" s="1"/>
  <c r="U45" i="27"/>
  <c r="X48" i="35"/>
  <c r="K49" i="32"/>
  <c r="U87" i="27" l="1"/>
  <c r="U37" i="27" s="1"/>
  <c r="U38" i="27" s="1"/>
  <c r="AX19" i="35" s="1"/>
  <c r="U27" i="27"/>
  <c r="U36" i="27"/>
  <c r="AX17" i="35" s="1"/>
  <c r="H5" i="34"/>
  <c r="U25" i="27"/>
  <c r="H30" i="34" s="1"/>
  <c r="X23" i="35"/>
  <c r="K38" i="32"/>
  <c r="U29" i="27" s="1"/>
  <c r="U30" i="27" s="1"/>
  <c r="AX11" i="35" s="1"/>
  <c r="U49" i="27"/>
  <c r="H53" i="34" s="1"/>
  <c r="H51" i="34"/>
  <c r="AX18" i="35" l="1"/>
  <c r="AX10" i="35"/>
  <c r="U28" i="27"/>
  <c r="AX9" i="35" s="1"/>
  <c r="K51" i="32"/>
  <c r="X15" i="35"/>
  <c r="U42" i="27" l="1"/>
  <c r="U43" i="27" s="1"/>
  <c r="AX8" i="35"/>
  <c r="H4" i="34"/>
  <c r="M98" i="32"/>
  <c r="M51" i="32" s="1"/>
  <c r="X24"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 Järvinen</author>
    <author>Företagstolken</author>
  </authors>
  <commentList>
    <comment ref="C20" authorId="0" shapeId="0" xr:uid="{69D6CB48-B864-44F6-9AE8-B4AC42380391}">
      <text>
        <r>
          <rPr>
            <sz val="10"/>
            <color indexed="81"/>
            <rFont val="Tahoma"/>
            <family val="2"/>
          </rPr>
          <t>Här skrivas endast</t>
        </r>
        <r>
          <rPr>
            <b/>
            <sz val="10"/>
            <color indexed="81"/>
            <rFont val="Tahoma"/>
            <family val="2"/>
          </rPr>
          <t xml:space="preserve"> Moms-avdragbara investeringar! </t>
        </r>
        <r>
          <rPr>
            <sz val="10"/>
            <color indexed="81"/>
            <rFont val="Tahoma"/>
            <family val="2"/>
          </rPr>
          <t>Hälso- och socialbransch samt vid företagsförvärv Moms 0 %!</t>
        </r>
        <r>
          <rPr>
            <b/>
            <i/>
            <sz val="10"/>
            <color indexed="81"/>
            <rFont val="Tahoma"/>
            <family val="2"/>
          </rPr>
          <t xml:space="preserve"> 
</t>
        </r>
        <r>
          <rPr>
            <sz val="10"/>
            <color indexed="81"/>
            <rFont val="Tahoma"/>
            <family val="2"/>
          </rPr>
          <t xml:space="preserve">I punkt 3 skrivas investeringar Moms 0 %. </t>
        </r>
      </text>
    </comment>
    <comment ref="D22" authorId="1" shapeId="0" xr:uid="{BB76A285-72CB-4BE3-9245-389DB035BCC2}">
      <text>
        <r>
          <rPr>
            <sz val="10"/>
            <color indexed="81"/>
            <rFont val="Tahoma"/>
            <family val="2"/>
          </rPr>
          <t>Mervärdesskattesats 
- 24 % Allmän 
- 0 %, om företagets bransch är hälso- och socialvård eller 
  finansierings- och försäkringstjänster.
- 0 %, om företagets årsomsättning är under 15 000 Euro.
- 0 % vid förvärv av företagsverksamheten</t>
        </r>
      </text>
    </comment>
    <comment ref="C24" authorId="0" shapeId="0" xr:uid="{0B01D878-3C21-47A5-9103-AB7FA4842809}">
      <text>
        <r>
          <rPr>
            <sz val="10"/>
            <color indexed="81"/>
            <rFont val="Tahoma"/>
            <family val="2"/>
          </rPr>
          <t>Här skrivas endast</t>
        </r>
        <r>
          <rPr>
            <b/>
            <i/>
            <sz val="10"/>
            <color indexed="81"/>
            <rFont val="Tahoma"/>
            <family val="2"/>
          </rPr>
          <t xml:space="preserve"> </t>
        </r>
        <r>
          <rPr>
            <b/>
            <sz val="10"/>
            <color indexed="81"/>
            <rFont val="Tahoma"/>
            <family val="2"/>
          </rPr>
          <t>Moms 0 % investeringar.</t>
        </r>
        <r>
          <rPr>
            <b/>
            <i/>
            <sz val="10"/>
            <color indexed="81"/>
            <rFont val="Tahoma"/>
            <family val="2"/>
          </rPr>
          <t xml:space="preserve"> </t>
        </r>
        <r>
          <rPr>
            <sz val="10"/>
            <color indexed="81"/>
            <rFont val="Tahoma"/>
            <family val="2"/>
          </rPr>
          <t xml:space="preserve">Hälso- och socialbransch samt vid företagsförvärv och/eller t.ex. stuga för företagets personal, Moms  0 %. </t>
        </r>
      </text>
    </comment>
    <comment ref="C27" authorId="0" shapeId="0" xr:uid="{B08DD0F3-5136-4EF1-A3FE-CDAE640771D6}">
      <text>
        <r>
          <rPr>
            <sz val="10"/>
            <color indexed="81"/>
            <rFont val="Tahoma"/>
            <family val="2"/>
          </rPr>
          <t>Anskaffningar, av vilka Moms kan avdrags. Hälso- och socialbransch samt vid företagsförvärv Moms  0 %! Använd punkt 5.</t>
        </r>
      </text>
    </comment>
    <comment ref="D27" authorId="0" shapeId="0" xr:uid="{00000000-0006-0000-0100-000003000000}">
      <text>
        <r>
          <rPr>
            <sz val="10"/>
            <color indexed="81"/>
            <rFont val="Tahoma"/>
            <family val="2"/>
          </rPr>
          <t>Vid bytesaffär belopp av mellangift!</t>
        </r>
      </text>
    </comment>
    <comment ref="D28" authorId="1" shapeId="0" xr:uid="{24CEB669-C3A6-4E4B-AD46-9B393B302677}">
      <text>
        <r>
          <rPr>
            <sz val="10"/>
            <color indexed="81"/>
            <rFont val="Tahoma"/>
            <family val="2"/>
          </rPr>
          <t>Mervärdesskattesats 
- 24 % Allmän 
- 0 %, om företagets bransch är hälso- och socialvård eller 
  finansierings- och försäkringstjänster.
- 0 %, om företagets årsomsättning är under 15 000 Euro.
- 0 % vid förvärv av företagsverksamheten</t>
        </r>
      </text>
    </comment>
    <comment ref="C30" authorId="0" shapeId="0" xr:uid="{0D965AE3-35A6-432F-95A6-58DE74E3B3DF}">
      <text>
        <r>
          <rPr>
            <sz val="10"/>
            <color indexed="81"/>
            <rFont val="Tahoma"/>
            <family val="2"/>
          </rPr>
          <t>Här endast</t>
        </r>
        <r>
          <rPr>
            <b/>
            <sz val="10"/>
            <color indexed="81"/>
            <rFont val="Tahoma"/>
            <family val="2"/>
          </rPr>
          <t xml:space="preserve"> investeringar Moms 0 %.</t>
        </r>
        <r>
          <rPr>
            <b/>
            <i/>
            <sz val="10"/>
            <color indexed="81"/>
            <rFont val="Tahoma"/>
            <family val="2"/>
          </rPr>
          <t xml:space="preserve"> </t>
        </r>
        <r>
          <rPr>
            <sz val="10"/>
            <color indexed="81"/>
            <rFont val="Tahoma"/>
            <family val="2"/>
          </rPr>
          <t xml:space="preserve">Hälso- och socialbransch, anskaffningar från utomlands eller från privata personer samt vid företagsförvärv och/eller t.ex. inventarier för företagets personal. </t>
        </r>
      </text>
    </comment>
    <comment ref="D30" authorId="0" shapeId="0" xr:uid="{84DE0097-F3A4-4208-85D0-72D97FAA78C9}">
      <text>
        <r>
          <rPr>
            <sz val="10"/>
            <color indexed="81"/>
            <rFont val="Tahoma"/>
            <family val="2"/>
          </rPr>
          <t>Vid bytesaffär belopp av mellangift!</t>
        </r>
      </text>
    </comment>
    <comment ref="C32" authorId="0" shapeId="0" xr:uid="{5348E3F0-E70A-43AC-981D-A091EDBB1C37}">
      <text>
        <r>
          <rPr>
            <sz val="10"/>
            <color indexed="81"/>
            <rFont val="Tahoma"/>
            <family val="2"/>
          </rPr>
          <t xml:space="preserve">- Asfaltbeläggning, täckdikning av ett tomt, 
 </t>
        </r>
        <r>
          <rPr>
            <b/>
            <sz val="10"/>
            <color indexed="81"/>
            <rFont val="Tahoma"/>
            <family val="2"/>
          </rPr>
          <t xml:space="preserve"> som företaget äger </t>
        </r>
        <r>
          <rPr>
            <sz val="10"/>
            <color indexed="81"/>
            <rFont val="Tahoma"/>
            <family val="2"/>
          </rPr>
          <t xml:space="preserve">
- grustag mm. (avskrivning enligt förbrukning)
- varulager i början, varulager vid  
  företagsförvärv (Moms 0 %) o.d.</t>
        </r>
      </text>
    </comment>
    <comment ref="D32" authorId="0" shapeId="0" xr:uid="{3C3AB74B-3625-47F5-947E-617B7A75DD67}">
      <text>
        <r>
          <rPr>
            <sz val="10"/>
            <color indexed="81"/>
            <rFont val="Tahoma"/>
            <family val="2"/>
          </rPr>
          <t>Vid bytesaffär belopp av mellangift!</t>
        </r>
      </text>
    </comment>
    <comment ref="D33" authorId="1" shapeId="0" xr:uid="{52C0332D-E3C6-4D94-87A8-EF6FC79BC802}">
      <text>
        <r>
          <rPr>
            <sz val="10"/>
            <color indexed="81"/>
            <rFont val="Tahoma"/>
            <family val="2"/>
          </rPr>
          <t>Mervärdesskattesats 
- 24 % Allmän 
- 0 %, om företagets bransch är hälso- och socialvård eller 
  finansierings- och försäkringstjänster.
- 0 %, om företagets årsomsättning är under 15 000 Euro.
- 0 % vid förvärv av företagsverksamheten</t>
        </r>
      </text>
    </comment>
    <comment ref="C35" authorId="0" shapeId="0" xr:uid="{2FF4CB6C-D4FC-45FB-AC35-FE7F7FBFA1ED}">
      <text>
        <r>
          <rPr>
            <b/>
            <sz val="10"/>
            <color indexed="81"/>
            <rFont val="Tahoma"/>
            <family val="2"/>
          </rPr>
          <t xml:space="preserve">- </t>
        </r>
        <r>
          <rPr>
            <sz val="10"/>
            <color indexed="81"/>
            <rFont val="Tahoma"/>
            <family val="2"/>
          </rPr>
          <t xml:space="preserve">Patent, goodwill, varumärke osv.  
- Grundförbättring av hyres- och aktiebostad
- Vid företagsförvärv Moms 0 %
- Om utvecklingskostnaderna innehåller materialkostnader, 
  skrivs dom här (Moms 0 %). Motsvarande belopp minskas 
  i tabell 6. E2 OMSÄTTNING.  
- Om utvecklingskostnaderna innehåller lönekostnader och  
  lönebikostnader, skrivs dom här (Moms 0 %). Motsvarande 
  belopp minskas  i tabell 5. E1 VERKSAMHETSKOSTNADER.  </t>
        </r>
      </text>
    </comment>
    <comment ref="D36" authorId="1" shapeId="0" xr:uid="{AE5E2E29-8964-4BD2-A160-985F89ABEA3F}">
      <text>
        <r>
          <rPr>
            <sz val="10"/>
            <color indexed="81"/>
            <rFont val="Tahoma"/>
            <family val="2"/>
          </rPr>
          <t>Mervärdesskattesats 
- 24 % Allmän 
- 0 %, om företagets bransch är hälso- och socialvård eller 
  finansierings- och försäkringstjänster.
- 0 %, om företagets årsomsättning är under 15 000 Euro.
- 0 % vid förvärv av företagsverksamheten</t>
        </r>
      </text>
    </comment>
    <comment ref="D39" authorId="0" shapeId="0" xr:uid="{00000000-0006-0000-0100-000012000000}">
      <text>
        <r>
          <rPr>
            <sz val="10"/>
            <color indexed="81"/>
            <rFont val="Tahoma"/>
            <family val="2"/>
          </rPr>
          <t>Vid företagsförvärv anskaffning av omsättningstillgångar iakttagas som rörelsekapital. Vid försäljningsprognos måste råvarulagret iakttagas.</t>
        </r>
      </text>
    </comment>
    <comment ref="D46" authorId="0" shapeId="0" xr:uid="{00000000-0006-0000-0100-000017000000}">
      <text>
        <r>
          <rPr>
            <sz val="10"/>
            <color indexed="81"/>
            <rFont val="Tahoma"/>
            <family val="2"/>
          </rPr>
          <t>Tillägg endast ökning av aktiekapitalet! 
Aktiekapital kan också betalas med apportegendom (t.ex.. Maskin, byggnad). Egendomens värde skrivs här och tabellens övre del KAPITALBEHOV. Välj rät position!</t>
        </r>
      </text>
    </comment>
    <comment ref="E46" authorId="0" shapeId="0" xr:uid="{16BB48B4-0102-4799-84E1-3E67D9A0EA23}">
      <text>
        <r>
          <rPr>
            <sz val="10"/>
            <color indexed="81"/>
            <rFont val="Tahoma"/>
            <family val="2"/>
          </rPr>
          <t xml:space="preserve">Endast ökning av aktiekapitalet! </t>
        </r>
      </text>
    </comment>
    <comment ref="C47" authorId="0" shapeId="0" xr:uid="{00000000-0006-0000-0100-00001B000000}">
      <text>
        <r>
          <rPr>
            <sz val="10"/>
            <color indexed="81"/>
            <rFont val="Tahoma"/>
            <family val="2"/>
          </rPr>
          <t xml:space="preserve">I aktiebolaget kan placeras pengar i SVOP-fonden. Inbetalt fritt eget kapital (s.k. SVOP-fond) kan jämföras till aktiekapital. </t>
        </r>
      </text>
    </comment>
    <comment ref="D47" authorId="0" shapeId="0" xr:uid="{00000000-0006-0000-0100-00001C000000}">
      <text>
        <r>
          <rPr>
            <sz val="10"/>
            <color indexed="81"/>
            <rFont val="Tahoma"/>
            <family val="2"/>
          </rPr>
          <t>Endast ökning i SVOP-fonden! Minskning av SVOP-fonden skrivs i tabell 3. T3 BALANS rad 61.</t>
        </r>
      </text>
    </comment>
    <comment ref="C49" authorId="0" shapeId="0" xr:uid="{00000000-0006-0000-0100-000020000000}">
      <text>
        <r>
          <rPr>
            <b/>
            <sz val="10"/>
            <color indexed="81"/>
            <rFont val="Tahoma"/>
            <family val="2"/>
          </rPr>
          <t>Kapitallånen skrivas endast här, inte i tabell 4. T7 LÅN.</t>
        </r>
        <r>
          <rPr>
            <b/>
            <i/>
            <sz val="10"/>
            <color indexed="81"/>
            <rFont val="Tahoma"/>
            <family val="2"/>
          </rPr>
          <t xml:space="preserve"> 
</t>
        </r>
        <r>
          <rPr>
            <b/>
            <sz val="10"/>
            <color indexed="81"/>
            <rFont val="Tahoma"/>
            <family val="2"/>
          </rPr>
          <t>Skuldebrevslån av ägaren</t>
        </r>
        <r>
          <rPr>
            <b/>
            <i/>
            <sz val="10"/>
            <color indexed="81"/>
            <rFont val="Tahoma"/>
            <family val="2"/>
          </rPr>
          <t xml:space="preserve"> </t>
        </r>
        <r>
          <rPr>
            <sz val="10"/>
            <color indexed="81"/>
            <rFont val="Tahoma"/>
            <family val="2"/>
          </rPr>
          <t>kan återbetalas enligt villkor i skuldebrevet och skrivas i tabell 4. T7 LÅN.</t>
        </r>
      </text>
    </comment>
    <comment ref="D49" authorId="0" shapeId="0" xr:uid="{00000000-0006-0000-0100-000021000000}">
      <text>
        <r>
          <rPr>
            <sz val="10"/>
            <color indexed="81"/>
            <rFont val="Tahoma"/>
            <family val="2"/>
          </rPr>
          <t>Endast ökning av kapital</t>
        </r>
        <r>
          <rPr>
            <sz val="9"/>
            <color indexed="81"/>
            <rFont val="Tahoma"/>
            <family val="2"/>
          </rPr>
          <t xml:space="preserve">lån! </t>
        </r>
      </text>
    </comment>
    <comment ref="D50" authorId="0" shapeId="0" xr:uid="{00000000-0006-0000-0100-000025000000}">
      <text>
        <r>
          <rPr>
            <sz val="10"/>
            <color indexed="81"/>
            <rFont val="Tahoma"/>
            <family val="2"/>
          </rPr>
          <t>Utomstående finansierar förutsätter, att investeringen innehåller 
ca.20 % egen finansiering. Reservera beloppet här.
Utom internfinansiering finns följande penningkällor:</t>
        </r>
        <r>
          <rPr>
            <b/>
            <i/>
            <sz val="10"/>
            <color indexed="81"/>
            <rFont val="Tahoma"/>
            <family val="2"/>
          </rPr>
          <t xml:space="preserve">
</t>
        </r>
        <r>
          <rPr>
            <b/>
            <sz val="10"/>
            <color indexed="81"/>
            <rFont val="Tahoma"/>
            <family val="2"/>
          </rPr>
          <t>1)</t>
        </r>
        <r>
          <rPr>
            <sz val="10"/>
            <color indexed="81"/>
            <rFont val="Tahoma"/>
            <family val="2"/>
          </rPr>
          <t xml:space="preserve"> Långfristig skuldebrevslån</t>
        </r>
        <r>
          <rPr>
            <b/>
            <sz val="10"/>
            <color indexed="81"/>
            <rFont val="Tahoma"/>
            <family val="2"/>
          </rPr>
          <t xml:space="preserve"> av ägaren</t>
        </r>
        <r>
          <rPr>
            <sz val="10"/>
            <color indexed="81"/>
            <rFont val="Tahoma"/>
            <family val="2"/>
          </rPr>
          <t xml:space="preserve"> (tilläggas i tabell 4. T7 LÅN) 
</t>
        </r>
        <r>
          <rPr>
            <b/>
            <sz val="10"/>
            <color indexed="81"/>
            <rFont val="Tahoma"/>
            <family val="2"/>
          </rPr>
          <t>2)</t>
        </r>
        <r>
          <rPr>
            <sz val="10"/>
            <color indexed="81"/>
            <rFont val="Tahoma"/>
            <family val="2"/>
          </rPr>
          <t xml:space="preserve"> </t>
        </r>
        <r>
          <rPr>
            <b/>
            <sz val="10"/>
            <color indexed="81"/>
            <rFont val="Tahoma"/>
            <family val="2"/>
          </rPr>
          <t>Försäljning av egendom</t>
        </r>
        <r>
          <rPr>
            <sz val="10"/>
            <color indexed="81"/>
            <rFont val="Tahoma"/>
            <family val="2"/>
          </rPr>
          <t xml:space="preserve">: Vad? Lägg till beloppet i tabell 
   3. T3 BALANS/AKTIVA/BESTÅENDE AKTIVA "Minskningar under 
   räkenskapsperioden".
</t>
        </r>
        <r>
          <rPr>
            <b/>
            <sz val="10"/>
            <color indexed="81"/>
            <rFont val="Tahoma"/>
            <family val="2"/>
          </rPr>
          <t>3) Uppbärning av placeringar</t>
        </r>
        <r>
          <rPr>
            <sz val="10"/>
            <color indexed="81"/>
            <rFont val="Tahoma"/>
            <family val="2"/>
          </rPr>
          <t xml:space="preserve"> (om finns i BALANS): Lägg
    till beloppet också i 3. T3 BALANS cellen H36 - K36.
</t>
        </r>
        <r>
          <rPr>
            <b/>
            <sz val="10"/>
            <color indexed="81"/>
            <rFont val="Tahoma"/>
            <family val="2"/>
          </rPr>
          <t>Förklaras endast i Anteckningar</t>
        </r>
        <r>
          <rPr>
            <sz val="10"/>
            <color indexed="81"/>
            <rFont val="Tahoma"/>
            <family val="2"/>
          </rPr>
          <t xml:space="preserve"> punkt 12 Internfinansiering
(beloppet ingår i internfinansiering)
- andel av eget arbete och material
- uppbärning av bankdepositioner</t>
        </r>
      </text>
    </comment>
    <comment ref="J51" authorId="0" shapeId="0" xr:uid="{1ABEF034-1992-482E-903B-026F2F99CAEF}">
      <text>
        <r>
          <rPr>
            <sz val="10"/>
            <color indexed="81"/>
            <rFont val="Tahoma"/>
            <family val="2"/>
          </rPr>
          <t xml:space="preserve">En informativ tabell som visas på Utskrivningssidan. Påverkar inte beräkningen. </t>
        </r>
      </text>
    </comment>
    <comment ref="M52" authorId="0" shapeId="0" xr:uid="{5D35E4C0-5E46-434F-83D0-F4CF5057CB16}">
      <text>
        <r>
          <rPr>
            <sz val="10"/>
            <color indexed="81"/>
            <rFont val="Tahoma"/>
            <family val="2"/>
          </rPr>
          <t>Amorteringsfria åren + amortering åren, t.ex.  1+5.</t>
        </r>
      </text>
    </comment>
    <comment ref="M53" authorId="0" shapeId="0" xr:uid="{F5A37B76-E8B7-4A7A-B859-818AE42014F6}">
      <text>
        <r>
          <rPr>
            <sz val="10"/>
            <color indexed="81"/>
            <rFont val="Tahoma"/>
            <family val="2"/>
          </rPr>
          <t>Amorteringsfria åren + amortering åren, t.ex.  1+5.</t>
        </r>
      </text>
    </comment>
    <comment ref="M54" authorId="0" shapeId="0" xr:uid="{A1EB6428-0169-4AFC-958E-01FD06DD32AF}">
      <text>
        <r>
          <rPr>
            <sz val="10"/>
            <color indexed="81"/>
            <rFont val="Tahoma"/>
            <family val="2"/>
          </rPr>
          <t>Amorteringsfria åren + amortering åren, t.ex.  1+5.</t>
        </r>
      </text>
    </comment>
    <comment ref="M55" authorId="0" shapeId="0" xr:uid="{EEA34491-F40F-4C9D-A5BE-60FCB4FDEA9F}">
      <text>
        <r>
          <rPr>
            <sz val="10"/>
            <color indexed="81"/>
            <rFont val="Tahoma"/>
            <family val="2"/>
          </rPr>
          <t>Amorteringsfria åren + amortering åren, t.ex.  1+5.</t>
        </r>
      </text>
    </comment>
    <comment ref="D56" authorId="0" shapeId="0" xr:uid="{6EC94691-CAF5-440E-BB2B-07BB89456D54}">
      <text>
        <r>
          <rPr>
            <sz val="10"/>
            <color indexed="81"/>
            <rFont val="Tahoma"/>
            <family val="2"/>
          </rPr>
          <t xml:space="preserve">Leasingfinansieringens andel högst 80 % av investeringsvärdet. Skriv finansieringsvärdet, inte leasingräntans storlek! Årliga leasingräntorna skrivs i tabell 5. E1 VERKSAMHETSKOSTNADER, rad 75 (3.5 Övriga maskin- och apparaturkostnader/leasingkostnader). </t>
        </r>
      </text>
    </comment>
    <comment ref="D57" authorId="0" shapeId="0" xr:uid="{73B3FF8B-065F-4C35-8621-C077D1920A44}">
      <text>
        <r>
          <rPr>
            <sz val="10"/>
            <color indexed="81"/>
            <rFont val="Tahoma"/>
            <family val="2"/>
          </rPr>
          <t>Leasingfinansieringens andel högst 80 % av investeringsvärdet. Skriv finansieringsvärdet, inte leasingräntans storlek! Årliga leasingräntorna skrivs i tabell 5. E1 VERKSAMHETSKOSTNADER, rad 119 (3.19 Leasingkostnader, privatbruk).</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Ari Järvinen</author>
    <author>Jadelcons</author>
  </authors>
  <commentList>
    <comment ref="H29" authorId="0" shapeId="0" xr:uid="{00000000-0006-0000-0D00-000001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M29" authorId="0" shapeId="0" xr:uid="{00000000-0006-0000-0D00-000002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S29" authorId="0" shapeId="0" xr:uid="{00000000-0006-0000-0D00-000003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Y29" authorId="0" shapeId="0" xr:uid="{00000000-0006-0000-0D00-000004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E29" authorId="0" shapeId="0" xr:uid="{00000000-0006-0000-0D00-000005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K29" authorId="0" shapeId="0" xr:uid="{00000000-0006-0000-0D00-000006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H58" authorId="0" shapeId="0" xr:uid="{00000000-0006-0000-0D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M58" authorId="0" shapeId="0" xr:uid="{00000000-0006-0000-0D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S58" authorId="0" shapeId="0" xr:uid="{00000000-0006-0000-0D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Y58" authorId="0" shapeId="0" xr:uid="{00000000-0006-0000-0D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E58" authorId="0" shapeId="0" xr:uid="{00000000-0006-0000-0D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K58" authorId="0" shapeId="0" xr:uid="{00000000-0006-0000-0D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U72" authorId="1" shapeId="0" xr:uid="{00000000-0006-0000-0D00-00000D000000}">
      <text>
        <r>
          <rPr>
            <sz val="9"/>
            <color indexed="81"/>
            <rFont val="Tahoma"/>
            <family val="2"/>
          </rPr>
          <t xml:space="preserve">
Kuukausierien määrä vuoden alusta liaina-ajan loppuun.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Ari Järvinen</author>
    <author>Henri Järvinen</author>
  </authors>
  <commentList>
    <comment ref="I8" authorId="0" shapeId="0" xr:uid="{A7371D59-46FE-4ACA-BE5E-DB5AB8675EBD}">
      <text>
        <r>
          <rPr>
            <sz val="10"/>
            <color indexed="81"/>
            <rFont val="Tahoma"/>
            <family val="2"/>
          </rPr>
          <t>Året förflyttar sig från tabell
1. T1 INVESTERINGSPLAN !</t>
        </r>
      </text>
    </comment>
    <comment ref="I10" authorId="0" shapeId="0" xr:uid="{5E6FA0D2-F33C-4367-A6C7-CE1CD01489DF}">
      <text>
        <r>
          <rPr>
            <sz val="10"/>
            <color indexed="81"/>
            <rFont val="Tahoma"/>
            <family val="2"/>
          </rPr>
          <t>Om räkenskapsperioden är annan än 12 månader ( 6 - 18 månader), förändra beloppen motsvarande. Observera följande perioden.</t>
        </r>
      </text>
    </comment>
    <comment ref="I11" authorId="1" shapeId="0" xr:uid="{00000000-0006-0000-0200-000001000000}">
      <text>
        <r>
          <rPr>
            <sz val="10"/>
            <color indexed="81"/>
            <rFont val="Tahoma"/>
            <family val="2"/>
          </rPr>
          <t>Omsättningarna för prognosåren fylls i tabell 6. E2, ifyllnadsordning skede 6.</t>
        </r>
      </text>
    </comment>
    <comment ref="C12" authorId="0" shapeId="0" xr:uid="{00000000-0006-0000-0200-000002000000}">
      <text>
        <r>
          <rPr>
            <sz val="10"/>
            <color indexed="81"/>
            <rFont val="Tahoma"/>
            <family val="2"/>
          </rPr>
          <t>Övriga rörelseintäkter är bl.a. hyresintäkter, erhållna provisioner, ersättningar för administration, databehandling osv. ifall uthyrning eller nämnda tjänster inte utgör företagets egentliga verksamhetsområde.</t>
        </r>
      </text>
    </comment>
    <comment ref="E15" authorId="0" shapeId="0" xr:uid="{00000000-0006-0000-0200-000007000000}">
      <text>
        <r>
          <rPr>
            <sz val="10"/>
            <color indexed="81"/>
            <rFont val="Tahoma"/>
            <family val="2"/>
          </rPr>
          <t>Skriv företecken minus.</t>
        </r>
      </text>
    </comment>
    <comment ref="G15" authorId="0" shapeId="0" xr:uid="{09C088A3-D88F-48B7-ACEB-1A8A8C077C22}">
      <text>
        <r>
          <rPr>
            <sz val="10"/>
            <color indexed="81"/>
            <rFont val="Tahoma"/>
            <family val="2"/>
          </rPr>
          <t>Skriv företecken minus.</t>
        </r>
      </text>
    </comment>
    <comment ref="C16" authorId="0" shapeId="0" xr:uid="{10E98077-A6F2-4FC5-945B-2250871C76D5}">
      <text>
        <r>
          <rPr>
            <sz val="10"/>
            <color indexed="81"/>
            <rFont val="Tahoma"/>
            <family val="2"/>
          </rPr>
          <t>Köpta tjänster, vilka har inverkan till  omsättning. T.ex. anskaffningar från underleverantörer, hyror av arbetskraft för produktion.</t>
        </r>
      </text>
    </comment>
    <comment ref="E16" authorId="0" shapeId="0" xr:uid="{89179475-9C94-4864-B006-AF7C6C10349F}">
      <text>
        <r>
          <rPr>
            <sz val="10"/>
            <color indexed="81"/>
            <rFont val="Tahoma"/>
            <family val="2"/>
          </rPr>
          <t>Skriv företecken minus.</t>
        </r>
      </text>
    </comment>
    <comment ref="G16" authorId="0" shapeId="0" xr:uid="{A3C19FBC-2B6D-412F-9F0F-8B2091C498CC}">
      <text>
        <r>
          <rPr>
            <sz val="10"/>
            <color indexed="81"/>
            <rFont val="Tahoma"/>
            <family val="2"/>
          </rPr>
          <t>Skriv företecken minus.</t>
        </r>
      </text>
    </comment>
    <comment ref="E17" authorId="0" shapeId="0" xr:uid="{52205205-A8A3-4CA3-9B4D-FA2A38F68611}">
      <text>
        <r>
          <rPr>
            <sz val="10"/>
            <color indexed="81"/>
            <rFont val="Tahoma"/>
            <family val="2"/>
          </rPr>
          <t>Skriv företecken minus.</t>
        </r>
      </text>
    </comment>
    <comment ref="G17" authorId="0" shapeId="0" xr:uid="{862CE8B7-87F8-4CE3-9092-CC1100087C19}">
      <text>
        <r>
          <rPr>
            <sz val="10"/>
            <color indexed="81"/>
            <rFont val="Tahoma"/>
            <family val="2"/>
          </rPr>
          <t>Skriv företecken minus.</t>
        </r>
      </text>
    </comment>
    <comment ref="I17" authorId="0" shapeId="0" xr:uid="{00000000-0006-0000-0200-00000D000000}">
      <text>
        <r>
          <rPr>
            <sz val="10"/>
            <color indexed="81"/>
            <rFont val="Tahoma"/>
            <family val="2"/>
          </rPr>
          <t>Innehåller också bikostnader av semesterlöner.
I bokföring personalkostnaderna innehåller arbetstagarnas kalkylmässiga semesterlöner, varför cellens belopp är större än personalkostnaderna i tabell 5. E1 KOSTNADER.</t>
        </r>
      </text>
    </comment>
    <comment ref="E18" authorId="0" shapeId="0" xr:uid="{87868D90-AA60-41D0-80BC-617DF7A2606F}">
      <text>
        <r>
          <rPr>
            <sz val="10"/>
            <color indexed="81"/>
            <rFont val="Tahoma"/>
            <family val="2"/>
          </rPr>
          <t>Skriv företecken minus.</t>
        </r>
      </text>
    </comment>
    <comment ref="G18" authorId="0" shapeId="0" xr:uid="{2C237647-3B93-4A71-A398-02CB6B21F411}">
      <text>
        <r>
          <rPr>
            <sz val="10"/>
            <color indexed="81"/>
            <rFont val="Tahoma"/>
            <family val="2"/>
          </rPr>
          <t>Skriv företecken minus.</t>
        </r>
      </text>
    </comment>
    <comment ref="E21" authorId="0" shapeId="0" xr:uid="{BB7F478B-0356-43C9-9038-6A2507AAE437}">
      <text>
        <r>
          <rPr>
            <sz val="10"/>
            <color indexed="81"/>
            <rFont val="Tahoma"/>
            <family val="2"/>
          </rPr>
          <t>Skriv företecken minus.</t>
        </r>
      </text>
    </comment>
    <comment ref="G21" authorId="0" shapeId="0" xr:uid="{409B8EA0-997B-4370-99D2-25EBD4EDA4A8}">
      <text>
        <r>
          <rPr>
            <sz val="10"/>
            <color indexed="81"/>
            <rFont val="Tahoma"/>
            <family val="2"/>
          </rPr>
          <t>Skriv företecken minus.</t>
        </r>
      </text>
    </comment>
    <comment ref="C23" authorId="0" shapeId="0" xr:uid="{00000000-0006-0000-0200-000012000000}">
      <text>
        <r>
          <rPr>
            <sz val="10"/>
            <color indexed="81"/>
            <rFont val="Tahoma"/>
            <family val="2"/>
          </rPr>
          <t>Till denna grupp hör följande poster från den officiella resultaträkningen: intäkter från andelar i samma koncern, intäkter från andelar i ägarintresseföretag och intäkter från övriga placeringar bland bestående aktiva.</t>
        </r>
      </text>
    </comment>
    <comment ref="E25" authorId="0" shapeId="0" xr:uid="{F3D069D6-E60A-4015-87D8-EC720E81EC8C}">
      <text>
        <r>
          <rPr>
            <sz val="10"/>
            <color indexed="81"/>
            <rFont val="Tahoma"/>
            <family val="2"/>
          </rPr>
          <t>Skriv företecken minus.</t>
        </r>
      </text>
    </comment>
    <comment ref="G25" authorId="0" shapeId="0" xr:uid="{F83B1AFA-E5C1-4095-8DB5-31D821CE281F}">
      <text>
        <r>
          <rPr>
            <sz val="10"/>
            <color indexed="81"/>
            <rFont val="Tahoma"/>
            <family val="2"/>
          </rPr>
          <t>Skriv företecken minus.</t>
        </r>
      </text>
    </comment>
    <comment ref="I27" authorId="0" shapeId="0" xr:uid="{00000000-0006-0000-0200-000015000000}">
      <text>
        <r>
          <rPr>
            <sz val="10"/>
            <color indexed="81"/>
            <rFont val="Tahoma"/>
            <family val="2"/>
          </rPr>
          <t>Formulären uträknar skatten enligt</t>
        </r>
        <r>
          <rPr>
            <b/>
            <sz val="10"/>
            <color indexed="81"/>
            <rFont val="Tahoma"/>
            <family val="2"/>
          </rPr>
          <t xml:space="preserve"> inkomstskatte-%</t>
        </r>
        <r>
          <rPr>
            <sz val="10"/>
            <color indexed="81"/>
            <rFont val="Tahoma"/>
            <family val="2"/>
          </rPr>
          <t xml:space="preserve"> och iakttager 50 % av representationsutgifter. Vid personbolagen kan man nollställa. 
</t>
        </r>
        <r>
          <rPr>
            <b/>
            <sz val="10"/>
            <color indexed="81"/>
            <rFont val="Tahoma"/>
            <family val="2"/>
          </rPr>
          <t>Vid försäljning av fastighet eller aktier</t>
        </r>
        <r>
          <rPr>
            <sz val="10"/>
            <color indexed="81"/>
            <rFont val="Tahoma"/>
            <family val="2"/>
          </rPr>
          <t xml:space="preserve"> observera överlåtelsevinst och anskaffningsutgift!</t>
        </r>
      </text>
    </comment>
    <comment ref="I28" authorId="0" shapeId="0" xr:uid="{00000000-0006-0000-0200-000019000000}">
      <text>
        <r>
          <rPr>
            <sz val="10"/>
            <color indexed="81"/>
            <rFont val="Tahoma"/>
            <family val="2"/>
          </rPr>
          <t xml:space="preserve">Skattesats 20 % för aktiebolag och andelslag. Om  nollställas, är punkt 20 TOTALRESULTAT = Den beskattningsbara inkomsten.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Ari Järvinen</author>
  </authors>
  <commentList>
    <comment ref="H15" authorId="0" shapeId="0" xr:uid="{00000000-0006-0000-0300-000001000000}">
      <text>
        <r>
          <rPr>
            <sz val="10"/>
            <color indexed="81"/>
            <rFont val="Tahoma"/>
            <family val="2"/>
          </rPr>
          <t>Från tabell 1. T1 INVESTERINGSPLAN utan bidrag.</t>
        </r>
      </text>
    </comment>
    <comment ref="M15" authorId="0" shapeId="0" xr:uid="{00000000-0006-0000-0300-000002000000}">
      <text>
        <r>
          <rPr>
            <sz val="10"/>
            <color indexed="81"/>
            <rFont val="Tahoma"/>
            <family val="2"/>
          </rPr>
          <t>T.ex. Om investering kommer att införas i början av 3. månaden, finns det 10 bruksmånader.</t>
        </r>
      </text>
    </comment>
    <comment ref="H16" authorId="0" shapeId="0" xr:uid="{21F0A9DE-4DFF-429E-9DF1-AE270E7E0C35}">
      <text>
        <r>
          <rPr>
            <b/>
            <i/>
            <sz val="10"/>
            <color indexed="81"/>
            <rFont val="Tahoma"/>
            <family val="2"/>
          </rPr>
          <t xml:space="preserve">Försäljning av nyttigheter </t>
        </r>
        <r>
          <rPr>
            <sz val="10"/>
            <color indexed="81"/>
            <rFont val="Tahoma"/>
            <family val="2"/>
          </rPr>
          <t xml:space="preserve">
Försäljningsbeloppet kommer att läggas till tabell 
T5 KASSABUDGET punkt 5. Ej mellangift i byteshandel! 
</t>
        </r>
        <r>
          <rPr>
            <b/>
            <i/>
            <sz val="10"/>
            <color indexed="81"/>
            <rFont val="Tahoma"/>
            <family val="2"/>
          </rPr>
          <t xml:space="preserve">Linjär avskrivning </t>
        </r>
        <r>
          <rPr>
            <sz val="10"/>
            <color indexed="81"/>
            <rFont val="Tahoma"/>
            <family val="2"/>
          </rPr>
          <t xml:space="preserve">
Skriv den årliga avskrivnings-% som noll och ange beloppet för linjär avskrivning på denna rad.</t>
        </r>
      </text>
    </comment>
    <comment ref="E17" authorId="0" shapeId="0" xr:uid="{00000000-0006-0000-0300-000007000000}">
      <text>
        <r>
          <rPr>
            <b/>
            <sz val="10"/>
            <color indexed="81"/>
            <rFont val="Tahoma"/>
            <family val="2"/>
          </rPr>
          <t xml:space="preserve">Högsta avskrivningar:
- </t>
        </r>
        <r>
          <rPr>
            <sz val="10"/>
            <color indexed="81"/>
            <rFont val="Tahoma"/>
            <family val="2"/>
          </rPr>
          <t xml:space="preserve">Patent, affärsvärde, goodwill, varumärke o.d. 10-25 %
- grundförbättring av hyres- och aktiebostad 10-25 %
Du kan använda </t>
        </r>
        <r>
          <rPr>
            <b/>
            <sz val="10"/>
            <color indexed="81"/>
            <rFont val="Tahoma"/>
            <family val="2"/>
          </rPr>
          <t>linjär avskrivning</t>
        </r>
        <r>
          <rPr>
            <sz val="10"/>
            <color indexed="81"/>
            <rFont val="Tahoma"/>
            <family val="2"/>
          </rPr>
          <t xml:space="preserve"> när du skriver den årliga avskrivningsprocenten till noll och anger siffran på raden "- Minskningar under räkenskapsperioden, linjär avskrivning".</t>
        </r>
      </text>
    </comment>
    <comment ref="H17" authorId="0" shapeId="0" xr:uid="{00000000-0006-0000-0300-000008000000}">
      <text>
        <r>
          <rPr>
            <sz val="10"/>
            <color indexed="81"/>
            <rFont val="Tahoma"/>
            <family val="2"/>
          </rPr>
          <t>Investeringens avskrivning för investeringsåret kan kalkyleras noggrant enligt bruksmånader eller för hela året (12 månader).</t>
        </r>
      </text>
    </comment>
    <comment ref="M17" authorId="0" shapeId="0" xr:uid="{00000000-0006-0000-0300-00000C000000}">
      <text>
        <r>
          <rPr>
            <sz val="10"/>
            <color indexed="81"/>
            <rFont val="Tahoma"/>
            <family val="2"/>
          </rPr>
          <t>Investeringens avskrivning för första året kan kalkyleras noggrant enligt bruksmånader eller för hela året (12 månader).</t>
        </r>
      </text>
    </comment>
    <comment ref="H20" authorId="0" shapeId="0" xr:uid="{F38930F6-1377-4CB4-AEF3-6AA02AF354C6}">
      <text>
        <r>
          <rPr>
            <sz val="10"/>
            <color indexed="81"/>
            <rFont val="Tahoma"/>
            <family val="2"/>
          </rPr>
          <t>Från tabell 1. T1 INVESTERINGSPLAN utan bidrag.</t>
        </r>
      </text>
    </comment>
    <comment ref="H21" authorId="0" shapeId="0" xr:uid="{20006359-C6A8-47F3-AEB7-C6BCFF0FD6E3}">
      <text>
        <r>
          <rPr>
            <b/>
            <i/>
            <sz val="10"/>
            <color indexed="81"/>
            <rFont val="Tahoma"/>
            <family val="2"/>
          </rPr>
          <t xml:space="preserve">Försäljning av nyttigheter </t>
        </r>
        <r>
          <rPr>
            <sz val="10"/>
            <color indexed="81"/>
            <rFont val="Tahoma"/>
            <family val="2"/>
          </rPr>
          <t xml:space="preserve">
Försäljningsbeloppet kommer att läggas till tabell 
T5 KASSABUDGET punkt 5. Ej mellangift i byteshandel! 
</t>
        </r>
        <r>
          <rPr>
            <b/>
            <i/>
            <sz val="10"/>
            <color indexed="81"/>
            <rFont val="Tahoma"/>
            <family val="2"/>
          </rPr>
          <t xml:space="preserve">Linjär avskrivning </t>
        </r>
        <r>
          <rPr>
            <sz val="10"/>
            <color indexed="81"/>
            <rFont val="Tahoma"/>
            <family val="2"/>
          </rPr>
          <t xml:space="preserve">
Skriv den årliga avskrivnings-% som noll och ange beloppet för linjär avskrivning på denna rad.</t>
        </r>
      </text>
    </comment>
    <comment ref="H23" authorId="0" shapeId="0" xr:uid="{910F8BD8-E80E-4309-8124-121E8ADDFC50}">
      <text>
        <r>
          <rPr>
            <sz val="10"/>
            <color indexed="81"/>
            <rFont val="Tahoma"/>
            <family val="2"/>
          </rPr>
          <t>Från tabell 1. T1 INVESTERINGSPLAN utan bidrag.</t>
        </r>
      </text>
    </comment>
    <comment ref="M23" authorId="0" shapeId="0" xr:uid="{C79EF777-F1AF-43EA-ACF5-90AEE251414A}">
      <text>
        <r>
          <rPr>
            <sz val="10"/>
            <color indexed="81"/>
            <rFont val="Tahoma"/>
            <family val="2"/>
          </rPr>
          <t>T.ex. Om investering kommer att införas i början av 3. månaden, finns det 10 bruksmånader.</t>
        </r>
      </text>
    </comment>
    <comment ref="H24" authorId="0" shapeId="0" xr:uid="{1AC00DCC-AC08-4502-8348-4F079AB4CFF0}">
      <text>
        <r>
          <rPr>
            <b/>
            <i/>
            <sz val="10"/>
            <color indexed="81"/>
            <rFont val="Tahoma"/>
            <family val="2"/>
          </rPr>
          <t xml:space="preserve">Försäljning av nyttigheter </t>
        </r>
        <r>
          <rPr>
            <sz val="10"/>
            <color indexed="81"/>
            <rFont val="Tahoma"/>
            <family val="2"/>
          </rPr>
          <t xml:space="preserve">
Försäljningsbeloppet kommer att läggas till tabell 
T5 KASSABUDGET punkt 5. Ej mellangift i byteshandel! 
</t>
        </r>
        <r>
          <rPr>
            <b/>
            <i/>
            <sz val="10"/>
            <color indexed="81"/>
            <rFont val="Tahoma"/>
            <family val="2"/>
          </rPr>
          <t xml:space="preserve">Linjär avskrivning </t>
        </r>
        <r>
          <rPr>
            <sz val="10"/>
            <color indexed="81"/>
            <rFont val="Tahoma"/>
            <family val="2"/>
          </rPr>
          <t xml:space="preserve">
Skriv den årliga avskrivnings-% som noll och ange beloppet för linjär avskrivning på denna rad.</t>
        </r>
      </text>
    </comment>
    <comment ref="E25" authorId="0" shapeId="0" xr:uid="{00000000-0006-0000-0300-000018000000}">
      <text>
        <r>
          <rPr>
            <b/>
            <sz val="10"/>
            <color indexed="81"/>
            <rFont val="Tahoma"/>
            <family val="2"/>
          </rPr>
          <t>Högsta avskrivningar</t>
        </r>
        <r>
          <rPr>
            <sz val="10"/>
            <color indexed="81"/>
            <rFont val="Tahoma"/>
            <family val="2"/>
          </rPr>
          <t xml:space="preserve">
- produktionsbyggnader, butiker 7 %
- bostads-, kontors- o.d. byggnader 4 %
- behållare, lätta konstruktioner 20 %
Du kan använda </t>
        </r>
        <r>
          <rPr>
            <b/>
            <sz val="10"/>
            <color indexed="81"/>
            <rFont val="Tahoma"/>
            <family val="2"/>
          </rPr>
          <t>linjär avskrivning</t>
        </r>
        <r>
          <rPr>
            <sz val="10"/>
            <color indexed="81"/>
            <rFont val="Tahoma"/>
            <family val="2"/>
          </rPr>
          <t xml:space="preserve"> när du skriver den årliga avskrivningsprocenten till noll och anger siffran på raden "- Minskningar under räkenskapsperioden, linjär avskrivning". </t>
        </r>
      </text>
    </comment>
    <comment ref="H25" authorId="0" shapeId="0" xr:uid="{BD20C422-B0DD-44D6-AA01-3131F52D8EAB}">
      <text>
        <r>
          <rPr>
            <sz val="10"/>
            <color indexed="81"/>
            <rFont val="Tahoma"/>
            <family val="2"/>
          </rPr>
          <t>Investeringens avskrivning för investeringsåret kan kalkyleras noggrant enligt bruksmånader eller för hela året (12 månader).</t>
        </r>
      </text>
    </comment>
    <comment ref="M25" authorId="0" shapeId="0" xr:uid="{B6CD087C-1135-481A-AA61-6E0DD124FEB6}">
      <text>
        <r>
          <rPr>
            <sz val="10"/>
            <color indexed="81"/>
            <rFont val="Tahoma"/>
            <family val="2"/>
          </rPr>
          <t>Investeringens avskrivning för första året kan kalkyleras noggrant enligt bruksmånader eller för hela året (12 månader).</t>
        </r>
      </text>
    </comment>
    <comment ref="H27" authorId="0" shapeId="0" xr:uid="{00000000-0006-0000-0300-00001E000000}">
      <text>
        <r>
          <rPr>
            <sz val="10"/>
            <color indexed="81"/>
            <rFont val="Tahoma"/>
            <family val="2"/>
          </rPr>
          <t>Från tabell 1. T1 INVESTERINGSPLAN punkter 4 och 5 utan bidrag, Moms-återbäring och leasingfinansiering.</t>
        </r>
      </text>
    </comment>
    <comment ref="M27" authorId="0" shapeId="0" xr:uid="{743A0B6F-2D47-4D2C-8FB1-0DF1314BD8FD}">
      <text>
        <r>
          <rPr>
            <sz val="10"/>
            <color indexed="81"/>
            <rFont val="Tahoma"/>
            <family val="2"/>
          </rPr>
          <t>T.ex. Om investering kommer att införas i början av 3. månaden, finns det 10 bruksmånader.</t>
        </r>
      </text>
    </comment>
    <comment ref="H28" authorId="0" shapeId="0" xr:uid="{7183A15A-C343-4418-B1A5-37D116010702}">
      <text>
        <r>
          <rPr>
            <b/>
            <i/>
            <sz val="10"/>
            <color indexed="81"/>
            <rFont val="Tahoma"/>
            <family val="2"/>
          </rPr>
          <t xml:space="preserve">Försäljning av nyttigheter </t>
        </r>
        <r>
          <rPr>
            <sz val="10"/>
            <color indexed="81"/>
            <rFont val="Tahoma"/>
            <family val="2"/>
          </rPr>
          <t xml:space="preserve">
Försäljningsbeloppet kommer att läggas till tabell 
T5 KASSABUDGET punkt 5. Ej mellangift i byteshandel! 
</t>
        </r>
        <r>
          <rPr>
            <b/>
            <i/>
            <sz val="10"/>
            <color indexed="81"/>
            <rFont val="Tahoma"/>
            <family val="2"/>
          </rPr>
          <t xml:space="preserve">Linjär avskrivning </t>
        </r>
        <r>
          <rPr>
            <sz val="10"/>
            <color indexed="81"/>
            <rFont val="Tahoma"/>
            <family val="2"/>
          </rPr>
          <t xml:space="preserve">
Skriv den årliga avskrivnings-% som noll och ange beloppet för linjär avskrivning på denna rad.</t>
        </r>
      </text>
    </comment>
    <comment ref="E29" authorId="0" shapeId="0" xr:uid="{00000000-0006-0000-0300-000024000000}">
      <text>
        <r>
          <rPr>
            <b/>
            <sz val="10"/>
            <color indexed="81"/>
            <rFont val="Tahoma"/>
            <family val="2"/>
          </rPr>
          <t xml:space="preserve">Högsta avskrivningar </t>
        </r>
        <r>
          <rPr>
            <sz val="10"/>
            <color indexed="81"/>
            <rFont val="Tahoma"/>
            <family val="2"/>
          </rPr>
          <t xml:space="preserve">
- Maskiner och anläggningar 25 % (50 % amortering av nya 
  investeringar i åren 2020-2023). Gäller endast nya 
  investeringar, så beräkna genomsnittlig avskrivningsprocent. 
- undantag fordon i yrkestrafik
Du kan använda</t>
        </r>
        <r>
          <rPr>
            <b/>
            <sz val="10"/>
            <color indexed="81"/>
            <rFont val="Tahoma"/>
            <family val="2"/>
          </rPr>
          <t xml:space="preserve"> linjär avskrivning</t>
        </r>
        <r>
          <rPr>
            <sz val="10"/>
            <color indexed="81"/>
            <rFont val="Tahoma"/>
            <family val="2"/>
          </rPr>
          <t xml:space="preserve"> när du skriver den årliga avskrivningsprocenten till noll och anger siffran på raden "- Minskningar under räkenskapsperioden, linjär avskrivning". </t>
        </r>
      </text>
    </comment>
    <comment ref="H29" authorId="0" shapeId="0" xr:uid="{5508B88E-E241-40C9-B475-9026A859868A}">
      <text>
        <r>
          <rPr>
            <sz val="10"/>
            <color indexed="81"/>
            <rFont val="Tahoma"/>
            <family val="2"/>
          </rPr>
          <t>Investeringens avskrivning för investeringsåret kan kalkyleras noggrant enligt bruksmånader eller för hela året (12 månader).</t>
        </r>
      </text>
    </comment>
    <comment ref="M29" authorId="0" shapeId="0" xr:uid="{38AAB796-0196-4D95-8BD6-A385E75EDF1F}">
      <text>
        <r>
          <rPr>
            <sz val="10"/>
            <color indexed="81"/>
            <rFont val="Tahoma"/>
            <family val="2"/>
          </rPr>
          <t>Investeringens avskrivning för första året kan kalkyleras noggrant enligt bruksmånader eller för hela året (12 månader).</t>
        </r>
      </text>
    </comment>
    <comment ref="H31" authorId="0" shapeId="0" xr:uid="{3DC2CE58-47E8-437E-A5EF-A8D22F69BAFC}">
      <text>
        <r>
          <rPr>
            <sz val="10"/>
            <color indexed="81"/>
            <rFont val="Tahoma"/>
            <family val="2"/>
          </rPr>
          <t>Från tabell 1. T1 INVESTERINGSPLAN utan bidrag.</t>
        </r>
      </text>
    </comment>
    <comment ref="M31" authorId="0" shapeId="0" xr:uid="{D9D26CF8-4CAF-4F73-B6FD-4641751C5102}">
      <text>
        <r>
          <rPr>
            <sz val="10"/>
            <color indexed="81"/>
            <rFont val="Tahoma"/>
            <family val="2"/>
          </rPr>
          <t>T.ex. Om investering kommer att införas i början av 3. månaden, finns det 10 bruksmånader.</t>
        </r>
      </text>
    </comment>
    <comment ref="H32" authorId="0" shapeId="0" xr:uid="{E75666AC-9F5A-49BD-9547-D2FCAC298081}">
      <text>
        <r>
          <rPr>
            <b/>
            <i/>
            <sz val="10"/>
            <color indexed="81"/>
            <rFont val="Tahoma"/>
            <family val="2"/>
          </rPr>
          <t xml:space="preserve">Försäljning av nyttigheter </t>
        </r>
        <r>
          <rPr>
            <sz val="10"/>
            <color indexed="81"/>
            <rFont val="Tahoma"/>
            <family val="2"/>
          </rPr>
          <t xml:space="preserve">
Försäljningsbeloppet kommer att läggas till tabell 
T5 KASSABUDGET punkt 5. Ej mellangift i byteshandel! 
</t>
        </r>
        <r>
          <rPr>
            <b/>
            <i/>
            <sz val="10"/>
            <color indexed="81"/>
            <rFont val="Tahoma"/>
            <family val="2"/>
          </rPr>
          <t xml:space="preserve">Linjär avskrivning </t>
        </r>
        <r>
          <rPr>
            <sz val="10"/>
            <color indexed="81"/>
            <rFont val="Tahoma"/>
            <family val="2"/>
          </rPr>
          <t xml:space="preserve">
Skriv den årliga avskrivnings-% som noll och ange beloppet för linjär avskrivning på denna rad.</t>
        </r>
      </text>
    </comment>
    <comment ref="E33" authorId="0" shapeId="0" xr:uid="{00000000-0006-0000-0300-000032000000}">
      <text>
        <r>
          <rPr>
            <b/>
            <sz val="10"/>
            <color indexed="81"/>
            <rFont val="Tahoma"/>
            <family val="2"/>
          </rPr>
          <t>Högsta avskrivningar</t>
        </r>
        <r>
          <rPr>
            <sz val="10"/>
            <color indexed="81"/>
            <rFont val="Tahoma"/>
            <family val="2"/>
          </rPr>
          <t xml:space="preserve">
- asfaltbeläggning </t>
        </r>
        <r>
          <rPr>
            <b/>
            <sz val="10"/>
            <color indexed="81"/>
            <rFont val="Tahoma"/>
            <family val="2"/>
          </rPr>
          <t>av egen tomt</t>
        </r>
        <r>
          <rPr>
            <sz val="10"/>
            <color indexed="81"/>
            <rFont val="Tahoma"/>
            <family val="2"/>
          </rPr>
          <t xml:space="preserve"> 10 - 25 %
- grustag, torvmosse o.d. enligt förbrukning
Du kan använda </t>
        </r>
        <r>
          <rPr>
            <b/>
            <sz val="10"/>
            <color indexed="81"/>
            <rFont val="Tahoma"/>
            <family val="2"/>
          </rPr>
          <t>linjär avskrivning</t>
        </r>
        <r>
          <rPr>
            <sz val="10"/>
            <color indexed="81"/>
            <rFont val="Tahoma"/>
            <family val="2"/>
          </rPr>
          <t xml:space="preserve"> när du 
skriver den årliga avskrivningsprocenten till noll och anger siffran på raden "- Minskningar under räkenskapsperioden, linjär avskrivning". </t>
        </r>
      </text>
    </comment>
    <comment ref="H33" authorId="0" shapeId="0" xr:uid="{3394803D-6418-435D-8092-A35FCB675502}">
      <text>
        <r>
          <rPr>
            <sz val="10"/>
            <color indexed="81"/>
            <rFont val="Tahoma"/>
            <family val="2"/>
          </rPr>
          <t>Investeringens avskrivning för investeringsåret kan kalkyleras noggrant enligt bruksmånader eller för hela året (12 månader).</t>
        </r>
      </text>
    </comment>
    <comment ref="M33" authorId="0" shapeId="0" xr:uid="{91F55E78-CA22-4AC8-896B-33DC9C7AA945}">
      <text>
        <r>
          <rPr>
            <sz val="10"/>
            <color indexed="81"/>
            <rFont val="Tahoma"/>
            <family val="2"/>
          </rPr>
          <t>Investeringens avskrivning för första året kan kalkyleras noggrant enligt bruksmånader eller för hela året (12 månader).</t>
        </r>
      </text>
    </comment>
    <comment ref="H35" authorId="0" shapeId="0" xr:uid="{00000000-0006-0000-0300-000038000000}">
      <text>
        <r>
          <rPr>
            <sz val="10"/>
            <color indexed="81"/>
            <rFont val="Tahoma"/>
            <family val="2"/>
          </rPr>
          <t>Siffran förflyttas från 1. T1 INVSETERINGSPLAN punkt 9. Placeringar. Kan förändras.</t>
        </r>
      </text>
    </comment>
    <comment ref="H36" authorId="0" shapeId="0" xr:uid="{00000000-0006-0000-0300-00003C000000}">
      <text>
        <r>
          <rPr>
            <sz val="10"/>
            <color indexed="81"/>
            <rFont val="Tahoma"/>
            <family val="2"/>
          </rPr>
          <t>Om placeringar avdrags, skriv beloppet här.</t>
        </r>
      </text>
    </comment>
    <comment ref="C40" authorId="0" shapeId="0" xr:uid="{00000000-0006-0000-0300-000040000000}">
      <text>
        <r>
          <rPr>
            <sz val="10"/>
            <color indexed="81"/>
            <rFont val="Tahoma"/>
            <family val="2"/>
          </rPr>
          <t xml:space="preserve">Siffran berättar hur stor andel av omsättning är bunden i lagret. 
</t>
        </r>
        <r>
          <rPr>
            <b/>
            <sz val="10"/>
            <color indexed="81"/>
            <rFont val="Tahoma"/>
            <family val="2"/>
          </rPr>
          <t>Formel:</t>
        </r>
        <r>
          <rPr>
            <sz val="10"/>
            <color indexed="81"/>
            <rFont val="Tahoma"/>
            <family val="2"/>
          </rPr>
          <t xml:space="preserve">
100 *</t>
        </r>
        <r>
          <rPr>
            <b/>
            <sz val="10"/>
            <color indexed="81"/>
            <rFont val="Tahoma"/>
            <family val="2"/>
          </rPr>
          <t xml:space="preserve"> </t>
        </r>
        <r>
          <rPr>
            <sz val="10"/>
            <color indexed="81"/>
            <rFont val="Tahoma"/>
            <family val="2"/>
          </rPr>
          <t xml:space="preserve">(Omsättningstillgångar/Omsättning (12 månader) </t>
        </r>
      </text>
    </comment>
    <comment ref="F40" authorId="0" shapeId="0" xr:uid="{00000000-0006-0000-0300-000041000000}">
      <text>
        <r>
          <rPr>
            <sz val="10"/>
            <color indexed="81"/>
            <rFont val="Tahoma"/>
            <family val="2"/>
          </rPr>
          <t xml:space="preserve">Siffran förflyttar från tabell 
9. T4 FINANSIERINGSBUDGET rad 50. </t>
        </r>
      </text>
    </comment>
    <comment ref="G40" authorId="0" shapeId="0" xr:uid="{3934A92D-6293-491B-BBD5-DD23BA7BE178}">
      <text>
        <r>
          <rPr>
            <sz val="10"/>
            <color indexed="81"/>
            <rFont val="Tahoma"/>
            <family val="2"/>
          </rPr>
          <t xml:space="preserve">Siffran förflyttar från tabell 
9. T4 FINANSIERINGSBUDGET rad 50. </t>
        </r>
      </text>
    </comment>
    <comment ref="H40" authorId="0" shapeId="0" xr:uid="{2D01370B-F753-4FE7-9389-C9C8D83C711B}">
      <text>
        <r>
          <rPr>
            <sz val="10"/>
            <color indexed="81"/>
            <rFont val="Tahoma"/>
            <family val="2"/>
          </rPr>
          <t xml:space="preserve">Siffran förflyttar från tabell 
9. T4 FINANSIERINGSBUDGET rad 50. </t>
        </r>
      </text>
    </comment>
    <comment ref="C43" authorId="0" shapeId="0" xr:uid="{00000000-0006-0000-0300-000047000000}">
      <text>
        <r>
          <rPr>
            <sz val="10"/>
            <color indexed="81"/>
            <rFont val="Tahoma"/>
            <family val="2"/>
          </rPr>
          <t xml:space="preserve">Siffran berättar, hur snabbt kunden betalar din faktura.
</t>
        </r>
        <r>
          <rPr>
            <b/>
            <sz val="10"/>
            <color indexed="81"/>
            <rFont val="Tahoma"/>
            <family val="2"/>
          </rPr>
          <t>Formel:</t>
        </r>
        <r>
          <rPr>
            <b/>
            <u/>
            <sz val="10"/>
            <color indexed="81"/>
            <rFont val="Tahoma"/>
            <family val="2"/>
          </rPr>
          <t xml:space="preserve">
</t>
        </r>
        <r>
          <rPr>
            <sz val="10"/>
            <color indexed="81"/>
            <rFont val="Tahoma"/>
            <family val="2"/>
          </rPr>
          <t>Kundfordringar /omsättning * 365</t>
        </r>
      </text>
    </comment>
    <comment ref="H43" authorId="0" shapeId="0" xr:uid="{00000000-0006-0000-0300-000048000000}">
      <text>
        <r>
          <rPr>
            <sz val="10"/>
            <color indexed="81"/>
            <rFont val="Tahoma"/>
            <family val="2"/>
          </rPr>
          <t>Siffran förflyttar från tabell 9. T4 FINANSIERINGS-BUDGET, celler H52 - K52.</t>
        </r>
      </text>
    </comment>
    <comment ref="H45" authorId="0" shapeId="0" xr:uid="{00000000-0006-0000-0300-00004C000000}">
      <text>
        <r>
          <rPr>
            <sz val="10"/>
            <color indexed="81"/>
            <rFont val="Tahoma"/>
            <family val="2"/>
          </rPr>
          <t>Siffran förflyttar från tabell 
9. T4 FINANSIERINGSBUDGET rad 55.</t>
        </r>
      </text>
    </comment>
    <comment ref="F46" authorId="0" shapeId="0" xr:uid="{00000000-0006-0000-0300-000050000000}">
      <text>
        <r>
          <rPr>
            <sz val="10"/>
            <color indexed="81"/>
            <rFont val="Tahoma"/>
            <family val="2"/>
          </rPr>
          <t>- skatteåterbäring
- Moms-fordringar från förra perioden
- säkerhetsdeposition
- hyresdeposition 
- NTM-centralens bidrag förflutits från 
  förra perioden eller något annat bidrag
  än investeringsbidrag</t>
        </r>
      </text>
    </comment>
    <comment ref="G46" authorId="0" shapeId="0" xr:uid="{3613A629-34E4-4178-9F34-23C4A23B7FC4}">
      <text>
        <r>
          <rPr>
            <sz val="10"/>
            <color indexed="81"/>
            <rFont val="Tahoma"/>
            <family val="2"/>
          </rPr>
          <t>- skatteåterbäring
- Moms-fordringar från förra perioden
- säkerhetsdeposition
- hyresdeposition 
- NTM-centralens bidrag förflutits från 
  förra perioden eller något annat bidrag
  än investeringsbidrag</t>
        </r>
      </text>
    </comment>
    <comment ref="F47" authorId="0" shapeId="0" xr:uid="{00000000-0006-0000-0300-000052000000}">
      <text>
        <r>
          <rPr>
            <sz val="10"/>
            <color indexed="81"/>
            <rFont val="Tahoma"/>
            <family val="2"/>
          </rPr>
          <t>I förskott betalda försäkringsavgifter
o.d. utgiftsförskott.</t>
        </r>
      </text>
    </comment>
    <comment ref="G47" authorId="0" shapeId="0" xr:uid="{E8464586-B63F-4757-B44E-0A7B229F7A42}">
      <text>
        <r>
          <rPr>
            <sz val="10"/>
            <color indexed="81"/>
            <rFont val="Tahoma"/>
            <family val="2"/>
          </rPr>
          <t>I förskott betalda försäkringsavgifter
o.d. utgiftsförskott.</t>
        </r>
      </text>
    </comment>
    <comment ref="H49" authorId="0" shapeId="0" xr:uid="{00000000-0006-0000-0300-000054000000}">
      <text>
        <r>
          <rPr>
            <b/>
            <sz val="10"/>
            <color indexed="10"/>
            <rFont val="Tahoma"/>
            <family val="2"/>
          </rPr>
          <t>Slutligen kontrollera, att cellerna H49 - K49 är lika stora än cellerna H43 - K43 i 
9. T4 FINANSIERINGSPLAN.</t>
        </r>
      </text>
    </comment>
    <comment ref="F57" authorId="0" shapeId="0" xr:uid="{EC2F916F-024A-42CC-AA76-646F2DABC517}">
      <text>
        <r>
          <rPr>
            <sz val="10"/>
            <color indexed="81"/>
            <rFont val="Tahoma"/>
            <family val="2"/>
          </rPr>
          <t>Skriv penningsummorna i helt tal. Vid företagsformer enskild näringsidkare, öppet och kommanditbolag siffran kan innehålla privata uttag och siffran kan vara negativ.</t>
        </r>
      </text>
    </comment>
    <comment ref="G57" authorId="0" shapeId="0" xr:uid="{C8149435-1CF5-485B-B891-450737003B03}">
      <text>
        <r>
          <rPr>
            <sz val="10"/>
            <color indexed="81"/>
            <rFont val="Tahoma"/>
            <family val="2"/>
          </rPr>
          <t>Skriv penningsummorna i helt tal. Vid företagsformer enskild näringsidkare, öppet och kommanditbolag siffran kan innehålla privata uttag och siffran kan vara negativ.</t>
        </r>
      </text>
    </comment>
    <comment ref="H57" authorId="0" shapeId="0" xr:uid="{C470678E-E803-440A-86AF-8A4220362885}">
      <text>
        <r>
          <rPr>
            <sz val="10"/>
            <color indexed="81"/>
            <rFont val="Tahoma"/>
            <family val="2"/>
          </rPr>
          <t>Siffran innehåller också kapitallånets ackord.</t>
        </r>
      </text>
    </comment>
    <comment ref="F59" authorId="0" shapeId="0" xr:uid="{ED913ABB-7887-4DFC-926C-0260FBE5D02D}">
      <text>
        <r>
          <rPr>
            <sz val="10"/>
            <color indexed="81"/>
            <rFont val="Tahoma"/>
            <family val="2"/>
          </rPr>
          <t xml:space="preserve">Om privata uttag inte har dragits av C.1 eller C.2, kan de dras av från kapitlet "C.2 Vinster av föregående räkenskapsperioder". </t>
        </r>
      </text>
    </comment>
    <comment ref="G59" authorId="0" shapeId="0" xr:uid="{28990FDF-275A-4FF8-8167-ABD4857A84A7}">
      <text>
        <r>
          <rPr>
            <sz val="10"/>
            <color indexed="81"/>
            <rFont val="Tahoma"/>
            <family val="2"/>
          </rPr>
          <t xml:space="preserve">Om privata uttag inte har dragits av C.1 eller C.2, kan de dras av från kapitlet "C.2 Vinster av föregående räkenskapsperioder". </t>
        </r>
      </text>
    </comment>
    <comment ref="H59" authorId="0" shapeId="0" xr:uid="{00000000-0006-0000-0300-000058000000}">
      <text>
        <r>
          <rPr>
            <sz val="10"/>
            <color indexed="81"/>
            <rFont val="Tahoma"/>
            <family val="2"/>
          </rPr>
          <t>Siffran flyttas från tabell 9. T4 FINANSIERINGSB., cellerna H39 - K39. Siffran kan ändras i tabell 9. T4 FINANSIRINGB.</t>
        </r>
      </text>
    </comment>
    <comment ref="F61" authorId="0" shapeId="0" xr:uid="{8901669C-5266-4CDA-96BE-F2F4542C33A2}">
      <text>
        <r>
          <rPr>
            <sz val="10"/>
            <color indexed="81"/>
            <rFont val="Tahoma"/>
            <family val="2"/>
          </rPr>
          <t xml:space="preserve">I aktiebolaget kan placeras pengar i SVOP-fonden. Inbetalt fritt eget kapital (s.k. SVOP-fond) kan jämföras till aktiekapital. </t>
        </r>
      </text>
    </comment>
    <comment ref="G61" authorId="0" shapeId="0" xr:uid="{2636A2A4-B60F-4AF6-9B08-955AD67522E7}">
      <text>
        <r>
          <rPr>
            <sz val="10"/>
            <color indexed="81"/>
            <rFont val="Tahoma"/>
            <family val="2"/>
          </rPr>
          <t xml:space="preserve">I aktiebolaget kan placeras pengar i SVOP-fonden. Inbetalt fritt eget kapital (s.k. SVOP-fond) kan jämföras till aktiekapital. </t>
        </r>
      </text>
    </comment>
    <comment ref="H61" authorId="0" shapeId="0" xr:uid="{90046576-E19A-45C3-97FB-4D39A5CDD9D7}">
      <text>
        <r>
          <rPr>
            <sz val="10"/>
            <color indexed="81"/>
            <rFont val="Tahoma"/>
            <family val="2"/>
          </rPr>
          <t xml:space="preserve">Ökning i SVOP-fonden förflyttar sig från punkt 11. i tabell T1 INVESTERINGSP. Återbetalning från SVOP-fonden minskas från cellens belopp. </t>
        </r>
        <r>
          <rPr>
            <sz val="9"/>
            <color indexed="81"/>
            <rFont val="Tahoma"/>
            <family val="2"/>
          </rPr>
          <t xml:space="preserve"> </t>
        </r>
      </text>
    </comment>
    <comment ref="H63" authorId="0" shapeId="0" xr:uid="{938EB8FD-249D-4174-A69C-DB6D1D251FC8}">
      <text>
        <r>
          <rPr>
            <sz val="10"/>
            <color indexed="81"/>
            <rFont val="Tahoma"/>
            <family val="2"/>
          </rPr>
          <t>Korrigerar summan av avskrivningsdifferens efter punkt 8. i tabell 2. T2 RESULTATSBUDGET.</t>
        </r>
      </text>
    </comment>
    <comment ref="F64" authorId="0" shapeId="0" xr:uid="{00000000-0006-0000-0300-000060000000}">
      <text>
        <r>
          <rPr>
            <sz val="10"/>
            <color indexed="81"/>
            <rFont val="Tahoma"/>
            <family val="2"/>
          </rPr>
          <t>Lägg till en reservering av 30 % av betalda löner (</t>
        </r>
        <r>
          <rPr>
            <b/>
            <sz val="10"/>
            <color indexed="81"/>
            <rFont val="Tahoma"/>
            <family val="2"/>
          </rPr>
          <t>Firma eller personbolag</t>
        </r>
        <r>
          <rPr>
            <sz val="10"/>
            <color indexed="81"/>
            <rFont val="Tahoma"/>
            <family val="2"/>
          </rPr>
          <t xml:space="preserve"> kan göra). Förminskar skattebetalning.</t>
        </r>
      </text>
    </comment>
    <comment ref="G64" authorId="0" shapeId="0" xr:uid="{2E44DB53-3F6F-4AF7-AEDE-DB3752C66AB3}">
      <text>
        <r>
          <rPr>
            <sz val="10"/>
            <color indexed="81"/>
            <rFont val="Tahoma"/>
            <family val="2"/>
          </rPr>
          <t>Lägg till en reservering av 30 % av betalda löner (</t>
        </r>
        <r>
          <rPr>
            <b/>
            <i/>
            <sz val="10"/>
            <color indexed="81"/>
            <rFont val="Tahoma"/>
            <family val="2"/>
          </rPr>
          <t>Firma eller personbolag</t>
        </r>
        <r>
          <rPr>
            <sz val="10"/>
            <color indexed="81"/>
            <rFont val="Tahoma"/>
            <family val="2"/>
          </rPr>
          <t xml:space="preserve"> kan göra). Förminskar skattebetalning.</t>
        </r>
      </text>
    </comment>
    <comment ref="H65" authorId="0" shapeId="0" xr:uid="{F3B46083-90F3-45FA-9683-E2A334C93D7A}">
      <text>
        <r>
          <rPr>
            <sz val="10"/>
            <color indexed="81"/>
            <rFont val="Tahoma"/>
            <family val="2"/>
          </rPr>
          <t>Lägg till en reservering av 30 % av betalda löner (</t>
        </r>
        <r>
          <rPr>
            <b/>
            <i/>
            <sz val="10"/>
            <color indexed="81"/>
            <rFont val="Tahoma"/>
            <family val="2"/>
          </rPr>
          <t>Firma eller personbolag</t>
        </r>
        <r>
          <rPr>
            <sz val="10"/>
            <color indexed="81"/>
            <rFont val="Tahoma"/>
            <family val="2"/>
          </rPr>
          <t xml:space="preserve"> kan göra). Förminskar skattebetalning.</t>
        </r>
      </text>
    </comment>
    <comment ref="F66" authorId="0" shapeId="0" xr:uid="{BC898BFE-427D-45E9-96B3-A9BF0A5DAE6C}">
      <text>
        <r>
          <rPr>
            <sz val="10"/>
            <color indexed="81"/>
            <rFont val="Tahoma"/>
            <family val="2"/>
          </rPr>
          <t>Möjlig kreditförlust, som inte har realiserad.</t>
        </r>
      </text>
    </comment>
    <comment ref="G66" authorId="0" shapeId="0" xr:uid="{7F25AC63-51CB-442E-802B-C248A187B95F}">
      <text>
        <r>
          <rPr>
            <sz val="10"/>
            <color indexed="81"/>
            <rFont val="Tahoma"/>
            <family val="2"/>
          </rPr>
          <t>Möjlig kreditförlust, som inte har realiserad.</t>
        </r>
      </text>
    </comment>
    <comment ref="F67" authorId="0" shapeId="0" xr:uid="{12521DA9-1E9F-4909-BC1F-4494F00257E3}">
      <text>
        <r>
          <rPr>
            <sz val="10"/>
            <color indexed="81"/>
            <rFont val="Tahoma"/>
            <family val="2"/>
          </rPr>
          <t>Skuld eller en del av skuld, vars återbetalningstid är över ett år.</t>
        </r>
      </text>
    </comment>
    <comment ref="G67" authorId="0" shapeId="0" xr:uid="{465B421A-DAE6-4A5F-BCB6-D6BB44DE7F7C}">
      <text>
        <r>
          <rPr>
            <sz val="10"/>
            <color indexed="81"/>
            <rFont val="Tahoma"/>
            <family val="2"/>
          </rPr>
          <t>Skuld eller en del av skuld, vars återbetalningstid är över ett år.</t>
        </r>
      </text>
    </comment>
    <comment ref="F68" authorId="0" shapeId="0" xr:uid="{00000000-0006-0000-0300-000067000000}">
      <text>
        <r>
          <rPr>
            <sz val="10"/>
            <color indexed="81"/>
            <rFont val="Tahoma"/>
            <family val="2"/>
          </rPr>
          <t>Innehåller också pensions lån och  skuldebrevlån av ägarna, men utan följande årets amorteringar!</t>
        </r>
      </text>
    </comment>
    <comment ref="G68" authorId="0" shapeId="0" xr:uid="{DEF72C30-7822-46BE-87BC-E2DCA93B0F25}">
      <text>
        <r>
          <rPr>
            <sz val="10"/>
            <color indexed="81"/>
            <rFont val="Tahoma"/>
            <family val="2"/>
          </rPr>
          <t>Innehåller också pensions lån och  skuldebrevlån av ägarna, men utan följande årets amorteringar!</t>
        </r>
      </text>
    </comment>
    <comment ref="H70" authorId="0" shapeId="0" xr:uid="{00000000-0006-0000-0300-00006D000000}">
      <text>
        <r>
          <rPr>
            <sz val="10"/>
            <color indexed="81"/>
            <rFont val="Tahoma"/>
            <family val="2"/>
          </rPr>
          <t>Betyder kapitallånets konvertering till aktiekapital (ackord). Drag av beloppet av kapitallånets saldo.</t>
        </r>
      </text>
    </comment>
    <comment ref="F72" authorId="0" shapeId="0" xr:uid="{B7E8A136-6244-4191-9960-71CB48811A28}">
      <text>
        <r>
          <rPr>
            <sz val="10"/>
            <color indexed="81"/>
            <rFont val="Tahoma"/>
            <family val="2"/>
          </rPr>
          <t xml:space="preserve">Saldo av långfristig leverantörsskuld som ska betalas efter ett år. </t>
        </r>
      </text>
    </comment>
    <comment ref="G72" authorId="0" shapeId="0" xr:uid="{F1801017-944F-4A22-9CB6-C2E857ECBCD1}">
      <text>
        <r>
          <rPr>
            <sz val="10"/>
            <color indexed="81"/>
            <rFont val="Tahoma"/>
            <family val="2"/>
          </rPr>
          <t xml:space="preserve">Saldo av långfristig leverantörsskuld som ska betalas efter ett år. </t>
        </r>
      </text>
    </comment>
    <comment ref="F73" authorId="0" shapeId="0" xr:uid="{00000000-0006-0000-0300-000071000000}">
      <text>
        <r>
          <rPr>
            <sz val="10"/>
            <color indexed="81"/>
            <rFont val="Tahoma"/>
            <family val="2"/>
          </rPr>
          <t>Siffran utan följande årets amorteringar av nuvarande avbetalningsskulder.</t>
        </r>
      </text>
    </comment>
    <comment ref="G73" authorId="0" shapeId="0" xr:uid="{742D2476-9A9C-4299-A657-1E9BA8903957}">
      <text>
        <r>
          <rPr>
            <sz val="10"/>
            <color indexed="81"/>
            <rFont val="Tahoma"/>
            <family val="2"/>
          </rPr>
          <t>Siffran utan följande årets amorteringar av nuvarande avbetalningsskulder.</t>
        </r>
      </text>
    </comment>
    <comment ref="F74" authorId="0" shapeId="0" xr:uid="{00000000-0006-0000-0300-000074000000}">
      <text>
        <r>
          <rPr>
            <sz val="10"/>
            <color indexed="81"/>
            <rFont val="Tahoma"/>
            <family val="2"/>
          </rPr>
          <t>Kvarstående lånekapital i slutet av räkenskapsperioden. Utan skuldebrev erhållna skulden till anställda, ägare och övriga privata personer skrivs här. Skuldebrevlån skrivas i tabell 
4. T7 LÅN, punkt "Nuvarande långfristiga lån".</t>
        </r>
      </text>
    </comment>
    <comment ref="G74" authorId="0" shapeId="0" xr:uid="{D89B4B27-FF57-40B5-9D8E-9B053961C5CD}">
      <text>
        <r>
          <rPr>
            <sz val="10"/>
            <color indexed="81"/>
            <rFont val="Tahoma"/>
            <family val="2"/>
          </rPr>
          <t>Kvarstående lånekapital i slutet av räkenskapsperioden. Utan skuldebrev erhållna skulden till anställda, ägare och övriga privata personer skrivs här. Skuldebrevlån skrivas i tabell 
4. T7 LÅN, punkt "Nuvarande långfristiga lån".</t>
        </r>
      </text>
    </comment>
    <comment ref="H74" authorId="0" shapeId="0" xr:uid="{B7BA7DA4-A222-4D0E-A909-817F54A2E43A}">
      <text>
        <r>
          <rPr>
            <sz val="10"/>
            <color indexed="81"/>
            <rFont val="Tahoma"/>
            <family val="2"/>
          </rPr>
          <t>Kvarstående lånekapital i slutet av räkenskapsperioden. Utan skuldebrev erhållna skulden till anställda, ägare och övriga privata personer skrivs här. Skuldebrevlån skrivas i tabell 
4. T7 LÅN, punkt "Nuvarande långfristiga lån".</t>
        </r>
      </text>
    </comment>
    <comment ref="C75" authorId="0" shapeId="0" xr:uid="{A6B7F333-3268-4B29-8136-28992AAA6E27}">
      <text>
        <r>
          <rPr>
            <sz val="10"/>
            <color indexed="81"/>
            <rFont val="Tahoma"/>
            <family val="2"/>
          </rPr>
          <t>Skuld eller en del av skuld, som bör betalas inom ett år.</t>
        </r>
      </text>
    </comment>
    <comment ref="C76" authorId="0" shapeId="0" xr:uid="{00000000-0006-0000-0300-000077000000}">
      <text>
        <r>
          <rPr>
            <sz val="10"/>
            <color indexed="81"/>
            <rFont val="Tahoma"/>
            <family val="2"/>
          </rPr>
          <t>Innehåller också pensions lån.</t>
        </r>
      </text>
    </comment>
    <comment ref="F77" authorId="0" shapeId="0" xr:uid="{00000000-0006-0000-0300-000078000000}">
      <text>
        <r>
          <rPr>
            <sz val="10"/>
            <color indexed="81"/>
            <rFont val="Tahoma"/>
            <family val="2"/>
          </rPr>
          <t xml:space="preserve">Följande årets amorteringar av nuvarande långfristiga lån. </t>
        </r>
      </text>
    </comment>
    <comment ref="G77" authorId="0" shapeId="0" xr:uid="{395E0DE2-F67D-4E7F-A4C7-4776D6381876}">
      <text>
        <r>
          <rPr>
            <sz val="10"/>
            <color indexed="81"/>
            <rFont val="Tahoma"/>
            <family val="2"/>
          </rPr>
          <t xml:space="preserve">Följande årets amorteringar av nuvarande långfristiga lån. </t>
        </r>
      </text>
    </comment>
    <comment ref="H77" authorId="0" shapeId="0" xr:uid="{00000000-0006-0000-0300-00007A000000}">
      <text>
        <r>
          <rPr>
            <b/>
            <sz val="10"/>
            <color indexed="81"/>
            <rFont val="Tahoma"/>
            <family val="2"/>
          </rPr>
          <t>Observera! Om avskrivningarna är mindre än låneamorteringarna, betalar företaget skatt av låneamorteringar!</t>
        </r>
      </text>
    </comment>
    <comment ref="F78" authorId="0" shapeId="0" xr:uid="{17D2DA2F-BC58-443A-A9A0-AD2B33AB088B}">
      <text>
        <r>
          <rPr>
            <sz val="10"/>
            <color indexed="81"/>
            <rFont val="Tahoma"/>
            <family val="2"/>
          </rPr>
          <t>Saldo på kortfristiga lån vid räkenskapsårets slut
(ej amorteringar för långfristiga lån). Kapitalförändringar kommer att överföras till 9. T4 FINANSIERINGSPLAN.</t>
        </r>
      </text>
    </comment>
    <comment ref="G78" authorId="0" shapeId="0" xr:uid="{0A4C8212-54EA-49D9-BBF3-9B501A81A341}">
      <text>
        <r>
          <rPr>
            <sz val="10"/>
            <color indexed="81"/>
            <rFont val="Tahoma"/>
            <family val="2"/>
          </rPr>
          <t>Saldo på kortfristiga lån vid räkenskapsårets slut
(ej amorteringar för långfristiga lån). Kapitalförändringar kommer att överföras till 9. T4 FINANSIERINGSPLAN.</t>
        </r>
      </text>
    </comment>
    <comment ref="H78" authorId="0" shapeId="0" xr:uid="{89AF556B-7FC0-4DFE-B3CF-08A77C1E0CD8}">
      <text>
        <r>
          <rPr>
            <sz val="10"/>
            <color indexed="81"/>
            <rFont val="Tahoma"/>
            <family val="2"/>
          </rPr>
          <t>Saldo på kortfristiga lån vid räkenskapsårets slut
(ej amorteringar för långfristiga lån). Kapitalförändringar kommer att överföras till 9. T4 FINANSIERINGSPLAN och till 4. T4 LÅN, cell 46.</t>
        </r>
      </text>
    </comment>
    <comment ref="H79" authorId="0" shapeId="0" xr:uid="{00000000-0006-0000-0300-000082000000}">
      <text>
        <r>
          <rPr>
            <sz val="10"/>
            <color indexed="81"/>
            <rFont val="Tahoma"/>
            <family val="2"/>
          </rPr>
          <t>Kapitallånets kvarstående belopp skrivs direkt i cellen. Räntan tilläggas i tabell 
7. T7 LÅN, punkt "Räntor på kortfristiga lån".</t>
        </r>
      </text>
    </comment>
    <comment ref="C82" authorId="0" shapeId="0" xr:uid="{00000000-0006-0000-0300-000086000000}">
      <text>
        <r>
          <rPr>
            <sz val="10"/>
            <color indexed="81"/>
            <rFont val="Tahoma"/>
            <family val="2"/>
          </rPr>
          <t xml:space="preserve">Siffran berättar, hur snabbt ni betalar fakturan. 
</t>
        </r>
        <r>
          <rPr>
            <b/>
            <sz val="10"/>
            <color indexed="81"/>
            <rFont val="Tahoma"/>
            <family val="2"/>
          </rPr>
          <t>Formel:</t>
        </r>
        <r>
          <rPr>
            <sz val="10"/>
            <color indexed="81"/>
            <rFont val="Tahoma"/>
            <family val="2"/>
          </rPr>
          <t xml:space="preserve">
Inköpsskulder/inköpen slgt under perioden * 365</t>
        </r>
      </text>
    </comment>
    <comment ref="F82" authorId="0" shapeId="0" xr:uid="{00000000-0006-0000-0300-000087000000}">
      <text>
        <r>
          <rPr>
            <sz val="10"/>
            <color indexed="81"/>
            <rFont val="Tahoma"/>
            <family val="2"/>
          </rPr>
          <t>Siffran förflyttas från tabell 
9. T4 FINANSIERINGBUDGET rad 52.</t>
        </r>
      </text>
    </comment>
    <comment ref="G82" authorId="0" shapeId="0" xr:uid="{4E27A8D1-9AE4-4C91-8E52-E8C73F0CE9C9}">
      <text>
        <r>
          <rPr>
            <sz val="10"/>
            <color indexed="81"/>
            <rFont val="Tahoma"/>
            <family val="2"/>
          </rPr>
          <t>Siffran förflyttas från tabell 
9. T4 FINANSIERINGBUDGET rad 52.</t>
        </r>
      </text>
    </comment>
    <comment ref="F83" authorId="0" shapeId="0" xr:uid="{00000000-0006-0000-0300-000089000000}">
      <text>
        <r>
          <rPr>
            <sz val="10"/>
            <color indexed="81"/>
            <rFont val="Tahoma"/>
            <family val="2"/>
          </rPr>
          <t>Nästa årets amorteringar av nuvarande avbetalningsskulder.</t>
        </r>
      </text>
    </comment>
    <comment ref="G83" authorId="0" shapeId="0" xr:uid="{35958F8A-F523-41C1-9942-88F35070F9AE}">
      <text>
        <r>
          <rPr>
            <sz val="10"/>
            <color indexed="81"/>
            <rFont val="Tahoma"/>
            <family val="2"/>
          </rPr>
          <t>Nästa årets amorteringar av nuvarande avbetalningsskulder.</t>
        </r>
      </text>
    </comment>
    <comment ref="F85" authorId="0" shapeId="0" xr:uid="{FA53BED2-D47A-48FA-B7A8-6C2797A68679}">
      <text>
        <r>
          <rPr>
            <sz val="10"/>
            <color indexed="81"/>
            <rFont val="Tahoma"/>
            <family val="2"/>
          </rPr>
          <t xml:space="preserve">Om löner har betalats under bokslutmånaden, finns det förskottinne-hållningsskuld kvar. </t>
        </r>
        <r>
          <rPr>
            <b/>
            <sz val="10"/>
            <color indexed="81"/>
            <rFont val="Tahoma"/>
            <family val="2"/>
          </rPr>
          <t>Siffran ska finnas i den här cellen. Denna punkt specificeras inte alltid i bokslutet utan siffran ingår i "övriga kortfristiga skulder" eller "5. Resultatreglerings-skulder".</t>
        </r>
      </text>
    </comment>
    <comment ref="G85" authorId="0" shapeId="0" xr:uid="{DD2E1105-D62A-408C-A9E7-E30F72D2744D}">
      <text>
        <r>
          <rPr>
            <sz val="10"/>
            <color indexed="81"/>
            <rFont val="Tahoma"/>
            <family val="2"/>
          </rPr>
          <t xml:space="preserve">Om löner har betalats under bokslutmånaden, finns det förskottinne-hållningsskuld kvar. </t>
        </r>
        <r>
          <rPr>
            <b/>
            <sz val="10"/>
            <color indexed="81"/>
            <rFont val="Tahoma"/>
            <family val="2"/>
          </rPr>
          <t>Siffran ska finnas i den här cellen. Denna punkt specificeras inte alltid i bokslutet utan siffran ingår i "övriga kortfristiga skulder" eller "5. Resultatreglerings-skulder".</t>
        </r>
      </text>
    </comment>
    <comment ref="H85" authorId="0" shapeId="0" xr:uid="{A452F2D5-13E0-4D9D-971B-7E5E8454FFC1}">
      <text>
        <r>
          <rPr>
            <sz val="10"/>
            <color indexed="81"/>
            <rFont val="Tahoma"/>
            <family val="2"/>
          </rPr>
          <t>Siffran innehåller endast förskottsinnehållningsskulden.</t>
        </r>
      </text>
    </comment>
    <comment ref="C86" authorId="0" shapeId="0" xr:uid="{00000000-0006-0000-0300-00008B000000}">
      <text>
        <r>
          <rPr>
            <sz val="10"/>
            <color indexed="81"/>
            <rFont val="Tahoma"/>
            <family val="2"/>
          </rPr>
          <t>Skatteavdrags-% av alla betalda löner i medeltal.</t>
        </r>
      </text>
    </comment>
    <comment ref="F87" authorId="0" shapeId="0" xr:uid="{F3567EDC-A73D-4972-B473-3308E8B7BF29}">
      <text>
        <r>
          <rPr>
            <sz val="10"/>
            <color indexed="81"/>
            <rFont val="Tahoma"/>
            <family val="2"/>
          </rPr>
          <t xml:space="preserve">Om löner har betalats under bokslutmånaden, finns det bikostnadsskuld kvar. </t>
        </r>
        <r>
          <rPr>
            <b/>
            <sz val="10"/>
            <color indexed="81"/>
            <rFont val="Tahoma"/>
            <family val="2"/>
          </rPr>
          <t>Siffran ska finnas i den här cellen. Denna punkt specificeras inte alltid i bokslutet utan siffran ingår i "övriga kortfristiga skulder" eller "5. Resultatregleringsskulder".</t>
        </r>
        <r>
          <rPr>
            <sz val="10"/>
            <color indexed="81"/>
            <rFont val="Tahoma"/>
            <family val="2"/>
          </rPr>
          <t xml:space="preserve"> </t>
        </r>
      </text>
    </comment>
    <comment ref="G87" authorId="0" shapeId="0" xr:uid="{E1A29389-1764-4EC6-90FE-918B27544030}">
      <text>
        <r>
          <rPr>
            <sz val="10"/>
            <color indexed="81"/>
            <rFont val="Tahoma"/>
            <family val="2"/>
          </rPr>
          <t xml:space="preserve">Om löner har betalats under bokslutmånaden, finns det bikostnadsskuld kvar. </t>
        </r>
        <r>
          <rPr>
            <b/>
            <sz val="10"/>
            <color indexed="81"/>
            <rFont val="Tahoma"/>
            <family val="2"/>
          </rPr>
          <t>Siffran ska finnas i den här cellen. Denna punkt specificeras inte alltid i bokslutet utan siffran ingår i "övriga kortfristiga skulder" eller "5. Resultatregleringsskulder".</t>
        </r>
        <r>
          <rPr>
            <sz val="10"/>
            <color indexed="81"/>
            <rFont val="Tahoma"/>
            <family val="2"/>
          </rPr>
          <t xml:space="preserve"> </t>
        </r>
      </text>
    </comment>
    <comment ref="F88" authorId="0" shapeId="0" xr:uid="{1A833F92-65CF-44B5-926D-2B3DB6479CF7}">
      <text>
        <r>
          <rPr>
            <sz val="10"/>
            <color indexed="81"/>
            <rFont val="Tahoma"/>
            <family val="2"/>
          </rPr>
          <t xml:space="preserve">Vid bokslutsdagen har företaget 2 månaders obetald moms. </t>
        </r>
        <r>
          <rPr>
            <b/>
            <sz val="10"/>
            <color indexed="81"/>
            <rFont val="Tahoma"/>
            <family val="2"/>
          </rPr>
          <t>Siffran ska finnas i den här cellen. Siffran kan vara noll</t>
        </r>
        <r>
          <rPr>
            <sz val="10"/>
            <color indexed="81"/>
            <rFont val="Tahoma"/>
            <family val="2"/>
          </rPr>
          <t xml:space="preserve">
- inom välfärdssektorn och hälsovård
- försäkrings- och finansiella tjänster
- företagets årliga omsättning är mindre än 10 000 euro
- företaget verkar inom byggbranschen som under-
  leverantör (omvänd moms)
</t>
        </r>
        <r>
          <rPr>
            <b/>
            <sz val="10"/>
            <color indexed="81"/>
            <rFont val="Tahoma"/>
            <family val="2"/>
          </rPr>
          <t>Denna punkt specificeras inte alltid i bokslutet utan siffran ingår i "övriga kortfristiga skulder" eller "5. Resultatregleringsskulder".</t>
        </r>
        <r>
          <rPr>
            <sz val="10"/>
            <color indexed="81"/>
            <rFont val="Tahoma"/>
            <family val="2"/>
          </rPr>
          <t xml:space="preserve"> Från och med 2018 presenteras denna information i noterna till balansräkningen.</t>
        </r>
      </text>
    </comment>
    <comment ref="G88" authorId="0" shapeId="0" xr:uid="{81706E7C-0E41-41AF-A40F-DFC7AA952C0A}">
      <text>
        <r>
          <rPr>
            <sz val="10"/>
            <color indexed="81"/>
            <rFont val="Tahoma"/>
            <family val="2"/>
          </rPr>
          <t xml:space="preserve">Vid bokslutsdagen har företaget 2 månaders obetald moms. </t>
        </r>
        <r>
          <rPr>
            <b/>
            <sz val="10"/>
            <color indexed="81"/>
            <rFont val="Tahoma"/>
            <family val="2"/>
          </rPr>
          <t>Siffran ska finnas i den här cellen. Siffran kan vara noll</t>
        </r>
        <r>
          <rPr>
            <sz val="10"/>
            <color indexed="81"/>
            <rFont val="Tahoma"/>
            <family val="2"/>
          </rPr>
          <t xml:space="preserve">
- inom välfärdssektorn och hälsovård
- försäkrings- och finansiella tjänster
- företagets årliga omsättning är mindre än 10 000 euro
- företaget verkar inom byggbranschen som under-
  leverantör (omvänd moms)
</t>
        </r>
        <r>
          <rPr>
            <b/>
            <sz val="10"/>
            <color indexed="81"/>
            <rFont val="Tahoma"/>
            <family val="2"/>
          </rPr>
          <t>Denna punkt specificeras inte alltid i bokslutet utan siffran ingår i "övriga kortfristiga skulder" eller "5. Resultatregleringsskulder".</t>
        </r>
        <r>
          <rPr>
            <sz val="10"/>
            <color indexed="81"/>
            <rFont val="Tahoma"/>
            <family val="2"/>
          </rPr>
          <t xml:space="preserve"> Från och med 2018 presenteras denna information i noterna till balansräkningen.</t>
        </r>
      </text>
    </comment>
    <comment ref="H88" authorId="0" shapeId="0" xr:uid="{8356FF41-2078-4379-B98C-6A06BC8683B0}">
      <text>
        <r>
          <rPr>
            <sz val="10"/>
            <color indexed="81"/>
            <rFont val="Tahoma"/>
            <family val="2"/>
          </rPr>
          <t xml:space="preserve">Vid bokslutsdagen har företaget 2 månaders obetald moms. </t>
        </r>
        <r>
          <rPr>
            <b/>
            <sz val="10"/>
            <color indexed="81"/>
            <rFont val="Tahoma"/>
            <family val="2"/>
          </rPr>
          <t>Siffran ska finnas i den här cellen. Siffran kan vara noll</t>
        </r>
        <r>
          <rPr>
            <sz val="10"/>
            <color indexed="81"/>
            <rFont val="Tahoma"/>
            <family val="2"/>
          </rPr>
          <t xml:space="preserve">
- inom välfärdssektorn och hälsovård
- försäkrings- och finansiella tjänster
- företagets årliga omsättning är mindre än 10 000 euro
- företaget verkar inom byggbranschen som underleverantör
  (omvänd moms)</t>
        </r>
      </text>
    </comment>
    <comment ref="F89" authorId="0" shapeId="0" xr:uid="{00000000-0006-0000-0300-00008D000000}">
      <text>
        <r>
          <rPr>
            <sz val="10"/>
            <color indexed="81"/>
            <rFont val="Tahoma"/>
            <family val="2"/>
          </rPr>
          <t xml:space="preserve">Om siffran är över 6 %, har företaget synnerligen Moms-restskulder. </t>
        </r>
      </text>
    </comment>
    <comment ref="G89" authorId="0" shapeId="0" xr:uid="{F54594F9-55F5-4996-B439-24F60B7A3984}">
      <text>
        <r>
          <rPr>
            <sz val="10"/>
            <color indexed="81"/>
            <rFont val="Tahoma"/>
            <family val="2"/>
          </rPr>
          <t xml:space="preserve">Om siffran är över 6 %, har företaget synnerligen Moms-restskulder. </t>
        </r>
      </text>
    </comment>
    <comment ref="F90" authorId="0" shapeId="0" xr:uid="{00000000-0006-0000-0300-00008F000000}">
      <text>
        <r>
          <rPr>
            <sz val="10"/>
            <color indexed="81"/>
            <rFont val="Tahoma"/>
            <family val="2"/>
          </rPr>
          <t xml:space="preserve">Obetalda övriga kortfristiga lån av föregående perioden:
- personalkostnader
- skulden till ägaren
- skatteskuld
- dröjningsutgifter 
- böter
</t>
        </r>
        <r>
          <rPr>
            <b/>
            <sz val="10"/>
            <color indexed="81"/>
            <rFont val="Tahoma"/>
            <family val="2"/>
          </rPr>
          <t xml:space="preserve">Siffran kan också innehålla </t>
        </r>
        <r>
          <rPr>
            <b/>
            <i/>
            <sz val="10"/>
            <color indexed="81"/>
            <rFont val="Tahoma"/>
            <family val="2"/>
          </rPr>
          <t xml:space="preserve">
</t>
        </r>
        <r>
          <rPr>
            <sz val="10"/>
            <color indexed="81"/>
            <rFont val="Tahoma"/>
            <family val="2"/>
          </rPr>
          <t>- förskottinnehållningsskuld (eller förskottsinnehållnings- och  
  socialskyddsavgiftskuld på  Skattekonto eller på Minskat)
- socialskyddsavgiftskuld
- Moms-skuld
- semesterlöneskulder
Ange ovan. Informationen presenteras i noterna till balansräkningen.</t>
        </r>
      </text>
    </comment>
    <comment ref="G90" authorId="0" shapeId="0" xr:uid="{96F71DE3-8AE5-4D2F-9748-2FBD59B772B2}">
      <text>
        <r>
          <rPr>
            <sz val="10"/>
            <color indexed="81"/>
            <rFont val="Tahoma"/>
            <family val="2"/>
          </rPr>
          <t xml:space="preserve">Obetalda övriga kortfristiga lån av föregående perioden:
- personalkostnader
- skulden till ägaren
- skatteskuld
- dröjningsutgifter 
- böter
</t>
        </r>
        <r>
          <rPr>
            <b/>
            <sz val="10"/>
            <color indexed="81"/>
            <rFont val="Tahoma"/>
            <family val="2"/>
          </rPr>
          <t xml:space="preserve">Siffran kan också innehålla </t>
        </r>
        <r>
          <rPr>
            <b/>
            <i/>
            <sz val="10"/>
            <color indexed="81"/>
            <rFont val="Tahoma"/>
            <family val="2"/>
          </rPr>
          <t xml:space="preserve">
</t>
        </r>
        <r>
          <rPr>
            <sz val="10"/>
            <color indexed="81"/>
            <rFont val="Tahoma"/>
            <family val="2"/>
          </rPr>
          <t>- förskottinnehållningsskuld (eller förskottsinnehållnings- och  
  socialskyddsavgiftskuld på  Skattekonto eller på Minskat)
- socialskyddsavgiftskuld
- Moms-skuld
- semesterlöneskulder
Ange ovan. Informationen presenteras i noterna till balansräkningen.</t>
        </r>
      </text>
    </comment>
    <comment ref="H90" authorId="0" shapeId="0" xr:uid="{5FDA2A89-F928-49E1-A58C-6BCF5D05A5B8}">
      <text>
        <r>
          <rPr>
            <sz val="10"/>
            <color indexed="81"/>
            <rFont val="Tahoma"/>
            <family val="2"/>
          </rPr>
          <t xml:space="preserve">Obetalda övriga kortfristiga lån av föregående perioden:
- personalkostnader
- skulden till ägaren
- skatteskuld
- dröjningsutgifter 
- böter
</t>
        </r>
        <r>
          <rPr>
            <b/>
            <sz val="10"/>
            <color indexed="81"/>
            <rFont val="Tahoma"/>
            <family val="2"/>
          </rPr>
          <t>Eftersom programmet beräknar följande siffror bör de inte inkluderas i denna punkt.</t>
        </r>
        <r>
          <rPr>
            <b/>
            <i/>
            <sz val="10"/>
            <color indexed="81"/>
            <rFont val="Tahoma"/>
            <family val="2"/>
          </rPr>
          <t xml:space="preserve">
</t>
        </r>
        <r>
          <rPr>
            <sz val="10"/>
            <color indexed="81"/>
            <rFont val="Tahoma"/>
            <family val="2"/>
          </rPr>
          <t>- förskottinnehållningsskuld (eller förskottsinnehållnings- och 
  socialskyddsavgiftskuld på Skattekonto eller på Minskat)
- socialskyddsavgiftskuld
- Moms-skuld
- semesterlöneskulder</t>
        </r>
      </text>
    </comment>
    <comment ref="F92" authorId="0" shapeId="0" xr:uid="{B8A9ABAD-48D8-4D7E-82AE-E761DFBD8B04}">
      <text>
        <r>
          <rPr>
            <sz val="10"/>
            <color indexed="81"/>
            <rFont val="Tahoma"/>
            <family val="2"/>
          </rPr>
          <t xml:space="preserve">T.ex. Beräknad ränteskuld av lånet, innehållen hyra som förskott.
</t>
        </r>
        <r>
          <rPr>
            <b/>
            <sz val="10"/>
            <color indexed="81"/>
            <rFont val="Tahoma"/>
            <family val="2"/>
          </rPr>
          <t xml:space="preserve">Siffran kan också innehålla 
</t>
        </r>
        <r>
          <rPr>
            <sz val="10"/>
            <color indexed="81"/>
            <rFont val="Tahoma"/>
            <family val="2"/>
          </rPr>
          <t>- förskottinnehållningsskuld (eller förskottsinnehållnings- och 
  socialskyddsavgiftskuld på Skattekonto eller på Minskat)
- socialskyddsavgiftskuld
- Moms-skuld
- semesterlöneskulder
Ange ovan. Informationen presenteras i noterna till balansräkningen.</t>
        </r>
      </text>
    </comment>
    <comment ref="G92" authorId="0" shapeId="0" xr:uid="{3DF173BD-6273-4641-9B57-9EA1733000D3}">
      <text>
        <r>
          <rPr>
            <sz val="10"/>
            <color indexed="81"/>
            <rFont val="Tahoma"/>
            <family val="2"/>
          </rPr>
          <t xml:space="preserve">T.ex. Beräknad ränteskuld av lånet, innehållen hyra som förskott.
</t>
        </r>
        <r>
          <rPr>
            <b/>
            <sz val="10"/>
            <color indexed="81"/>
            <rFont val="Tahoma"/>
            <family val="2"/>
          </rPr>
          <t xml:space="preserve">Siffran kan också innehålla 
</t>
        </r>
        <r>
          <rPr>
            <sz val="10"/>
            <color indexed="81"/>
            <rFont val="Tahoma"/>
            <family val="2"/>
          </rPr>
          <t>- förskottinnehållningsskuld (eller förskottsinnehållnings- och 
  socialskyddsavgiftskuld på Skattekonto eller på Minskat)
- socialskyddsavgiftskuld
- Moms-skuld
- semesterlöneskulder
Ange ovan. Informationen presenteras i noterna till balansräkningen.</t>
        </r>
      </text>
    </comment>
    <comment ref="H92" authorId="0" shapeId="0" xr:uid="{8AF1A108-BBE3-468B-AF00-2A3E6C58BB6B}">
      <text>
        <r>
          <rPr>
            <sz val="10"/>
            <color indexed="81"/>
            <rFont val="Tahoma"/>
            <family val="2"/>
          </rPr>
          <t xml:space="preserve">T.ex. Beräknad ränteskuld av lånet, innehållen hyra som förskott.
</t>
        </r>
        <r>
          <rPr>
            <b/>
            <sz val="10"/>
            <color indexed="81"/>
            <rFont val="Tahoma"/>
            <family val="2"/>
          </rPr>
          <t xml:space="preserve">Eftersom programmet beräknar följande siffror bör de inte inkluderas i denna punkt.
</t>
        </r>
        <r>
          <rPr>
            <sz val="10"/>
            <color indexed="81"/>
            <rFont val="Tahoma"/>
            <family val="2"/>
          </rPr>
          <t>- förskottinnehållningsskuld (eller förskottsinnehållnings- och 
  socialskyddsavgiftskuld på Skattekonto eller på Minskat)
- socialskyddsavgiftskuld
- Moms-skuld
- semesterlöneskulder
Ange ovan. Informationen presenteras i noterna till balansräkningen.</t>
        </r>
      </text>
    </comment>
    <comment ref="F93" authorId="0" shapeId="0" xr:uid="{B925D976-2407-442C-ADA3-38879A4CCD24}">
      <text>
        <r>
          <rPr>
            <sz val="10"/>
            <color indexed="81"/>
            <rFont val="Tahoma"/>
            <family val="2"/>
          </rPr>
          <t>Om löner betalas regelbundet finns det vanligtvis semesterlöneskuld (semesterlön som betalas ut året med bikostnader). Om semesterlönereservering görs inte kan siffran vara noll.</t>
        </r>
      </text>
    </comment>
    <comment ref="G93" authorId="0" shapeId="0" xr:uid="{D2C50CA6-3046-451E-B248-31D9ADC4367F}">
      <text>
        <r>
          <rPr>
            <sz val="10"/>
            <color indexed="81"/>
            <rFont val="Tahoma"/>
            <family val="2"/>
          </rPr>
          <t>Om löner betalas regelbundet finns det vanligtvis semesterlöneskuld (semesterlön som betalas ut året med bikostnader). Om semesterlönereservering görs inte kan siffran vara noll.</t>
        </r>
      </text>
    </comment>
    <comment ref="H93" authorId="0" shapeId="0" xr:uid="{00000000-0006-0000-0300-000094000000}">
      <text>
        <r>
          <rPr>
            <sz val="10"/>
            <color indexed="81"/>
            <rFont val="Tahoma"/>
            <family val="2"/>
          </rPr>
          <t>Om semesterlönereservering görs inte, nollställ denna cellen.</t>
        </r>
      </text>
    </comment>
    <comment ref="H95" authorId="0" shapeId="0" xr:uid="{00000000-0006-0000-0300-000098000000}">
      <text>
        <r>
          <rPr>
            <sz val="10"/>
            <color indexed="81"/>
            <rFont val="Tahoma"/>
            <family val="2"/>
          </rPr>
          <t xml:space="preserve">Av FöPL-semesterlöner betalas inte pensionsavgifter, övriga utgifter 3 %.
</t>
        </r>
        <r>
          <rPr>
            <b/>
            <sz val="10"/>
            <color indexed="81"/>
            <rFont val="Tahoma"/>
            <family val="2"/>
          </rPr>
          <t>År 2022:</t>
        </r>
        <r>
          <rPr>
            <sz val="10"/>
            <color indexed="81"/>
            <rFont val="Tahoma"/>
            <family val="2"/>
          </rPr>
          <t xml:space="preserve"> Bikostnadsprocent av ArPL-löner slgt. 20 %. 
Om FöPL- och ArPL-löner, uppskatta då vägt medeltal.</t>
        </r>
      </text>
    </comment>
    <comment ref="F96" authorId="0" shapeId="0" xr:uid="{6C4539EF-A957-4AAC-9065-8E7E82BEE6CB}">
      <text>
        <r>
          <rPr>
            <sz val="10"/>
            <color indexed="81"/>
            <rFont val="Tahoma"/>
            <family val="2"/>
          </rPr>
          <t xml:space="preserve">Erhållen förskott eller delbetalning av produkter som ska levereras. </t>
        </r>
      </text>
    </comment>
    <comment ref="G96" authorId="0" shapeId="0" xr:uid="{A7DD0559-6240-4315-A223-7FD4970E463F}">
      <text>
        <r>
          <rPr>
            <sz val="10"/>
            <color indexed="81"/>
            <rFont val="Tahoma"/>
            <family val="2"/>
          </rPr>
          <t xml:space="preserve">Erhållen förskott eller delbetalning av produkter som ska levereras.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Ari Järvinen</author>
  </authors>
  <commentList>
    <comment ref="B7" authorId="0" shapeId="0" xr:uid="{1D3BD7C1-BF62-4AAE-A2D7-4125940D8D34}">
      <text>
        <r>
          <rPr>
            <sz val="10"/>
            <color indexed="81"/>
            <rFont val="Tahoma"/>
            <family val="2"/>
          </rPr>
          <t>Skuld eller en del av skuld, vars återbetalningstid är över ett år. Innehåller också pensions lån och skuldebrevlån av ägarna, men utan 1. årets amorteringar!</t>
        </r>
      </text>
    </comment>
    <comment ref="C7" authorId="0" shapeId="0" xr:uid="{0855C8B6-DE00-40A1-A969-B87A2B8C7911}">
      <text>
        <r>
          <rPr>
            <sz val="10"/>
            <color indexed="81"/>
            <rFont val="Tahoma"/>
            <family val="2"/>
          </rPr>
          <t>Skuld eller en del av skuld, vars återbetalningstid är över ett år.</t>
        </r>
      </text>
    </comment>
    <comment ref="B11" authorId="0" shapeId="0" xr:uid="{00000000-0006-0000-0800-000001000000}">
      <text>
        <r>
          <rPr>
            <sz val="10"/>
            <color indexed="81"/>
            <rFont val="Tahoma"/>
            <family val="2"/>
          </rPr>
          <t>Kapitallån skrivas i tabell
1. T1 INVESTERINGSPLAN, punkt 13.</t>
        </r>
      </text>
    </comment>
    <comment ref="C11" authorId="0" shapeId="0" xr:uid="{8FBFF3C4-AE47-4E6C-8B83-6E59A7EFC8DC}">
      <text>
        <r>
          <rPr>
            <sz val="10"/>
            <color indexed="81"/>
            <rFont val="Tahoma"/>
            <family val="2"/>
          </rPr>
          <t>Långivarna och lånebelopp finns i fördelning av balansräkningen. Försäkra dig</t>
        </r>
        <r>
          <rPr>
            <b/>
            <sz val="10"/>
            <color indexed="81"/>
            <rFont val="Tahoma"/>
            <family val="2"/>
          </rPr>
          <t>, att lånebeloppet innehåller inte 1. prognosårets amortering!</t>
        </r>
        <r>
          <rPr>
            <sz val="10"/>
            <color indexed="81"/>
            <rFont val="Tahoma"/>
            <family val="2"/>
          </rPr>
          <t xml:space="preserve"> Om kvarstående lånetiden är 1 år, är det fråga om kortfristigt lån och skrivas direkt i cellen G78, tabell 3. T3 BALANS!
T.ex. Återstående lånetid 5 år = 4 år långfristigt och ett år kortfristigt lån.</t>
        </r>
      </text>
    </comment>
    <comment ref="D11" authorId="0" shapeId="0" xr:uid="{00000000-0006-0000-0800-000003000000}">
      <text>
        <r>
          <rPr>
            <b/>
            <sz val="10"/>
            <color indexed="81"/>
            <rFont val="Tahoma"/>
            <family val="2"/>
          </rPr>
          <t>Skriv årssiffran i helt tal utan decimaler. Tiden innehåller också första prognosåret!</t>
        </r>
        <r>
          <rPr>
            <sz val="10"/>
            <color indexed="81"/>
            <rFont val="Tahoma"/>
            <family val="2"/>
          </rPr>
          <t xml:space="preserve"> Om kvarstående lånetiden är 1 år, är det fråga om kortfristigt lån och skrivas direkt i cellen G78 tabell 3. T3 BALANS!</t>
        </r>
      </text>
    </comment>
    <comment ref="F11" authorId="0" shapeId="0" xr:uid="{00000000-0006-0000-0800-000005000000}">
      <text>
        <r>
          <rPr>
            <sz val="10"/>
            <color indexed="81"/>
            <rFont val="Tahoma"/>
            <family val="2"/>
          </rPr>
          <t>Amorteringen av första prognosåret innehölls inte beloppet i cell C11!!
Framtida amorteringar kan skilja sig från denna siffra.</t>
        </r>
      </text>
    </comment>
    <comment ref="B17" authorId="0" shapeId="0" xr:uid="{46B72391-FCC6-4A9B-9ACD-6A867AC8DD64}">
      <text>
        <r>
          <rPr>
            <sz val="10"/>
            <color indexed="81"/>
            <rFont val="Tahoma"/>
            <family val="2"/>
          </rPr>
          <t>Kreditlimit är långfristigt lån. Lånetid kan vara t.ex. 20 år, om kreditgränsen utnyttjas fullt ut.</t>
        </r>
      </text>
    </comment>
    <comment ref="C18" authorId="0" shapeId="0" xr:uid="{4E2E66E3-C23C-47FC-8D48-9804F27ACA90}">
      <text>
        <r>
          <rPr>
            <sz val="10"/>
            <color indexed="81"/>
            <rFont val="Tahoma"/>
            <family val="2"/>
          </rPr>
          <t>Kontrollera att summan här är lika stor än cell G68 i tabell 3. T3 BALANS.</t>
        </r>
      </text>
    </comment>
    <comment ref="F18" authorId="0" shapeId="0" xr:uid="{891DCD97-56F2-4278-BB11-7D17DF71FBE5}">
      <text>
        <r>
          <rPr>
            <sz val="10"/>
            <color indexed="81"/>
            <rFont val="Tahoma"/>
            <family val="2"/>
          </rPr>
          <t>Kontrollera att summan här är lika stor än cell G77 i tabell 3. T3 BALANS.</t>
        </r>
      </text>
    </comment>
    <comment ref="D20" authorId="0" shapeId="0" xr:uid="{7102093F-B88A-4F27-A3EE-25BE6EE49CE4}">
      <text>
        <r>
          <rPr>
            <b/>
            <sz val="10"/>
            <color indexed="81"/>
            <rFont val="Tahoma"/>
            <family val="2"/>
          </rPr>
          <t>Siffran måste vara heltal</t>
        </r>
        <r>
          <rPr>
            <sz val="10"/>
            <color indexed="81"/>
            <rFont val="Tahoma"/>
            <family val="2"/>
          </rPr>
          <t>. Tiden innehåller också första prognosåret! Om kvarstående lånetiden är 1 år, är det fråga om kortfristigt lån och skrivas direkt i cellen H78 tabell 3. T3 BALANS!</t>
        </r>
      </text>
    </comment>
    <comment ref="B26" authorId="0" shapeId="0" xr:uid="{0DF91F3A-C5D8-45F7-B265-F3FD4A924536}">
      <text>
        <r>
          <rPr>
            <sz val="10"/>
            <color indexed="81"/>
            <rFont val="Tahoma"/>
            <family val="2"/>
          </rPr>
          <t>Kapitallån skrivas i tabell
1. T1 INVESTERINGSPLAN, punkt 13.</t>
        </r>
      </text>
    </comment>
    <comment ref="C26" authorId="0" shapeId="0" xr:uid="{BB8D4253-B8B1-411F-8F19-722E7B8A981C}">
      <text>
        <r>
          <rPr>
            <sz val="10"/>
            <color indexed="81"/>
            <rFont val="Tahoma"/>
            <family val="2"/>
          </rPr>
          <t>Lånebeloppet måste motsvara beloppet som ska lyftas.  Om ett lån lyfts i flera rater, skrivs varje lyft av lånet som ett annat lån.</t>
        </r>
      </text>
    </comment>
    <comment ref="D26" authorId="0" shapeId="0" xr:uid="{00000000-0006-0000-0800-000016000000}">
      <text>
        <r>
          <rPr>
            <sz val="10"/>
            <color indexed="81"/>
            <rFont val="Tahoma"/>
            <family val="2"/>
          </rPr>
          <t>Skriv årssiffran i helt tal utan decimaler. Om lånetiden är ett år, är det fråga om ett kortfristigt lån (skriv direkt i cell H78 i 3. T3 BALANS)</t>
        </r>
      </text>
    </comment>
    <comment ref="G26" authorId="0" shapeId="0" xr:uid="{99C79C55-40BF-4338-BFE5-79280994E17D}">
      <text>
        <r>
          <rPr>
            <sz val="10"/>
            <color indexed="81"/>
            <rFont val="Tahoma"/>
            <family val="2"/>
          </rPr>
          <t xml:space="preserve">Skriv amorteringens storlek för hela lånetiden. T.ex. lånets kapital 100 000 €,
amorteringstid 5 år = årlig amortering 20 000 €. </t>
        </r>
      </text>
    </comment>
    <comment ref="P26" authorId="0" shapeId="0" xr:uid="{66433B80-69C9-4A12-A341-A2610BB8B746}">
      <text>
        <r>
          <rPr>
            <sz val="10"/>
            <color indexed="81"/>
            <rFont val="Tahoma"/>
            <family val="2"/>
          </rPr>
          <t>Räkna årlig amortering. Kontrollera sista amorteringsraten!</t>
        </r>
      </text>
    </comment>
    <comment ref="J30" authorId="0" shapeId="0" xr:uid="{BB0FB3BA-97B0-4EC0-988E-100BF086F46B}">
      <text>
        <r>
          <rPr>
            <sz val="10"/>
            <color indexed="81"/>
            <rFont val="Tahoma"/>
            <family val="2"/>
          </rPr>
          <t xml:space="preserve">Skriv amorteringens storlek för hela lånetiden. T.ex. lånets kapital 100 000 €,
amorteringstid 5 år = årlig amortering 20 000 €. </t>
        </r>
      </text>
    </comment>
    <comment ref="P30" authorId="0" shapeId="0" xr:uid="{FEDF7643-2384-4F8B-832E-1FEA249ADB4F}">
      <text>
        <r>
          <rPr>
            <sz val="10"/>
            <color indexed="81"/>
            <rFont val="Tahoma"/>
            <family val="2"/>
          </rPr>
          <t>Räkna årlig amortering. Kontrollera sista amorteringsraten!</t>
        </r>
      </text>
    </comment>
    <comment ref="M34" authorId="0" shapeId="0" xr:uid="{AFEC04BE-4A62-4DA8-991D-FD49BB30D2A0}">
      <text>
        <r>
          <rPr>
            <sz val="10"/>
            <color indexed="81"/>
            <rFont val="Tahoma"/>
            <family val="2"/>
          </rPr>
          <t xml:space="preserve">Skriv amorteringens storlek för hela lånetiden. T.ex. lånets kapital 100 000 €,
amorteringstid 5 år = årlig amortering 20 000 €. </t>
        </r>
      </text>
    </comment>
    <comment ref="P34" authorId="0" shapeId="0" xr:uid="{B1238143-3034-4B9B-B3B2-5947BFDB1FD7}">
      <text>
        <r>
          <rPr>
            <sz val="10"/>
            <color indexed="81"/>
            <rFont val="Tahoma"/>
            <family val="2"/>
          </rPr>
          <t>Räkna årlig amortering. Kontrollera sista amorteringsraten!</t>
        </r>
      </text>
    </comment>
    <comment ref="P38" authorId="0" shapeId="0" xr:uid="{7BBF3BEB-88CD-4C50-8941-95EB5BDD560E}">
      <text>
        <r>
          <rPr>
            <sz val="10"/>
            <color indexed="81"/>
            <rFont val="Tahoma"/>
            <family val="2"/>
          </rPr>
          <t xml:space="preserve">Skriv amorteringens storlek för hela lånetiden. T.ex. lånets kapital 100 000 €,
amorteringstid 5 år = årlig amortering 20 000 €. </t>
        </r>
      </text>
    </comment>
    <comment ref="B44" authorId="0" shapeId="0" xr:uid="{00000000-0006-0000-0800-000022000000}">
      <text>
        <r>
          <rPr>
            <sz val="10"/>
            <color indexed="81"/>
            <rFont val="Tahoma"/>
            <family val="2"/>
          </rPr>
          <t>Skriv kreditgivarens namn.</t>
        </r>
      </text>
    </comment>
    <comment ref="D44" authorId="0" shapeId="0" xr:uid="{00000000-0006-0000-0800-000023000000}">
      <text>
        <r>
          <rPr>
            <b/>
            <sz val="10"/>
            <color indexed="81"/>
            <rFont val="Tahoma"/>
            <family val="2"/>
          </rPr>
          <t xml:space="preserve">Siffran måste vara heltal. </t>
        </r>
        <r>
          <rPr>
            <sz val="10"/>
            <color indexed="81"/>
            <rFont val="Tahoma"/>
            <family val="2"/>
          </rPr>
          <t>Avbetalningslånens minsta lånetid är 2 år.</t>
        </r>
        <r>
          <rPr>
            <sz val="9"/>
            <color indexed="81"/>
            <rFont val="Tahoma"/>
            <family val="2"/>
          </rPr>
          <t xml:space="preserve"> </t>
        </r>
      </text>
    </comment>
    <comment ref="C50" authorId="0" shapeId="0" xr:uid="{E0A143C2-9425-4731-BF23-9D1AA3A18A2C}">
      <text>
        <r>
          <rPr>
            <sz val="10"/>
            <color indexed="81"/>
            <rFont val="Tahoma"/>
            <family val="2"/>
          </rPr>
          <t>Förflyttar sig från tabell 3. T3 BALANS, cell G78.</t>
        </r>
      </text>
    </comment>
    <comment ref="H50" authorId="0" shapeId="0" xr:uid="{B7C5EF5C-B799-4A3F-A3A2-319B028B1EA3}">
      <text>
        <r>
          <rPr>
            <sz val="10"/>
            <color indexed="81"/>
            <rFont val="Tahoma"/>
            <family val="2"/>
          </rPr>
          <t>Tillägg i beloppet räntan på kapitallån.</t>
        </r>
      </text>
    </comment>
    <comment ref="K50" authorId="0" shapeId="0" xr:uid="{55177E4A-E560-465C-A5F3-B318101CC710}">
      <text>
        <r>
          <rPr>
            <sz val="10"/>
            <color indexed="81"/>
            <rFont val="Tahoma"/>
            <family val="2"/>
          </rPr>
          <t>Tillägg i beloppet räntan på kapitallån.</t>
        </r>
      </text>
    </comment>
    <comment ref="N50" authorId="0" shapeId="0" xr:uid="{EA74BA83-AE57-4117-8F4D-4DB9CD1DFC99}">
      <text>
        <r>
          <rPr>
            <sz val="10"/>
            <color indexed="81"/>
            <rFont val="Tahoma"/>
            <family val="2"/>
          </rPr>
          <t>Tillägg i beloppet räntan på kapitallån.</t>
        </r>
      </text>
    </comment>
    <comment ref="Q50" authorId="0" shapeId="0" xr:uid="{C200A91A-AE88-4D42-A4C8-958B4C222F2E}">
      <text>
        <r>
          <rPr>
            <sz val="10"/>
            <color indexed="81"/>
            <rFont val="Tahoma"/>
            <family val="2"/>
          </rPr>
          <t>Tillägg i beloppet räntan på kapitallån.</t>
        </r>
      </text>
    </comment>
    <comment ref="C52" authorId="0" shapeId="0" xr:uid="{FA4901A4-4ADC-40AE-A120-E890FB8028D9}">
      <text>
        <r>
          <rPr>
            <sz val="10"/>
            <color indexed="81"/>
            <rFont val="Tahoma"/>
            <family val="2"/>
          </rPr>
          <t>Förflyttar sig från tabell 3. T3 BALANS, cell G74.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Företagstolken</author>
  </authors>
  <commentList>
    <comment ref="B7" authorId="0" shapeId="0" xr:uid="{DF5B223B-D968-460F-AD67-4278C7886EA7}">
      <text>
        <r>
          <rPr>
            <sz val="10"/>
            <color indexed="81"/>
            <rFont val="Tahoma"/>
            <family val="2"/>
          </rPr>
          <t>Utom hälso- och socialvård, försäkring- och finansieringstjänster samt företagen årsomsättning under 15 000 € inkl. Moms.</t>
        </r>
      </text>
    </comment>
    <comment ref="F10" authorId="1" shapeId="0" xr:uid="{1315B2F1-8D4A-45BC-875E-BD8D6664C0C1}">
      <text>
        <r>
          <rPr>
            <sz val="10"/>
            <color indexed="81"/>
            <rFont val="Tahoma"/>
            <family val="2"/>
          </rPr>
          <t>Om räkenskapsperioden är annan än 12 månader ( 6 - 18 månader), förändra beloppen motsvarande. Observera följande perioden.</t>
        </r>
      </text>
    </comment>
    <comment ref="F13" authorId="1" shapeId="0" xr:uid="{4A30E13A-C676-4317-97DE-CD4F9D5F25FC}">
      <text>
        <r>
          <rPr>
            <b/>
            <sz val="10"/>
            <color indexed="81"/>
            <rFont val="Tahoma"/>
            <family val="2"/>
          </rPr>
          <t>Privata uttag skrivas i cellerna H39 till K39 i tabell 
9. T4 FINANSIERINGSPLAN. Var noga med att lägga till / kontrollera cellen F35 (FöPL-företagarens arbetsinkomst).
En enskild näringsidkare</t>
        </r>
        <r>
          <rPr>
            <sz val="10"/>
            <color indexed="81"/>
            <rFont val="Tahoma"/>
            <family val="2"/>
          </rPr>
          <t xml:space="preserve"> 
kan inte betala lön till sig själv, sin make eller ett barn under 14 år. Entreprenören tar ut pengar från företagets konto som ett privat uttag. 
</t>
        </r>
        <r>
          <rPr>
            <b/>
            <sz val="10"/>
            <color indexed="81"/>
            <rFont val="Tahoma"/>
            <family val="2"/>
          </rPr>
          <t>En partner i ett öppet och kommanditbolag</t>
        </r>
        <r>
          <rPr>
            <sz val="10"/>
            <color indexed="81"/>
            <rFont val="Tahoma"/>
            <family val="2"/>
          </rPr>
          <t xml:space="preserve"> 
kan betala själv lön eller göra privata uttag.
</t>
        </r>
        <r>
          <rPr>
            <b/>
            <sz val="10"/>
            <color indexed="81"/>
            <rFont val="Tahoma"/>
            <family val="2"/>
          </rPr>
          <t xml:space="preserve">Aktieägaren i aktiebolag 
</t>
        </r>
        <r>
          <rPr>
            <sz val="10"/>
            <color indexed="81"/>
            <rFont val="Tahoma"/>
            <family val="2"/>
          </rPr>
          <t xml:space="preserve">betalar vanligen lön för sig själv men är inte nödvändigt. Privata uttag är inte möjliga. </t>
        </r>
      </text>
    </comment>
    <comment ref="P13" authorId="1" shapeId="0" xr:uid="{A9A36813-48DD-4C2A-A6C2-8BD00FAB56E8}">
      <text>
        <r>
          <rPr>
            <sz val="10"/>
            <color indexed="81"/>
            <rFont val="Tahoma"/>
            <family val="2"/>
          </rPr>
          <t>Kostnaderna stiger årligen! Förändra siffran eller skriv direkt i cellen.</t>
        </r>
      </text>
    </comment>
    <comment ref="F14" authorId="1" shapeId="0" xr:uid="{73B303C9-A71A-42D8-A7F8-12DB1FE7FAB7}">
      <text>
        <r>
          <rPr>
            <sz val="10"/>
            <color indexed="81"/>
            <rFont val="Tahoma"/>
            <family val="2"/>
          </rPr>
          <t xml:space="preserve">Naturaförmåner kan inte ges till enskild näringsidkare. I ett öppet och kommanditbolag är möjligt om företagarna får lön. </t>
        </r>
      </text>
    </comment>
    <comment ref="F15" authorId="1" shapeId="0" xr:uid="{00000000-0006-0000-0900-000002000000}">
      <text>
        <r>
          <rPr>
            <sz val="10"/>
            <color indexed="81"/>
            <rFont val="Tahoma"/>
            <family val="2"/>
          </rPr>
          <t>Lönemånader max. 12,5. Om semesterpeng (=½ av semesterlön) inte betalas, är siffran 12.  Semesterlönekostnader kalkyleras automatiskt till tabell 2. T2 RESULTATBUDGET punkt 7. Personalkostnader.
Om semesterlönereservering inte görs, nollställa cellerna G93 - J93
i tabell 3. T3 BALANS.</t>
        </r>
      </text>
    </comment>
    <comment ref="F16" authorId="1" shapeId="0" xr:uid="{5371092C-A020-4366-A5D1-679BEA7DE245}">
      <text>
        <r>
          <rPr>
            <sz val="10"/>
            <color indexed="81"/>
            <rFont val="Tahoma"/>
            <family val="2"/>
          </rPr>
          <t xml:space="preserve">Genomsnittlig skatteavdrags-% för alla FöPL-företagarna. </t>
        </r>
      </text>
    </comment>
    <comment ref="C17" authorId="1" shapeId="0" xr:uid="{00000000-0006-0000-0900-000006000000}">
      <text>
        <r>
          <rPr>
            <sz val="10"/>
            <color indexed="81"/>
            <rFont val="Tahoma"/>
            <family val="2"/>
          </rPr>
          <t>Förändra texten om behövs.</t>
        </r>
      </text>
    </comment>
    <comment ref="F19" authorId="1" shapeId="0" xr:uid="{00000000-0006-0000-0900-000008000000}">
      <text>
        <r>
          <rPr>
            <sz val="10"/>
            <color indexed="81"/>
            <rFont val="Tahoma"/>
            <family val="2"/>
          </rPr>
          <t>Arbetstimmar / månad
- 8 h arbetsdag= 172 h/månad
- 7,6 h arbetsdag = 162 h/månad</t>
        </r>
      </text>
    </comment>
    <comment ref="F21" authorId="1" shapeId="0" xr:uid="{47847EFA-D64F-4690-8E5A-2AE594E9A221}">
      <text>
        <r>
          <rPr>
            <sz val="10"/>
            <color indexed="81"/>
            <rFont val="Tahoma"/>
            <family val="2"/>
          </rPr>
          <t>Lönemånader max. 12,5. Om semesterpeng (=½ av semesterlön) inte betalas, är siffran 12. Semesterlönekostnader kalkyleras automatiskt till tabell 2. T2 RESULTATBUDGET punkt 7. Personalkostnader.
Om semesterlönereservering inte görs, nollställa cellerna G93 - J93
i tabell 3. T3 BALANS.</t>
        </r>
      </text>
    </comment>
    <comment ref="P22" authorId="1" shapeId="0" xr:uid="{3070E984-B235-4FE8-9D19-4D569927A1A1}">
      <text>
        <r>
          <rPr>
            <sz val="10"/>
            <color indexed="81"/>
            <rFont val="Tahoma"/>
            <family val="2"/>
          </rPr>
          <t>Kostnaderna stiger årligen! Förändra siffran eller skriv direkt i cellen.</t>
        </r>
      </text>
    </comment>
    <comment ref="F23" authorId="1" shapeId="0" xr:uid="{F852674C-EBE9-49BC-92EB-2A8A3E7CDB11}">
      <text>
        <r>
          <rPr>
            <sz val="10"/>
            <color indexed="81"/>
            <rFont val="Tahoma"/>
            <family val="2"/>
          </rPr>
          <t>Genomsnittlig skatteavdrags-% för alla arbetstagarna i grupp 1.2.</t>
        </r>
      </text>
    </comment>
    <comment ref="C24" authorId="1" shapeId="0" xr:uid="{44506E64-2BB3-4EB0-8A91-7E8CB5AC1363}">
      <text>
        <r>
          <rPr>
            <sz val="10"/>
            <color indexed="81"/>
            <rFont val="Tahoma"/>
            <family val="2"/>
          </rPr>
          <t>Förändra texten om behövs.</t>
        </r>
      </text>
    </comment>
    <comment ref="F27" authorId="1" shapeId="0" xr:uid="{14ED9976-CA2F-4DCD-BD7A-AA2C60246F7D}">
      <text>
        <r>
          <rPr>
            <sz val="10"/>
            <color indexed="81"/>
            <rFont val="Tahoma"/>
            <family val="2"/>
          </rPr>
          <t>Lönemånader max. 12,5. Om semesterpeng (=½ av semesterlön) inte betalas, är siffran 12.  Semesterlönekostnader kalkyleras automatiskt till tabell 2. T2 RESULTATBUDGET punkt 7. Personalkostnader.
Om semesterlönereservering inte görs, nollställa cellerna G93 - J93
i tabell 3. T3 BALANS.</t>
        </r>
      </text>
    </comment>
    <comment ref="P28" authorId="1" shapeId="0" xr:uid="{A693B66D-A391-45FE-8291-74153E154775}">
      <text>
        <r>
          <rPr>
            <sz val="10"/>
            <color indexed="81"/>
            <rFont val="Tahoma"/>
            <family val="2"/>
          </rPr>
          <t>Kostnaderna stiger årligen! Förändra siffran eller skriv direkt i cellen.</t>
        </r>
      </text>
    </comment>
    <comment ref="F29" authorId="1" shapeId="0" xr:uid="{0A1B4FD7-01F1-4F61-AA7D-6DB49CA400E5}">
      <text>
        <r>
          <rPr>
            <sz val="10"/>
            <color indexed="81"/>
            <rFont val="Tahoma"/>
            <family val="2"/>
          </rPr>
          <t>Genomsnittlig skatteavdrags-% för alla arbetstagarna i grupp 1.3.</t>
        </r>
      </text>
    </comment>
    <comment ref="F33" authorId="1" shapeId="0" xr:uid="{00000000-0006-0000-0900-000018000000}">
      <text>
        <r>
          <rPr>
            <b/>
            <sz val="10"/>
            <color indexed="81"/>
            <rFont val="Tahoma"/>
            <family val="2"/>
          </rPr>
          <t>2022</t>
        </r>
        <r>
          <rPr>
            <sz val="10"/>
            <color indexed="81"/>
            <rFont val="Tahoma"/>
            <family val="2"/>
          </rPr>
          <t xml:space="preserve">
Företaget betalar ArPL-pensionsavgift 17,4 % av beskattningsbar inkomst.</t>
        </r>
      </text>
    </comment>
    <comment ref="F35" authorId="1" shapeId="0" xr:uid="{00000000-0006-0000-0900-000019000000}">
      <text>
        <r>
          <rPr>
            <sz val="10"/>
            <color indexed="81"/>
            <rFont val="Tahoma"/>
            <family val="2"/>
          </rPr>
          <t>Arbetsinkomst av alla FöPL-företagare sammanlagt enligt lönen i punkt 1. FöPL-arbetsinkomsten borde motsvara lön av samma arbete. Siffran kan förändras.
Arbetsinkomsten kan vara noll endast, om FöPL betalas av ett annat företag.</t>
        </r>
      </text>
    </comment>
    <comment ref="P35" authorId="1" shapeId="0" xr:uid="{F81D0713-D897-415C-BBD8-5341C913460F}">
      <text>
        <r>
          <rPr>
            <sz val="10"/>
            <color indexed="81"/>
            <rFont val="Tahoma"/>
            <family val="2"/>
          </rPr>
          <t>Kostnaderna stiger årligen! Förändra siffran eller skriv direkt i cellen.</t>
        </r>
      </text>
    </comment>
    <comment ref="F36" authorId="2" shapeId="0" xr:uid="{1C43AA0C-7F57-4A98-AB67-278545DCE9B3}">
      <text>
        <r>
          <rPr>
            <sz val="10"/>
            <color indexed="81"/>
            <rFont val="Tahoma"/>
            <family val="2"/>
          </rPr>
          <t>FöPL-betalningarna i år 2022
 - under 53-årig och över 62-årig 24,1 % (nybörjande 
   företagare första 4 år 18,8 %) 
 - över 53 årig 25,6 % (nybörjande företagare första
   4 år 20 %)</t>
        </r>
      </text>
    </comment>
    <comment ref="F40" authorId="2" shapeId="0" xr:uid="{C7742238-9590-4133-B1EB-78F378B9B253}">
      <text>
        <r>
          <rPr>
            <sz val="10"/>
            <color indexed="81"/>
            <rFont val="Tahoma"/>
            <family val="2"/>
          </rPr>
          <t>År 2022: Företaget betalar av lönen
- olycks- och yrkessjukdomsförsäkring 0,76 %
  (för olycksbenägen bransch större, uppgår till 7 %)
- Arbetslöshetsförsäkring 0,5 %
- Sjukförsäkringsavgift 1,34 %
Sammanlagt 2,7 % (förändra om behövs)</t>
        </r>
      </text>
    </comment>
    <comment ref="F42" authorId="2" shapeId="0" xr:uid="{5402A7FD-A3E8-43DA-BD47-000B57C2A03C}">
      <text>
        <r>
          <rPr>
            <sz val="10"/>
            <color indexed="81"/>
            <rFont val="Tahoma"/>
            <family val="2"/>
          </rPr>
          <t>Livförsäkringsavgiften räknas färdigt (= 0,008 x företagets lånar i början). Siffran kan förändras.</t>
        </r>
      </text>
    </comment>
    <comment ref="P42" authorId="1" shapeId="0" xr:uid="{AAB7F2BC-7FAB-488E-86CD-C413873BD756}">
      <text>
        <r>
          <rPr>
            <sz val="10"/>
            <color indexed="81"/>
            <rFont val="Tahoma"/>
            <family val="2"/>
          </rPr>
          <t>Kostnaderna stiger årligen! Förändra siffran eller skriv direkt i cellen.</t>
        </r>
      </text>
    </comment>
    <comment ref="F43" authorId="1" shapeId="0" xr:uid="{7814B1DD-CA7A-43CB-BD98-B4030FDF4321}">
      <text>
        <r>
          <rPr>
            <sz val="10"/>
            <color indexed="81"/>
            <rFont val="Tahoma"/>
            <family val="2"/>
          </rPr>
          <t>T. ex. Företaget kan ta för arbetstagaren livförsäkring, reseförsäkring etc.</t>
        </r>
      </text>
    </comment>
    <comment ref="O47" authorId="1" shapeId="0" xr:uid="{73C7DFC9-2961-4A83-A598-95C1AC7174C4}">
      <text>
        <r>
          <rPr>
            <sz val="10"/>
            <color indexed="81"/>
            <rFont val="Tahoma"/>
            <family val="2"/>
          </rPr>
          <t>Kostnaderna stiger årligen! Förändra siffran eller skriv direkt i cellen.</t>
        </r>
      </text>
    </comment>
    <comment ref="D51" authorId="1" shapeId="0" xr:uid="{170105CC-9EB8-42F7-95D5-983E49EF3BBE}">
      <text>
        <r>
          <rPr>
            <sz val="10"/>
            <color indexed="81"/>
            <rFont val="Tahoma"/>
            <family val="2"/>
          </rPr>
          <t>Måltider, rekrytering, gåvor t.ex.</t>
        </r>
      </text>
    </comment>
    <comment ref="D53" authorId="1" shapeId="0" xr:uid="{AEA2B92D-F70F-4647-A5A9-C9E5066EF7A4}">
      <text>
        <r>
          <rPr>
            <sz val="10"/>
            <color indexed="81"/>
            <rFont val="Tahoma"/>
            <family val="2"/>
          </rPr>
          <t>Skriv siffran utan Moms, om Moms kan minskas. Om Moms kan inte minskas, skriv siffran inkl. Moms. Hyrning av bostäder är alltid Momsfri och skrivs i punkt 3.21 Hyror, vederlag, övr. kostnader Moms 0 %.</t>
        </r>
      </text>
    </comment>
    <comment ref="F53" authorId="1" shapeId="0" xr:uid="{16F0FE36-1398-4162-ACE9-7D55CBF1E64D}">
      <text>
        <r>
          <rPr>
            <sz val="10"/>
            <color indexed="81"/>
            <rFont val="Tahoma"/>
            <family val="2"/>
          </rPr>
          <t>Skriv siffran utan Moms, om Moms kan minskas. Om Moms kan inte minskas, skriv siffran inkl. Moms. Hyrning av bostäder är alltid Momsfri och skrivs i punkt 3.21 Hyror, vederlag, övr. kostnader Moms 0 %.</t>
        </r>
      </text>
    </comment>
    <comment ref="O53" authorId="1" shapeId="0" xr:uid="{BBE3107F-F867-448A-859F-2B387148BBF3}">
      <text>
        <r>
          <rPr>
            <sz val="10"/>
            <color indexed="81"/>
            <rFont val="Tahoma"/>
            <family val="2"/>
          </rPr>
          <t>Kostnaderna stiger årligen! Förändra siffran eller skriv direkt i cellen.</t>
        </r>
      </text>
    </comment>
    <comment ref="F61" authorId="1" shapeId="0" xr:uid="{DD74A13C-AB24-42AF-9BEC-ADD4A7A06F3B}">
      <text>
        <r>
          <rPr>
            <sz val="10"/>
            <color indexed="81"/>
            <rFont val="Tahoma"/>
            <family val="2"/>
          </rPr>
          <t xml:space="preserve">Pris 0,3 % av brandförsäkringsvärde.  </t>
        </r>
      </text>
    </comment>
    <comment ref="C63" authorId="1" shapeId="0" xr:uid="{0C89F78D-6C4B-4F3C-BFD5-743C15F4E895}">
      <text>
        <r>
          <rPr>
            <sz val="10"/>
            <color indexed="81"/>
            <rFont val="Tahoma"/>
            <family val="2"/>
          </rPr>
          <t>Bilar i privatbruk, punkt 3.18.</t>
        </r>
      </text>
    </comment>
    <comment ref="O64" authorId="1" shapeId="0" xr:uid="{2BF8167E-387D-458B-83CA-0B928CE0DD10}">
      <text>
        <r>
          <rPr>
            <sz val="10"/>
            <color indexed="81"/>
            <rFont val="Tahoma"/>
            <family val="2"/>
          </rPr>
          <t>Kostnaderna stiger årligen! Förändra siffran eller skriv direkt i cellen.</t>
        </r>
      </text>
    </comment>
    <comment ref="O70" authorId="1" shapeId="0" xr:uid="{63C6521A-FF67-4796-9376-06B63C6320E9}">
      <text>
        <r>
          <rPr>
            <sz val="10"/>
            <color indexed="81"/>
            <rFont val="Tahoma"/>
            <family val="2"/>
          </rPr>
          <t>Kostnaderna stiger årligen! Förändra siffran eller skriv direkt i cellen.</t>
        </r>
      </text>
    </comment>
    <comment ref="F72" authorId="2" shapeId="0" xr:uid="{189AC50A-BD6C-4341-81FC-7D482EA02938}">
      <text>
        <r>
          <rPr>
            <sz val="10"/>
            <color indexed="81"/>
            <rFont val="Tahoma"/>
            <family val="2"/>
          </rPr>
          <t>Alla vanliga ADB-apparater ingår i denna grupp.</t>
        </r>
      </text>
    </comment>
    <comment ref="C74" authorId="1" shapeId="0" xr:uid="{A1B67C63-6CB5-4FCB-ABAE-A8DCCB3ED2FD}">
      <text>
        <r>
          <rPr>
            <sz val="10"/>
            <color indexed="81"/>
            <rFont val="Tahoma"/>
            <family val="2"/>
          </rPr>
          <t>Moms-avdragbara, i affärsbruk. Ej-avdragbara kostnader, använd punkt 3.18.</t>
        </r>
      </text>
    </comment>
    <comment ref="F75" authorId="1" shapeId="0" xr:uid="{692AFA50-BB5C-4BE2-8CDE-0F8B708FF42A}">
      <text>
        <r>
          <rPr>
            <sz val="10"/>
            <color indexed="81"/>
            <rFont val="Tahoma"/>
            <family val="2"/>
          </rPr>
          <t>Leasingkostnader utan affärsbruk skrivas i punkt 
3.19 Leasingkostnader Moms 0 %. 
Skriv betalningsplan för hela betalningsperioden.</t>
        </r>
      </text>
    </comment>
    <comment ref="O75" authorId="1" shapeId="0" xr:uid="{7B3B250D-A8EF-4D9C-8A2A-18B73F8FF672}">
      <text>
        <r>
          <rPr>
            <sz val="10"/>
            <color indexed="81"/>
            <rFont val="Tahoma"/>
            <family val="2"/>
          </rPr>
          <t>Kostnaderna stiger årligen! Förändra siffran eller skriv direkt i cellen.</t>
        </r>
      </text>
    </comment>
    <comment ref="F77" authorId="2" shapeId="0" xr:uid="{E7983186-2FE1-4D59-9352-15C6380C5725}">
      <text>
        <r>
          <rPr>
            <sz val="10"/>
            <color indexed="81"/>
            <rFont val="Tahoma"/>
            <family val="2"/>
          </rPr>
          <t xml:space="preserve">Små anskaffningar och anskaffningar vars livslängd är mindre än 3 år. Dessa kan dras av i beskattningen som en kostnad på en gång:
- Små anskaffningar, t.ex. handverktyg, små apparater, telefoner, anskaffningspris under 1200 € moms 0% 
- Små anskaffningar, det totala inköpsvärdet 3600 € / år moms 0%.
- Alla maskiner och utrustning (kortfristiga anläggningstillgångar) oberoende av pris, om deras sannolik ekonomisk livslängd är mindre än 3 år. </t>
        </r>
      </text>
    </comment>
    <comment ref="O80" authorId="1" shapeId="0" xr:uid="{F8D48D34-3F77-47A4-9EBD-D4D4170D9BA1}">
      <text>
        <r>
          <rPr>
            <sz val="10"/>
            <color indexed="81"/>
            <rFont val="Tahoma"/>
            <family val="2"/>
          </rPr>
          <t>Kostnaderna stiger årligen! Förändra siffran eller skriv direkt i cellen.</t>
        </r>
      </text>
    </comment>
    <comment ref="F81" authorId="1" shapeId="0" xr:uid="{4EA50DAA-1353-45A8-ADBE-47E139C1A806}">
      <text>
        <r>
          <rPr>
            <sz val="10"/>
            <color indexed="81"/>
            <rFont val="Tahoma"/>
            <family val="2"/>
          </rPr>
          <t>Företaget kan betala åt arbetstagaren en måltid per dagtraktamente .</t>
        </r>
      </text>
    </comment>
    <comment ref="D86" authorId="1" shapeId="0" xr:uid="{00000000-0006-0000-0900-00003B000000}">
      <text>
        <r>
          <rPr>
            <sz val="10"/>
            <color indexed="81"/>
            <rFont val="Tahoma"/>
            <family val="2"/>
          </rPr>
          <t>Avdragbar andel av representationskostnader är 50 %, dock inte i Moms-beskattning.</t>
        </r>
      </text>
    </comment>
    <comment ref="F86" authorId="1" shapeId="0" xr:uid="{665E2959-E79B-4502-AC8D-2D4A148C9226}">
      <text>
        <r>
          <rPr>
            <sz val="10"/>
            <color indexed="81"/>
            <rFont val="Tahoma"/>
            <family val="2"/>
          </rPr>
          <t>Avdragbar andel av representationskostnader är 50 %, dock inte i Moms-beskattning.</t>
        </r>
      </text>
    </comment>
    <comment ref="D100" authorId="1" shapeId="0" xr:uid="{94260903-DD6E-4358-805C-707EE2F8C9AD}">
      <text>
        <r>
          <rPr>
            <sz val="10"/>
            <color indexed="81"/>
            <rFont val="Tahoma"/>
            <family val="2"/>
          </rPr>
          <t>Hyror av arbetskraft för produktion skrivas i tabell 
2. T2 RESULTATSBUDGET, punkt 6. Köpta tjänster.</t>
        </r>
      </text>
    </comment>
    <comment ref="F117" authorId="1" shapeId="0" xr:uid="{00000000-0006-0000-0900-000046000000}">
      <text>
        <r>
          <rPr>
            <sz val="10"/>
            <color indexed="81"/>
            <rFont val="Tahoma"/>
            <family val="2"/>
          </rPr>
          <t>Är inte representationskostnader. Avdragbara i beskattning.</t>
        </r>
      </text>
    </comment>
    <comment ref="D118" authorId="1" shapeId="0" xr:uid="{B024D57A-0C56-4E49-9EF0-373085027FF5}">
      <text>
        <r>
          <rPr>
            <sz val="10"/>
            <color indexed="81"/>
            <rFont val="Tahoma"/>
            <family val="2"/>
          </rPr>
          <t xml:space="preserve">Betyder kostnader av tjänstebilar o.d. fordon, vilka inte är i affärsbruk. T.ex. naturaförmånsbil.  Sådana kostnader är inte avdragbara i Moms-beskattning. </t>
        </r>
      </text>
    </comment>
    <comment ref="F118" authorId="1" shapeId="0" xr:uid="{78FAE606-15EA-4915-85E7-E0628CEC4968}">
      <text>
        <r>
          <rPr>
            <sz val="10"/>
            <color indexed="81"/>
            <rFont val="Tahoma"/>
            <family val="2"/>
          </rPr>
          <t xml:space="preserve">Betyder kostnader av tjänstebilar o.d. fordon, vilka inte är i affärsbruk. T.ex. naturaförmånsbil.  Sådana kostnader är inte avdragbara i Moms-beskattning. </t>
        </r>
      </text>
    </comment>
    <comment ref="D119" authorId="1" shapeId="0" xr:uid="{77B85BF8-8AF6-4524-AF8A-D4A602A0839A}">
      <text>
        <r>
          <rPr>
            <sz val="10"/>
            <color indexed="81"/>
            <rFont val="Tahoma"/>
            <family val="2"/>
          </rPr>
          <t>Betyder leasingfinansieringens årskostnader av investeringar för privatbruk. Kostnaderna innehåller inte avdragbar Moms.</t>
        </r>
      </text>
    </comment>
    <comment ref="F119" authorId="1" shapeId="0" xr:uid="{CA7DDDC7-809D-4A5B-99B8-8D8DFA65218B}">
      <text>
        <r>
          <rPr>
            <sz val="10"/>
            <color indexed="81"/>
            <rFont val="Tahoma"/>
            <family val="2"/>
          </rPr>
          <t>Betyder leasingfinansieringens årskostnader av investeringar för privatbruk. Kostnaderna innehåller inte avdragbar Moms.</t>
        </r>
      </text>
    </comment>
    <comment ref="H119" authorId="1" shapeId="0" xr:uid="{E539D5AA-D31A-4751-B4B9-4C26F8FAA6FA}">
      <text>
        <r>
          <rPr>
            <sz val="10"/>
            <color indexed="81"/>
            <rFont val="Tahoma"/>
            <family val="2"/>
          </rPr>
          <t>Skriv betalningsplan för hela betalningsperioden.</t>
        </r>
      </text>
    </comment>
    <comment ref="J119" authorId="1" shapeId="0" xr:uid="{5B539DE4-47B8-4173-8406-20D7736B3E54}">
      <text>
        <r>
          <rPr>
            <sz val="10"/>
            <color indexed="81"/>
            <rFont val="Tahoma"/>
            <family val="2"/>
          </rPr>
          <t>Skriv betalningsplan för hela betalningsperioden.</t>
        </r>
      </text>
    </comment>
    <comment ref="L119" authorId="1" shapeId="0" xr:uid="{7E1046DC-74FE-41C3-8DF9-C55046E0BD75}">
      <text>
        <r>
          <rPr>
            <sz val="10"/>
            <color indexed="81"/>
            <rFont val="Tahoma"/>
            <family val="2"/>
          </rPr>
          <t>Skriv betalningsplan för hela betalningsperioden.</t>
        </r>
      </text>
    </comment>
    <comment ref="D120" authorId="1" shapeId="0" xr:uid="{A3532DB4-1D39-4BB5-AB9A-E629A079E350}">
      <text>
        <r>
          <rPr>
            <sz val="10"/>
            <color indexed="81"/>
            <rFont val="Tahoma"/>
            <family val="2"/>
          </rPr>
          <t>Tjänster utan förbindelse till omsättning</t>
        </r>
        <r>
          <rPr>
            <sz val="9"/>
            <color indexed="81"/>
            <rFont val="Tahoma"/>
            <family val="2"/>
          </rPr>
          <t xml:space="preserve">. </t>
        </r>
      </text>
    </comment>
    <comment ref="F120" authorId="1" shapeId="0" xr:uid="{6E55E68F-7B43-4BED-B046-0D84DEDD8276}">
      <text>
        <r>
          <rPr>
            <sz val="10"/>
            <color indexed="81"/>
            <rFont val="Tahoma"/>
            <family val="2"/>
          </rPr>
          <t xml:space="preserve">Tjänster utan förbindelse till omsättning. </t>
        </r>
      </text>
    </comment>
    <comment ref="D121" authorId="1" shapeId="0" xr:uid="{4986CA76-EB8F-4E80-8CB3-91CD4CC0E9E7}">
      <text>
        <r>
          <rPr>
            <b/>
            <sz val="10"/>
            <color indexed="81"/>
            <rFont val="Tahoma"/>
            <family val="2"/>
          </rPr>
          <t>Hyrning av bostäder är alltid Momsfri.</t>
        </r>
        <r>
          <rPr>
            <sz val="10"/>
            <color indexed="81"/>
            <rFont val="Tahoma"/>
            <family val="2"/>
          </rPr>
          <t xml:space="preserve">
- Alla kostnaderna (t.ex. El, reparation) angående hyrning av bostäder 
  är Momsfria och skrivs inkl. Moms.</t>
        </r>
      </text>
    </comment>
    <comment ref="F121" authorId="1" shapeId="0" xr:uid="{A1B26B16-6409-4737-99F1-75EB7E663F7C}">
      <text>
        <r>
          <rPr>
            <b/>
            <sz val="10"/>
            <color indexed="81"/>
            <rFont val="Tahoma"/>
            <family val="2"/>
          </rPr>
          <t>Hyrning av bostäder är alltid Momsfri.</t>
        </r>
        <r>
          <rPr>
            <sz val="10"/>
            <color indexed="81"/>
            <rFont val="Tahoma"/>
            <family val="2"/>
          </rPr>
          <t xml:space="preserve">
- Alla kostnaderna (t.ex. El, reparation) angående hyrning av bostäder 
  är Momsfria och skrivs inkl. Moms.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Ari Järvinen</author>
    <author>Företagstolken</author>
  </authors>
  <commentList>
    <comment ref="E9" authorId="0" shapeId="0" xr:uid="{D791D711-FCBB-4DDC-B748-FE48083C9C2B}">
      <text>
        <r>
          <rPr>
            <sz val="10"/>
            <color indexed="81"/>
            <rFont val="Tahoma"/>
            <family val="2"/>
          </rPr>
          <t>Förflyttas från tabell 2. T2 RESULTBUDGET. Om räkenskapsperioden är annan än 12 månader ( 6 - 18 månader), förändra omsättning motsvarande. Observera följande perioden.</t>
        </r>
      </text>
    </comment>
    <comment ref="E10" authorId="1" shapeId="0" xr:uid="{73D942BF-AAFA-415B-BE7C-981B32E78CC6}">
      <text>
        <r>
          <rPr>
            <sz val="10"/>
            <color indexed="81"/>
            <rFont val="Tahoma"/>
            <family val="2"/>
          </rPr>
          <t>Mervärdesskattprocent 
- 24 % Allmän 
- 10 % inkvartering, motion, tidningar, persontransport, böcker, 
  e-publikationer 
- 14 % restaurangmat, livsmedel och foder
- 0 %, om företagets bransch hälso- och socialvård, försäkrings-
  och finansieringstjänster
- 0 %, om företagets årsomsättning är under 15 000 Euro.</t>
        </r>
      </text>
    </comment>
    <comment ref="E12" authorId="1" shapeId="0" xr:uid="{B7D02B41-AFEB-4337-8F9C-B514FE5E5C3C}">
      <text>
        <r>
          <rPr>
            <sz val="10"/>
            <color indexed="81"/>
            <rFont val="Tahoma"/>
            <family val="2"/>
          </rPr>
          <t>Årsförsäljning kan skrivas direkt i cellen eller använd 'Årlig ändringsprocent' i Anteckningar på höger.</t>
        </r>
      </text>
    </comment>
    <comment ref="D15" authorId="0" shapeId="0" xr:uid="{00000000-0006-0000-0A00-000008000000}">
      <text>
        <r>
          <rPr>
            <sz val="10"/>
            <color indexed="81"/>
            <rFont val="Tahoma"/>
            <family val="2"/>
          </rPr>
          <t>Observera också ökning/minskning av 
varulager och varulagret anskaffat vid företagsförvärv.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s>
  <commentList>
    <comment ref="C20" authorId="0" shapeId="0" xr:uid="{5779A097-3B17-45AA-97EB-1155849B6060}">
      <text>
        <r>
          <rPr>
            <sz val="10"/>
            <color indexed="81"/>
            <rFont val="Tahoma"/>
            <family val="2"/>
          </rPr>
          <t xml:space="preserve">Vid konvertering kapitallån förvandlas till aktiekapital. </t>
        </r>
      </text>
    </comment>
    <comment ref="O21" authorId="1" shapeId="0" xr:uid="{E363BA32-B29A-4779-9CA2-01A89874FBAE}">
      <text>
        <r>
          <rPr>
            <b/>
            <sz val="10"/>
            <color indexed="81"/>
            <rFont val="Tahoma"/>
            <family val="2"/>
          </rPr>
          <t xml:space="preserve">Rörelseresultats (EBIT)-% = 
</t>
        </r>
        <r>
          <rPr>
            <sz val="10"/>
            <color indexed="81"/>
            <rFont val="Tahoma"/>
            <family val="2"/>
          </rPr>
          <t>100 x Rörelseresultat / Rörelseintäkter sammanlagt.
Riktvärde: över 10 % bra", 5 - 10 % tillfredställande och under 5 % svag.</t>
        </r>
        <r>
          <rPr>
            <b/>
            <sz val="10"/>
            <color indexed="81"/>
            <rFont val="Tahoma"/>
            <family val="2"/>
          </rPr>
          <t xml:space="preserve">
</t>
        </r>
        <r>
          <rPr>
            <sz val="10"/>
            <color indexed="81"/>
            <rFont val="Tahoma"/>
            <family val="2"/>
          </rPr>
          <t xml:space="preserve">
Rörelseresultatet visar hur mycket av det faktiska rörelseintäkter återstår före finansiella poster och skatter. Rörelseresultatsprocent kan jämföras med andra företag i samma bransch.</t>
        </r>
      </text>
    </comment>
    <comment ref="M25" authorId="1" shapeId="0" xr:uid="{73078B24-25D8-461B-BA4A-37DF358C9361}">
      <text>
        <r>
          <rPr>
            <b/>
            <sz val="10"/>
            <color indexed="81"/>
            <rFont val="Tahoma"/>
            <family val="2"/>
          </rPr>
          <t>Avkastning på investerat kapital =</t>
        </r>
        <r>
          <rPr>
            <sz val="10"/>
            <color indexed="81"/>
            <rFont val="Tahoma"/>
            <family val="2"/>
          </rPr>
          <t xml:space="preserve">
100 x (Nettoresultat + finansieringskostnader + skatter) / Genomsnittlig investerad kapital.</t>
        </r>
      </text>
    </comment>
    <comment ref="M27" authorId="1" shapeId="0" xr:uid="{4E8469B9-62DA-4CD3-BE71-DEED1E844DAA}">
      <text>
        <r>
          <rPr>
            <b/>
            <sz val="10"/>
            <color indexed="81"/>
            <rFont val="Tahoma"/>
            <family val="2"/>
          </rPr>
          <t xml:space="preserve">Kortfristig likviditet =
</t>
        </r>
        <r>
          <rPr>
            <sz val="10"/>
            <color indexed="81"/>
            <rFont val="Tahoma"/>
            <family val="2"/>
          </rPr>
          <t xml:space="preserve">Finansieringstillgångar/Kortfristigt främmande kapital </t>
        </r>
        <r>
          <rPr>
            <b/>
            <sz val="10"/>
            <color indexed="81"/>
            <rFont val="Tahoma"/>
            <family val="2"/>
          </rPr>
          <t xml:space="preserve">
</t>
        </r>
        <r>
          <rPr>
            <sz val="10"/>
            <color indexed="81"/>
            <rFont val="Tahoma"/>
            <family val="2"/>
          </rPr>
          <t>Riktvärde: över 1 bra, 0,5 - 1 tillfredställande och under 0,5 svag</t>
        </r>
      </text>
    </comment>
    <comment ref="H29" authorId="0" shapeId="0" xr:uid="{00000000-0006-0000-0500-000009000000}">
      <text>
        <r>
          <rPr>
            <sz val="10"/>
            <color indexed="81"/>
            <rFont val="Tahoma"/>
            <family val="2"/>
          </rPr>
          <t xml:space="preserve">Förflyttad från 3. T3 BALANS
- tillägg av Finansieringsvärdepapper </t>
        </r>
      </text>
    </comment>
    <comment ref="M29" authorId="1" shapeId="0" xr:uid="{0179E092-4138-45E2-9818-66FAB9055FD0}">
      <text>
        <r>
          <rPr>
            <b/>
            <sz val="10"/>
            <color indexed="81"/>
            <rFont val="Tahoma"/>
            <family val="2"/>
          </rPr>
          <t>Långfristig likviditet =</t>
        </r>
        <r>
          <rPr>
            <sz val="10"/>
            <color indexed="81"/>
            <rFont val="Tahoma"/>
            <family val="2"/>
          </rPr>
          <t xml:space="preserve">
Omsättningstillgångar + Finansieringstillgångar / Kortfristigt främmande kapital
Riktvärde: över 2 bra, 1 - 2 tillfredställande och under 1 svag.</t>
        </r>
      </text>
    </comment>
    <comment ref="M31" authorId="1" shapeId="0" xr:uid="{E918F1A5-6C0B-4473-9871-B5FFCE74CC82}">
      <text>
        <r>
          <rPr>
            <b/>
            <sz val="10"/>
            <color indexed="81"/>
            <rFont val="Tahoma"/>
            <family val="2"/>
          </rPr>
          <t xml:space="preserve">Återbetalningstid för främmande kapital = </t>
        </r>
        <r>
          <rPr>
            <sz val="10"/>
            <color indexed="81"/>
            <rFont val="Tahoma"/>
            <family val="2"/>
          </rPr>
          <t xml:space="preserve">
Investerad främmande kapital då perioden slutas / finansieringsresultat
Riktvärde: Siffran mindre än genomsnittlig återbetalningstid för långfristiga lån.</t>
        </r>
      </text>
    </comment>
    <comment ref="M32" authorId="1" shapeId="0" xr:uid="{C4056D20-C14B-45CC-A4EE-F621F75525E5}">
      <text>
        <r>
          <rPr>
            <b/>
            <sz val="10"/>
            <color indexed="81"/>
            <rFont val="Tahoma"/>
            <family val="2"/>
          </rPr>
          <t xml:space="preserve">Lånetäckningsgrad = 
</t>
        </r>
        <r>
          <rPr>
            <sz val="10"/>
            <color indexed="81"/>
            <rFont val="Tahoma"/>
            <family val="2"/>
          </rPr>
          <t xml:space="preserve">(Finansieringskostnader + finansieringsresultat) / (Finansieringskostnader + amorteringar av långfristiga lån) </t>
        </r>
        <r>
          <rPr>
            <b/>
            <sz val="10"/>
            <color indexed="81"/>
            <rFont val="Tahoma"/>
            <family val="2"/>
          </rPr>
          <t xml:space="preserve">
</t>
        </r>
        <r>
          <rPr>
            <sz val="10"/>
            <color indexed="81"/>
            <rFont val="Tahoma"/>
            <family val="2"/>
          </rPr>
          <t>Riktvärde: över 2 är bra, 1 - 2 tillfredställande och under 1 svag.</t>
        </r>
      </text>
    </comment>
    <comment ref="H35" authorId="0" shapeId="0" xr:uid="{00000000-0006-0000-0500-00000B000000}">
      <text>
        <r>
          <rPr>
            <sz val="10"/>
            <color indexed="81"/>
            <rFont val="Tahoma"/>
            <family val="2"/>
          </rPr>
          <t xml:space="preserve">Extra amortering med plustecken. Minskning av låneamortering med minustecken. </t>
        </r>
      </text>
    </comment>
    <comment ref="M35" authorId="1" shapeId="0" xr:uid="{82068C60-51BD-4645-A912-6010BEF57F93}">
      <text>
        <r>
          <rPr>
            <b/>
            <sz val="10"/>
            <color indexed="81"/>
            <rFont val="Tahoma"/>
            <family val="2"/>
          </rPr>
          <t xml:space="preserve">Soliditet = 
</t>
        </r>
        <r>
          <rPr>
            <sz val="10"/>
            <color indexed="81"/>
            <rFont val="Tahoma"/>
            <family val="2"/>
          </rPr>
          <t>100 x justerad egen kapital / (Slutsumma av justerad balans - erhållna förskott)
Riktvärde: över 40 % är bra, 20 - 40 % tillfredställande och under 20 % svag.</t>
        </r>
      </text>
    </comment>
    <comment ref="O37" authorId="1" shapeId="0" xr:uid="{AB5A5036-6C14-4C69-8045-401DB6A3EABE}">
      <text>
        <r>
          <rPr>
            <b/>
            <sz val="10"/>
            <color indexed="81"/>
            <rFont val="Tahoma"/>
            <family val="2"/>
          </rPr>
          <t>Net Gearing (nettoskuldsättningsgrad) =</t>
        </r>
        <r>
          <rPr>
            <sz val="10"/>
            <color indexed="81"/>
            <rFont val="Tahoma"/>
            <family val="2"/>
          </rPr>
          <t xml:space="preserve">
(Räntebärande främmande kapital - pengar och finansieringsvärdepapper) /Slutsumma av justerad balans
Räntebärande främmande kapital = Långfristig främmande kapital  - erhållna förskott + räntebärande kortfristiga skulder + övriga räntebärande interna skulder
Riktvärde: Under 1 är "Bra". Om värdet är noll (tom cell) eller negativt, år företaget "Nettoskuldfri". Om negativt värde beror på negativt eget kapital, är riktvärdet "Svag". 
Nyckeltalet visar hur väl eget kapital täcker mängden räntebärande skulder. </t>
        </r>
      </text>
    </comment>
    <comment ref="H38" authorId="0" shapeId="0" xr:uid="{00000000-0006-0000-0500-000010000000}">
      <text>
        <r>
          <rPr>
            <sz val="10"/>
            <color indexed="81"/>
            <rFont val="Tahoma"/>
            <family val="2"/>
          </rPr>
          <t>Förflyttad från 3. T3 BALANS
- minskning av kortfristiga lån av penningväsendet
- minskning av kortfristiga kapitallån</t>
        </r>
      </text>
    </comment>
    <comment ref="H39" authorId="0" shapeId="0" xr:uid="{00000000-0006-0000-0500-000011000000}">
      <text>
        <r>
          <rPr>
            <sz val="10"/>
            <color indexed="81"/>
            <rFont val="Tahoma"/>
            <family val="2"/>
          </rPr>
          <t>Kan förändras om dividend/privatuttag är annat än förslag på höger i cellen R50-U50.</t>
        </r>
      </text>
    </comment>
    <comment ref="C40" authorId="0" shapeId="0" xr:uid="{00000000-0006-0000-0500-000016000000}">
      <text>
        <r>
          <rPr>
            <sz val="10"/>
            <color indexed="81"/>
            <rFont val="Tahoma"/>
            <family val="2"/>
          </rPr>
          <t xml:space="preserve">T.ex. Placeringar, depositioner mm. </t>
        </r>
      </text>
    </comment>
    <comment ref="H40" authorId="0" shapeId="0" xr:uid="{00000000-0006-0000-0500-000017000000}">
      <text>
        <r>
          <rPr>
            <sz val="10"/>
            <color indexed="81"/>
            <rFont val="Tahoma"/>
            <family val="2"/>
          </rPr>
          <t>Förflyttas från 3. T3 BALANS, cellerna  G35 - J35.</t>
        </r>
      </text>
    </comment>
    <comment ref="O40" authorId="0" shapeId="0" xr:uid="{00000000-0006-0000-0500-000015000000}">
      <text>
        <r>
          <rPr>
            <sz val="10"/>
            <color indexed="81"/>
            <rFont val="Tahoma"/>
            <family val="2"/>
          </rPr>
          <t>Kostnader av arbetskraft angående arbetsförhållande och lönebetalning.</t>
        </r>
      </text>
    </comment>
    <comment ref="O41" authorId="0" shapeId="0" xr:uid="{00000000-0006-0000-0500-00001B000000}">
      <text>
        <r>
          <rPr>
            <sz val="10"/>
            <color indexed="81"/>
            <rFont val="Tahoma"/>
            <family val="2"/>
          </rPr>
          <t>Alla personalkostnader, också frivilliga pensionskostnader.</t>
        </r>
      </text>
    </comment>
    <comment ref="O42" authorId="0" shapeId="0" xr:uid="{00000000-0006-0000-0500-00001C000000}">
      <text>
        <r>
          <rPr>
            <b/>
            <sz val="10"/>
            <color indexed="81"/>
            <rFont val="Tahoma"/>
            <family val="2"/>
          </rPr>
          <t>Krisparameter Z =</t>
        </r>
        <r>
          <rPr>
            <sz val="10"/>
            <color indexed="81"/>
            <rFont val="Tahoma"/>
            <family val="2"/>
          </rPr>
          <t xml:space="preserve">
Z = 1,77 * finansieringsresultats-% + 14,14 * quick ratio + 0,54 * soliditets-%
Riktvärde: Över 28 är Bra, 18 - 28 tillfredställande och 5 - 18 Svag</t>
        </r>
      </text>
    </comment>
    <comment ref="H43" authorId="0" shapeId="0" xr:uid="{E5826274-65B1-434C-97BB-1A31C17BC9C3}">
      <text>
        <r>
          <rPr>
            <b/>
            <sz val="10"/>
            <color indexed="10"/>
            <rFont val="Tahoma"/>
            <family val="2"/>
          </rPr>
          <t>Slutligen kontrollera, att cellerna H43 - K43 är lika stora än cellerna H49 - K49 i 
3. T3 BALANS.</t>
        </r>
      </text>
    </comment>
    <comment ref="B44" authorId="0" shapeId="0" xr:uid="{00000000-0006-0000-0500-000021000000}">
      <text>
        <r>
          <rPr>
            <sz val="10"/>
            <color indexed="81"/>
            <rFont val="Tahoma"/>
            <family val="2"/>
          </rPr>
          <t>Siffran berättar hur många dagar "Kumulativt under-/överskott" räcker till fasta kostnader. Borde vara minst 30 dagar.
Formel</t>
        </r>
        <r>
          <rPr>
            <b/>
            <sz val="10"/>
            <color indexed="81"/>
            <rFont val="Tahoma"/>
            <family val="2"/>
          </rPr>
          <t xml:space="preserve">:
</t>
        </r>
        <r>
          <rPr>
            <sz val="10"/>
            <color indexed="81"/>
            <rFont val="Tahoma"/>
            <family val="2"/>
          </rPr>
          <t>Kumulativt under-/överskott/Övriga fasta kostnader
(1. E1 VERKSAMHETSKOSTN. rad 45) * 365</t>
        </r>
      </text>
    </comment>
    <comment ref="O47" authorId="0" shapeId="0" xr:uid="{00000000-0006-0000-0500-000022000000}">
      <text>
        <r>
          <rPr>
            <b/>
            <sz val="10"/>
            <color indexed="81"/>
            <rFont val="Tahoma"/>
            <family val="2"/>
          </rPr>
          <t>Firma-företagsform</t>
        </r>
        <r>
          <rPr>
            <sz val="10"/>
            <color indexed="81"/>
            <rFont val="Tahoma"/>
            <family val="2"/>
          </rPr>
          <t xml:space="preserve">
Endast kontanta medel iakttagas vid nettoförmögenhetkalkylering.</t>
        </r>
      </text>
    </comment>
    <comment ref="O48" authorId="0" shapeId="0" xr:uid="{00000000-0006-0000-0500-000023000000}">
      <text>
        <r>
          <rPr>
            <sz val="10"/>
            <color indexed="81"/>
            <rFont val="Tahoma"/>
            <family val="2"/>
          </rPr>
          <t>Om aktieägaren/bolagsmannen bor i företagets bostad, minskas bostadens värde av nettoförmögenhet.</t>
        </r>
      </text>
    </comment>
    <comment ref="C50" authorId="0" shapeId="0" xr:uid="{2432CCCF-1EF8-4F93-AE6C-E0DB5DCEA489}">
      <text>
        <r>
          <rPr>
            <sz val="10"/>
            <color indexed="81"/>
            <rFont val="Tahoma"/>
            <family val="2"/>
          </rPr>
          <t xml:space="preserve">Siffran berättar hur stor andel av omsättning är bunden i lagret. 
</t>
        </r>
        <r>
          <rPr>
            <b/>
            <sz val="10"/>
            <color indexed="81"/>
            <rFont val="Tahoma"/>
            <family val="2"/>
          </rPr>
          <t>Formel:</t>
        </r>
        <r>
          <rPr>
            <sz val="10"/>
            <color indexed="81"/>
            <rFont val="Tahoma"/>
            <family val="2"/>
          </rPr>
          <t xml:space="preserve">
100 *</t>
        </r>
        <r>
          <rPr>
            <b/>
            <sz val="10"/>
            <color indexed="81"/>
            <rFont val="Tahoma"/>
            <family val="2"/>
          </rPr>
          <t xml:space="preserve"> </t>
        </r>
        <r>
          <rPr>
            <sz val="10"/>
            <color indexed="81"/>
            <rFont val="Tahoma"/>
            <family val="2"/>
          </rPr>
          <t xml:space="preserve">(Omsättningstillgångar/Omsättning (12 månader) </t>
        </r>
      </text>
    </comment>
    <comment ref="H50" authorId="0" shapeId="0" xr:uid="{48ACC445-A983-4685-916E-A9F0BFC71D00}">
      <text>
        <r>
          <rPr>
            <sz val="10"/>
            <color indexed="81"/>
            <rFont val="Tahoma"/>
            <family val="2"/>
          </rPr>
          <t xml:space="preserve">Siffran berättar hur stor andel av omsättning är bunden i lagret. </t>
        </r>
        <r>
          <rPr>
            <b/>
            <i/>
            <sz val="10"/>
            <color indexed="81"/>
            <rFont val="Tahoma"/>
            <family val="2"/>
          </rPr>
          <t>Om beloppet inkluderar förskottsbetalningar relaterade till förvärv av lager,</t>
        </r>
        <r>
          <rPr>
            <sz val="10"/>
            <color indexed="81"/>
            <rFont val="Tahoma"/>
            <family val="2"/>
          </rPr>
          <t xml:space="preserve"> t.ex. att ett byggföretag betalar ett förskott till en huselementfabrik, måste deras utelämnande beaktas i procent av prognosår. 
</t>
        </r>
        <r>
          <rPr>
            <b/>
            <sz val="10"/>
            <color indexed="81"/>
            <rFont val="Tahoma"/>
            <family val="2"/>
          </rPr>
          <t>Formel:</t>
        </r>
        <r>
          <rPr>
            <sz val="10"/>
            <color indexed="81"/>
            <rFont val="Tahoma"/>
            <family val="2"/>
          </rPr>
          <t xml:space="preserve">
100 *</t>
        </r>
        <r>
          <rPr>
            <b/>
            <sz val="10"/>
            <color indexed="81"/>
            <rFont val="Tahoma"/>
            <family val="2"/>
          </rPr>
          <t xml:space="preserve"> </t>
        </r>
        <r>
          <rPr>
            <sz val="10"/>
            <color indexed="81"/>
            <rFont val="Tahoma"/>
            <family val="2"/>
          </rPr>
          <t xml:space="preserve">(Omsättningstillgångar/Omsättning (12 månader) </t>
        </r>
      </text>
    </comment>
    <comment ref="R50" authorId="0" shapeId="0" xr:uid="{00000000-0006-0000-0500-000029000000}">
      <text>
        <r>
          <rPr>
            <b/>
            <sz val="10"/>
            <color indexed="81"/>
            <rFont val="Tahoma"/>
            <family val="2"/>
          </rPr>
          <t>Siffrorna här förflyttar sig till cellen H39 - K39 på vänster.</t>
        </r>
        <r>
          <rPr>
            <sz val="10"/>
            <color indexed="81"/>
            <rFont val="Tahoma"/>
            <family val="2"/>
          </rPr>
          <t xml:space="preserve">
Dividend kalkyleras färdigt enligt 8 %. Kan förändras. 
Från dividend av onoterad aktiebolag betalas 7,5 % skatt ändå till 8 % av nettoförmögenhet. Det är alltid förnuftigt att betala 8 % dividend. Beloppet kalkyleras av förra årets nettoförmögenhet.
</t>
        </r>
        <r>
          <rPr>
            <b/>
            <sz val="10"/>
            <color indexed="81"/>
            <rFont val="Tahoma"/>
            <family val="2"/>
          </rPr>
          <t xml:space="preserve">Firma, Kb och Öb
</t>
        </r>
        <r>
          <rPr>
            <sz val="10"/>
            <color indexed="81"/>
            <rFont val="Tahoma"/>
            <family val="2"/>
          </rPr>
          <t>Privata uttag.</t>
        </r>
      </text>
    </comment>
    <comment ref="C52" authorId="0" shapeId="0" xr:uid="{00000000-0006-0000-0500-00002D000000}">
      <text>
        <r>
          <rPr>
            <sz val="10"/>
            <color indexed="81"/>
            <rFont val="Tahoma"/>
            <family val="2"/>
          </rPr>
          <t xml:space="preserve">Siffran berättar, hur snabbt kunden betalar din faktura.
</t>
        </r>
        <r>
          <rPr>
            <b/>
            <i/>
            <sz val="10"/>
            <color indexed="81"/>
            <rFont val="Tahoma"/>
            <family val="2"/>
          </rPr>
          <t>Formel:</t>
        </r>
        <r>
          <rPr>
            <b/>
            <u/>
            <sz val="10"/>
            <color indexed="81"/>
            <rFont val="Tahoma"/>
            <family val="2"/>
          </rPr>
          <t xml:space="preserve">
</t>
        </r>
        <r>
          <rPr>
            <sz val="10"/>
            <color indexed="81"/>
            <rFont val="Tahoma"/>
            <family val="2"/>
          </rPr>
          <t>Kundfordringar /omsättning * 365</t>
        </r>
      </text>
    </comment>
    <comment ref="C57" authorId="0" shapeId="0" xr:uid="{00000000-0006-0000-0500-00002F000000}">
      <text>
        <r>
          <rPr>
            <sz val="10"/>
            <color indexed="81"/>
            <rFont val="Tahoma"/>
            <family val="2"/>
          </rPr>
          <t xml:space="preserve">Siffran berättar, hur snabbt ni betalar fakturan. 
</t>
        </r>
        <r>
          <rPr>
            <b/>
            <i/>
            <sz val="10"/>
            <color indexed="81"/>
            <rFont val="Tahoma"/>
            <family val="2"/>
          </rPr>
          <t>Formel:</t>
        </r>
        <r>
          <rPr>
            <sz val="10"/>
            <color indexed="81"/>
            <rFont val="Tahoma"/>
            <family val="2"/>
          </rPr>
          <t xml:space="preserve">
Inköpsskulder/inköpen slgt (12 månader)  * 365</t>
        </r>
      </text>
    </comment>
    <comment ref="H57" authorId="0" shapeId="0" xr:uid="{00000000-0006-0000-0500-000030000000}">
      <text>
        <r>
          <rPr>
            <sz val="10"/>
            <color indexed="81"/>
            <rFont val="Tahoma"/>
            <family val="2"/>
          </rPr>
          <t>Är omloppstiden av inköpsskulden sanningsenlig eller borde den vara kortare?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Henri Järvinen</author>
    <author>Ari Järvinen</author>
    <author>Företagstolken</author>
    <author>Yritystulkki</author>
    <author>Jadelcons</author>
  </authors>
  <commentList>
    <comment ref="H10" authorId="0" shapeId="0" xr:uid="{00000000-0006-0000-0600-000001000000}">
      <text>
        <r>
          <rPr>
            <sz val="10"/>
            <color indexed="81"/>
            <rFont val="Tahoma"/>
            <family val="2"/>
          </rPr>
          <t>Välj prognos år 1 eller 2.</t>
        </r>
      </text>
    </comment>
    <comment ref="G14" authorId="1" shapeId="0" xr:uid="{A30B4C4A-810C-4223-8948-0A902586CDCB}">
      <text>
        <r>
          <rPr>
            <sz val="10"/>
            <color indexed="81"/>
            <rFont val="Tahoma"/>
            <family val="2"/>
          </rPr>
          <t>Skriv räkenskapsperiodens första månad.</t>
        </r>
      </text>
    </comment>
    <comment ref="G15" authorId="2" shapeId="0" xr:uid="{4F76A6F2-892E-4E1A-990E-117158132B2B}">
      <text>
        <r>
          <rPr>
            <sz val="10"/>
            <color indexed="81"/>
            <rFont val="Tahoma"/>
            <family val="2"/>
          </rPr>
          <t xml:space="preserve">Aktivt företag:
- likvida medel från sista periodens bokslut </t>
        </r>
      </text>
    </comment>
    <comment ref="G16" authorId="2" shapeId="0" xr:uid="{4EA3A601-AD1F-4C10-9057-96918AC84585}">
      <text>
        <r>
          <rPr>
            <sz val="10"/>
            <color indexed="81"/>
            <rFont val="Tahoma"/>
            <family val="2"/>
          </rPr>
          <t>Siffran beräknas enligt omloppstiden av kundfordringar i tabell 3. T3 BALANS, cell G42 eller H42.</t>
        </r>
      </text>
    </comment>
    <comment ref="E17" authorId="2" shapeId="0" xr:uid="{928FA280-3108-479A-AACC-C0ABD0CBBEEA}">
      <text>
        <r>
          <rPr>
            <sz val="10"/>
            <color indexed="81"/>
            <rFont val="Tahoma"/>
            <family val="2"/>
          </rPr>
          <t>Skriv här kontantförsäljningens procentuellt antal av totalförsäljningen.</t>
        </r>
      </text>
    </comment>
    <comment ref="S17" authorId="2" shapeId="0" xr:uid="{679B6319-C36D-4C0C-9B55-11934A74154E}">
      <text>
        <r>
          <rPr>
            <sz val="10"/>
            <color indexed="81"/>
            <rFont val="Tahoma"/>
            <family val="2"/>
          </rPr>
          <t>Kontantförsäljning efter årsprognos i tabell 6. E2 OMSÄTTNING.</t>
        </r>
      </text>
    </comment>
    <comment ref="G18" authorId="2" shapeId="0" xr:uid="{1E766263-B9C7-4C44-9420-9B25EEB45CC9}">
      <text>
        <r>
          <rPr>
            <sz val="10"/>
            <color indexed="81"/>
            <rFont val="Tahoma"/>
            <family val="2"/>
          </rPr>
          <t xml:space="preserve">Procentsiffran betyder månadens försäljningsandel av hela årets försäljning. Om försäljningen är jämnstor i varje månad, är siffran 8,3 %.  </t>
        </r>
      </text>
    </comment>
    <comment ref="S19" authorId="2" shapeId="0" xr:uid="{E834B53D-FBBC-49F4-8045-BC42EF0A0A7C}">
      <text>
        <r>
          <rPr>
            <sz val="10"/>
            <color indexed="81"/>
            <rFont val="Tahoma"/>
            <family val="2"/>
          </rPr>
          <t>Kontantförsäljning efter årsprognos i tabell 6. E2 OMSÄTTNING.</t>
        </r>
      </text>
    </comment>
    <comment ref="G20" authorId="2" shapeId="0" xr:uid="{76DA72A2-1E60-46D4-9DAB-D9B978B8C6B0}">
      <text>
        <r>
          <rPr>
            <sz val="10"/>
            <color indexed="81"/>
            <rFont val="Tahoma"/>
            <family val="2"/>
          </rPr>
          <t xml:space="preserve">Procentsiffran betyder månadens försäljningsandel av hela årets försäljning. Om försäljningen är jämnstor i varje månad, är siffran 8,3 %.  </t>
        </r>
      </text>
    </comment>
    <comment ref="E21" authorId="2" shapeId="0" xr:uid="{954BF883-99DC-4A76-B80D-2A673A4E9D85}">
      <text>
        <r>
          <rPr>
            <sz val="10"/>
            <color indexed="81"/>
            <rFont val="Tahoma"/>
            <family val="2"/>
          </rPr>
          <t>Längsta betalningstid 180 dagar.</t>
        </r>
      </text>
    </comment>
    <comment ref="C22" authorId="1" shapeId="0" xr:uid="{00000000-0006-0000-0600-00000A000000}">
      <text>
        <r>
          <rPr>
            <sz val="10"/>
            <color indexed="81"/>
            <rFont val="Tahoma"/>
            <family val="2"/>
          </rPr>
          <t xml:space="preserve">T.ex. vid företagssanering sålda  maskiner, produkträttigheter o.d. </t>
        </r>
      </text>
    </comment>
    <comment ref="G23" authorId="1" shapeId="0" xr:uid="{00000000-0006-0000-0600-00000C000000}">
      <text>
        <r>
          <rPr>
            <sz val="10"/>
            <color indexed="81"/>
            <rFont val="Tahoma"/>
            <family val="2"/>
          </rPr>
          <t>Programmet beräknar färdigt Övriga rörelseintäkter (Tabell 2. T2 RESULTATBUDGET, punkt 2) samt uppbärning av placeringar. Komplettera övriga intäkter.</t>
        </r>
      </text>
    </comment>
    <comment ref="M23" authorId="2" shapeId="0" xr:uid="{0042EC09-4A75-4693-A5B9-FA686DF7AB08}">
      <text>
        <r>
          <rPr>
            <sz val="10"/>
            <color indexed="81"/>
            <rFont val="Tahoma"/>
            <family val="2"/>
          </rPr>
          <t>Innehåller upptagning av företagsbidragen.</t>
        </r>
      </text>
    </comment>
    <comment ref="F26" authorId="2" shapeId="0" xr:uid="{07E340DC-522B-4888-A2BB-D33F0E63B7EE}">
      <text>
        <r>
          <rPr>
            <sz val="10"/>
            <color indexed="81"/>
            <rFont val="Tahoma"/>
            <family val="2"/>
          </rPr>
          <t>Skriv här momsprocenten, som uppbärs om försäljning av produkter och tjänster. Om flera momssatser, uppskatta det vägda genomsnittet.
Mervärdesskattprocent 
- 24 % allmän 
- 10 % inkvartering, motion, tidningar, persontransport, böcker, e-publikationer 
- 14 % restaurangmat, livsmedel och foder
- 0 %, om företagets bransch hälso- och socialvård eller försäkrings- och finansieringstjänster
- 0 %, om företagets årsomsättning är under 15 000 Euro.</t>
        </r>
      </text>
    </comment>
    <comment ref="G27" authorId="1" shapeId="0" xr:uid="{00000000-0006-0000-0600-00000F000000}">
      <text>
        <r>
          <rPr>
            <sz val="10"/>
            <color indexed="81"/>
            <rFont val="Tahoma"/>
            <family val="2"/>
          </rPr>
          <t xml:space="preserve">Beräknas enligt 2. T2 RESULTATSBUDGET punkt 4 Materialbruk-%. Kan förändras. </t>
        </r>
      </text>
    </comment>
    <comment ref="T27" authorId="2" shapeId="0" xr:uid="{99234710-2E18-4CE9-8F5B-B5C4BFB43B8A}">
      <text>
        <r>
          <rPr>
            <sz val="10"/>
            <color indexed="81"/>
            <rFont val="Tahoma"/>
            <family val="2"/>
          </rPr>
          <t>Skillnaden mellan kassabudgeten och målet för budgetåret.</t>
        </r>
      </text>
    </comment>
    <comment ref="AD28" authorId="3" shapeId="0" xr:uid="{0B686FB8-3AA5-49BD-8FDD-38CF949F2C4F}">
      <text>
        <r>
          <rPr>
            <b/>
            <sz val="9"/>
            <color indexed="81"/>
            <rFont val="Tahoma"/>
            <family val="2"/>
          </rPr>
          <t>2022:
Pidätys-% + Sairausvakuutusmaksu 1,34%</t>
        </r>
        <r>
          <rPr>
            <sz val="9"/>
            <color indexed="81"/>
            <rFont val="Tahoma"/>
            <family val="2"/>
          </rPr>
          <t xml:space="preserve">
</t>
        </r>
      </text>
    </comment>
    <comment ref="AE28" authorId="3" shapeId="0" xr:uid="{BCEF7DB5-BEB2-409A-84AF-D94C73FB3158}">
      <text>
        <r>
          <rPr>
            <b/>
            <sz val="9"/>
            <color indexed="81"/>
            <rFont val="Tahoma"/>
            <family val="2"/>
          </rPr>
          <t>2021:
TT-vakuutusmaksu yrittäjällä 0 %</t>
        </r>
        <r>
          <rPr>
            <sz val="9"/>
            <color indexed="81"/>
            <rFont val="Tahoma"/>
            <family val="2"/>
          </rPr>
          <t xml:space="preserve">
</t>
        </r>
      </text>
    </comment>
    <comment ref="AK28" authorId="3" shapeId="0" xr:uid="{E2F64CD0-F531-42CA-B053-EF86986A9BC9}">
      <text>
        <r>
          <rPr>
            <b/>
            <sz val="9"/>
            <color indexed="81"/>
            <rFont val="Tahoma"/>
            <family val="2"/>
          </rPr>
          <t>2021:
Pidätys-% + Sairausvakuutusmaksu 1,53%</t>
        </r>
        <r>
          <rPr>
            <sz val="9"/>
            <color indexed="81"/>
            <rFont val="Tahoma"/>
            <family val="2"/>
          </rPr>
          <t xml:space="preserve">
</t>
        </r>
      </text>
    </comment>
    <comment ref="AL28" authorId="3" shapeId="0" xr:uid="{1BCD6019-30CF-44A9-B53F-D59728985C79}">
      <text>
        <r>
          <rPr>
            <b/>
            <sz val="9"/>
            <color indexed="81"/>
            <rFont val="Tahoma"/>
            <family val="2"/>
          </rPr>
          <t>2022: Työntekijä maksaa
TT-vakuutusmaksu 1,5 % + TyEL-maksu 7,15 %</t>
        </r>
        <r>
          <rPr>
            <sz val="9"/>
            <color indexed="81"/>
            <rFont val="Tahoma"/>
            <family val="2"/>
          </rPr>
          <t xml:space="preserve">
= 8,65%
</t>
        </r>
      </text>
    </comment>
    <comment ref="AR28" authorId="3" shapeId="0" xr:uid="{6767FA2B-F6F4-40CC-B298-42EDBDF4EC25}">
      <text>
        <r>
          <rPr>
            <b/>
            <sz val="9"/>
            <color indexed="81"/>
            <rFont val="Tahoma"/>
            <family val="2"/>
          </rPr>
          <t>2021:
Pidätys-% + Sairausvakuutusmaksu 1,53%</t>
        </r>
        <r>
          <rPr>
            <sz val="9"/>
            <color indexed="81"/>
            <rFont val="Tahoma"/>
            <family val="2"/>
          </rPr>
          <t xml:space="preserve">
</t>
        </r>
      </text>
    </comment>
    <comment ref="AS28" authorId="3" shapeId="0" xr:uid="{B8392DBD-1A6F-452F-A66C-332D56B65A0D}">
      <text>
        <r>
          <rPr>
            <b/>
            <sz val="9"/>
            <color indexed="81"/>
            <rFont val="Tahoma"/>
            <family val="2"/>
          </rPr>
          <t>2021: Työntekijä maksaa
TT-vakuutusmaksu 1,4 % + TyEL-maksu 7,15 %</t>
        </r>
        <r>
          <rPr>
            <sz val="9"/>
            <color indexed="81"/>
            <rFont val="Tahoma"/>
            <family val="2"/>
          </rPr>
          <t xml:space="preserve">
= 8,55%
</t>
        </r>
      </text>
    </comment>
    <comment ref="AD29" authorId="3" shapeId="0" xr:uid="{0273DA18-134B-4DC2-B6F7-6A4154FE8AE1}">
      <text>
        <r>
          <rPr>
            <b/>
            <sz val="9"/>
            <color indexed="81"/>
            <rFont val="Tahoma"/>
            <family val="2"/>
          </rPr>
          <t>2021:
Pidätys-% + Sairausvakuutusmaksu 1,53%</t>
        </r>
        <r>
          <rPr>
            <sz val="9"/>
            <color indexed="81"/>
            <rFont val="Tahoma"/>
            <family val="2"/>
          </rPr>
          <t xml:space="preserve">
</t>
        </r>
      </text>
    </comment>
    <comment ref="AE29" authorId="3" shapeId="0" xr:uid="{D266CA10-2279-45AB-B8B6-6EF8B37B8396}">
      <text>
        <r>
          <rPr>
            <b/>
            <sz val="9"/>
            <color indexed="81"/>
            <rFont val="Tahoma"/>
            <family val="2"/>
          </rPr>
          <t>2021:
TT-vakuutusmaksu yrittäjällä 0 %</t>
        </r>
        <r>
          <rPr>
            <sz val="9"/>
            <color indexed="81"/>
            <rFont val="Tahoma"/>
            <family val="2"/>
          </rPr>
          <t xml:space="preserve">
</t>
        </r>
      </text>
    </comment>
    <comment ref="AK29" authorId="3" shapeId="0" xr:uid="{D0819386-A793-434D-83ED-D6D12169DC62}">
      <text>
        <r>
          <rPr>
            <b/>
            <sz val="9"/>
            <color indexed="81"/>
            <rFont val="Tahoma"/>
            <family val="2"/>
          </rPr>
          <t>2021:
Pidätys-% + Sairausvakuutusmaksu 1,53%</t>
        </r>
        <r>
          <rPr>
            <sz val="9"/>
            <color indexed="81"/>
            <rFont val="Tahoma"/>
            <family val="2"/>
          </rPr>
          <t xml:space="preserve">
</t>
        </r>
      </text>
    </comment>
    <comment ref="AS29" authorId="3" shapeId="0" xr:uid="{3780E084-3CAC-4BE6-81E6-BECA199DFD16}">
      <text>
        <r>
          <rPr>
            <b/>
            <sz val="9"/>
            <color indexed="81"/>
            <rFont val="Tahoma"/>
            <family val="2"/>
          </rPr>
          <t>2021:
TT-vakuutusmaksu yrittäjällä 0 %</t>
        </r>
        <r>
          <rPr>
            <sz val="9"/>
            <color indexed="81"/>
            <rFont val="Tahoma"/>
            <family val="2"/>
          </rPr>
          <t xml:space="preserve">
</t>
        </r>
      </text>
    </comment>
    <comment ref="G30" authorId="4" shapeId="0" xr:uid="{AB278F78-FF75-41D3-94E6-7960C230AA00}">
      <text>
        <r>
          <rPr>
            <sz val="10"/>
            <color indexed="81"/>
            <rFont val="Tahoma"/>
            <family val="2"/>
          </rPr>
          <t>Lägg till moms-investeringar från tabell
1. T1 INVESTERINGSPLAN. Kom ihåg minska leasingfinansieringens andel. Dela i rätta månader.</t>
        </r>
      </text>
    </comment>
    <comment ref="AK30" authorId="3" shapeId="0" xr:uid="{5FA7D039-8B27-4C0E-A96F-AF52AFBE842A}">
      <text>
        <r>
          <rPr>
            <b/>
            <sz val="9"/>
            <color indexed="81"/>
            <rFont val="Tahoma"/>
            <family val="2"/>
          </rPr>
          <t>2021:
Pidätys-% + Sairausvakuutusmaksu 1,53%</t>
        </r>
        <r>
          <rPr>
            <sz val="9"/>
            <color indexed="81"/>
            <rFont val="Tahoma"/>
            <family val="2"/>
          </rPr>
          <t xml:space="preserve">
</t>
        </r>
      </text>
    </comment>
    <comment ref="C34" authorId="2" shapeId="0" xr:uid="{964F9867-AACD-47CB-A740-DA1FF2A21555}">
      <text>
        <r>
          <rPr>
            <sz val="10"/>
            <color indexed="81"/>
            <rFont val="Tahoma"/>
            <family val="2"/>
          </rPr>
          <t>Programmet beräknar momsen på grund av intäkter och utgifter inklusive moms, som bildade två månader tidigare.
- Skattbara försäljningar är intäkter från kundfordringar och 
  kontantförsäljning
- Avdragbara utgifter är raderna 6 - 12
Obs!  Beräkning kan inte avkasta fullständigt rätt resultat på grund av fördröjningar vid betalningar, men noggrannheten är tillräckligt.</t>
        </r>
      </text>
    </comment>
    <comment ref="C35" authorId="1" shapeId="0" xr:uid="{00000000-0006-0000-0600-000021000000}">
      <text>
        <r>
          <rPr>
            <sz val="10"/>
            <color indexed="81"/>
            <rFont val="Tahoma"/>
            <family val="2"/>
          </rPr>
          <t>Siffrorna på raden förflyttar sig från lönetabell på höger.</t>
        </r>
      </text>
    </comment>
    <comment ref="F37" authorId="2" shapeId="0" xr:uid="{0B5EB7C4-529E-4964-A58C-BFCC9EDC5079}">
      <text>
        <r>
          <rPr>
            <sz val="10"/>
            <color indexed="81"/>
            <rFont val="Tahoma"/>
            <family val="2"/>
          </rPr>
          <t>Beror på FöPL-arbetsinkomst, i år 2022 
- FöPL betalas under 53- och över 62-årig 24,1 % och 
  52 - 62-årig 25,6 %, månatlig betalning
- ny företagare motsvarande 4 första år 18,8 % eller 20 %
- Företagarens olycksfallförsäkringsavgift 1,7 %
Sammanlagt
- under 53- och över 62 år 25,8 % (ny företagare 20,5 %)
- 53 - 62 år 27,3 % (ny företagare 21,7 %)</t>
        </r>
      </text>
    </comment>
    <comment ref="F38" authorId="2" shapeId="0" xr:uid="{90ED8E61-4B3B-4DDF-8B5F-6CE278917356}">
      <text>
        <r>
          <rPr>
            <sz val="10"/>
            <color indexed="81"/>
            <rFont val="Tahoma"/>
            <family val="2"/>
          </rPr>
          <t>År 2022
Företaget betalar till försäkringsbolaget av lönen
- ArPL-premie 24,8 % 
- Olycks- och yrkessjukdomsförsäkring 0,76 %
  (för olycksbenägen bransch större)
- Arbetslöshetsförsäkring 2 %
Sammanlagt 27,56 %</t>
        </r>
      </text>
    </comment>
    <comment ref="T39" authorId="2" shapeId="0" xr:uid="{252C4670-808B-4B61-9C7F-99724A4CF2BE}">
      <text>
        <r>
          <rPr>
            <sz val="10"/>
            <color indexed="81"/>
            <rFont val="Tahoma"/>
            <family val="2"/>
          </rPr>
          <t>Skillnaden mellan kassabudgeten och målet för budgetåret.</t>
        </r>
      </text>
    </comment>
    <comment ref="C42" authorId="1" shapeId="0" xr:uid="{00000000-0006-0000-0600-000029000000}">
      <text>
        <r>
          <rPr>
            <sz val="10"/>
            <color indexed="81"/>
            <rFont val="Tahoma"/>
            <family val="2"/>
          </rPr>
          <t xml:space="preserve">Innehåller inte räntor av avbetalningsskulder, som finns i punkten 27. </t>
        </r>
      </text>
    </comment>
    <comment ref="G44" authorId="2" shapeId="0" xr:uid="{56AC7C7C-9F52-4DCF-A4FF-52217BD0F67F}">
      <text>
        <r>
          <rPr>
            <sz val="10"/>
            <color indexed="81"/>
            <rFont val="Tahoma"/>
            <family val="2"/>
          </rPr>
          <t xml:space="preserve">Lägg till Moms 0% investeringar från tabell
1. T1 INVESTERINGSPLAN. Kom ihåg leasingfinansiering. </t>
        </r>
      </text>
    </comment>
    <comment ref="G51" authorId="2" shapeId="0" xr:uid="{05037B36-0835-4496-A117-E92E440E730B}">
      <text>
        <r>
          <rPr>
            <sz val="10"/>
            <color indexed="81"/>
            <rFont val="Tahoma"/>
            <family val="2"/>
          </rPr>
          <t>Programmet beräknar jämnstora månatliga rater. Förändra om behövs.</t>
        </r>
      </text>
    </comment>
    <comment ref="T51" authorId="2" shapeId="0" xr:uid="{182E536D-6CC0-44EC-A093-71DF38693790}">
      <text>
        <r>
          <rPr>
            <sz val="10"/>
            <color indexed="81"/>
            <rFont val="Tahoma"/>
            <family val="2"/>
          </rPr>
          <t>Skillnaden mellan kassabudgeten och målet för budgetåret.</t>
        </r>
      </text>
    </comment>
    <comment ref="G52" authorId="1" shapeId="0" xr:uid="{00000000-0006-0000-0600-00002E000000}">
      <text>
        <r>
          <rPr>
            <sz val="10"/>
            <color indexed="81"/>
            <rFont val="Tahoma"/>
            <family val="2"/>
          </rPr>
          <t>Lyft av lån och avbetalningar för hela året. Placera till rätt månad!</t>
        </r>
      </text>
    </comment>
    <comment ref="C53" authorId="2" shapeId="0" xr:uid="{F5539081-D7D6-4B24-9797-9991EF8B41EE}">
      <text>
        <r>
          <rPr>
            <sz val="10"/>
            <color indexed="81"/>
            <rFont val="Tahoma"/>
            <family val="2"/>
          </rPr>
          <t>Programmet beräknar amorteringar 2 rater per år. Kan förändras som blir sant. Öka återbetalningarna på kortfristiga skulder och andra lån utan säkerhet.</t>
        </r>
      </text>
    </comment>
    <comment ref="L53" authorId="2" shapeId="0" xr:uid="{F6087C67-D866-42DB-A33D-FF31B2AC7CC2}">
      <text>
        <r>
          <rPr>
            <sz val="10"/>
            <color indexed="81"/>
            <rFont val="Tahoma"/>
            <family val="2"/>
          </rPr>
          <t xml:space="preserve">Programmet beräknar amorteringar 2 rater per år. </t>
        </r>
      </text>
    </comment>
    <comment ref="R53" authorId="2" shapeId="0" xr:uid="{EA06CEA4-79E2-4380-8B7E-B659A461454F}">
      <text>
        <r>
          <rPr>
            <sz val="10"/>
            <color indexed="81"/>
            <rFont val="Tahoma"/>
            <family val="2"/>
          </rPr>
          <t xml:space="preserve">Programmet beräknar amorteringar 2 rater per år. </t>
        </r>
      </text>
    </comment>
    <comment ref="G55" authorId="1" shapeId="0" xr:uid="{5974953A-1C17-42B6-9FA7-37914AAF7C55}">
      <text>
        <r>
          <rPr>
            <sz val="10"/>
            <color indexed="81"/>
            <rFont val="Tahoma"/>
            <family val="2"/>
          </rPr>
          <t>Ägarnas ytterligare placeringar från 
1. T1 INVESTERINGSPLAN punkt 11.
Placera till rätt månad!</t>
        </r>
      </text>
    </comment>
    <comment ref="G56" authorId="2" shapeId="0" xr:uid="{2C8578A5-D37F-4004-B785-5C2FF0F71421}">
      <text>
        <r>
          <rPr>
            <sz val="10"/>
            <color indexed="81"/>
            <rFont val="Tahoma"/>
            <family val="2"/>
          </rPr>
          <t>Övrig kapitalinskott i företaget från tabell 
1. T1 INVESTERINGSPLAN punkt 13. Förflytta till rätt månad!</t>
        </r>
      </text>
    </comment>
    <comment ref="R60" authorId="2" shapeId="0" xr:uid="{4D936FD3-2FB4-40D9-914E-F9DCDFBB4794}">
      <text>
        <r>
          <rPr>
            <sz val="10"/>
            <color indexed="81"/>
            <rFont val="Tahoma"/>
            <family val="2"/>
          </rPr>
          <t>Kassan vid slutet av sista prognosmånaden.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s>
  <commentList>
    <comment ref="R76" authorId="0" shapeId="0" xr:uid="{5B5DE6E7-D34D-4D54-BE21-C6F6FA60960B}">
      <text>
        <r>
          <rPr>
            <sz val="10"/>
            <color indexed="81"/>
            <rFont val="Tahoma"/>
            <family val="2"/>
          </rPr>
          <t>Siffran berättar hur många dagar "Kumulativt under-/överskott" räcker till fasta kostnader. Borde vara minst 30 dagar.
Formel</t>
        </r>
        <r>
          <rPr>
            <b/>
            <sz val="10"/>
            <color indexed="81"/>
            <rFont val="Tahoma"/>
            <family val="2"/>
          </rPr>
          <t xml:space="preserve">:
</t>
        </r>
        <r>
          <rPr>
            <sz val="10"/>
            <color indexed="81"/>
            <rFont val="Tahoma"/>
            <family val="2"/>
          </rPr>
          <t>Kumulativt under-/överskott/Övriga fasta kostnader
(E1 VERKSAMHETSKOSTN. rad 42) * 365</t>
        </r>
      </text>
    </comment>
  </commentList>
</comments>
</file>

<file path=xl/sharedStrings.xml><?xml version="1.0" encoding="utf-8"?>
<sst xmlns="http://schemas.openxmlformats.org/spreadsheetml/2006/main" count="1639" uniqueCount="789">
  <si>
    <t xml:space="preserve"> </t>
  </si>
  <si>
    <t xml:space="preserve">2. VUOSI </t>
  </si>
  <si>
    <t>1.</t>
  </si>
  <si>
    <t>2.</t>
  </si>
  <si>
    <t>3.</t>
  </si>
  <si>
    <t>4.</t>
  </si>
  <si>
    <t>5.</t>
  </si>
  <si>
    <t>6.</t>
  </si>
  <si>
    <t>7.</t>
  </si>
  <si>
    <t>8.</t>
  </si>
  <si>
    <t>9.</t>
  </si>
  <si>
    <t>10.</t>
  </si>
  <si>
    <t xml:space="preserve">3. VUOSI </t>
  </si>
  <si>
    <t>%</t>
  </si>
  <si>
    <t xml:space="preserve">1. VUOSI </t>
  </si>
  <si>
    <t>+</t>
  </si>
  <si>
    <t>-</t>
  </si>
  <si>
    <t xml:space="preserve">    </t>
  </si>
  <si>
    <t>+/-</t>
  </si>
  <si>
    <t>Ennuste 2</t>
  </si>
  <si>
    <t>Ennuste  1</t>
  </si>
  <si>
    <t>Ennuste 3</t>
  </si>
  <si>
    <t>Tot. tilikausi</t>
  </si>
  <si>
    <t xml:space="preserve">   </t>
  </si>
  <si>
    <t>Lyhennys</t>
  </si>
  <si>
    <t>Korko</t>
  </si>
  <si>
    <t>UUDET LAINAT</t>
  </si>
  <si>
    <t>Määrä</t>
  </si>
  <si>
    <t>Nosto</t>
  </si>
  <si>
    <t>PO loppu</t>
  </si>
  <si>
    <t>Uudet lainat yhteensä</t>
  </si>
  <si>
    <t>Lyhen.</t>
  </si>
  <si>
    <t>aika'</t>
  </si>
  <si>
    <t>Laina-</t>
  </si>
  <si>
    <t>PO ka.</t>
  </si>
  <si>
    <t>=</t>
  </si>
  <si>
    <t xml:space="preserve"> - ALV-vähennyskelpoiset kulut</t>
  </si>
  <si>
    <t xml:space="preserve">  - ALV 0 % - kulut</t>
  </si>
  <si>
    <t>Pidätys-%</t>
  </si>
  <si>
    <t>11.</t>
  </si>
  <si>
    <t>12.</t>
  </si>
  <si>
    <t>14.</t>
  </si>
  <si>
    <t>15.</t>
  </si>
  <si>
    <t>16.</t>
  </si>
  <si>
    <t>17.</t>
  </si>
  <si>
    <t>18.</t>
  </si>
  <si>
    <t>19.</t>
  </si>
  <si>
    <t>Raha-</t>
  </si>
  <si>
    <t>Verottaja-</t>
  </si>
  <si>
    <t>Muut</t>
  </si>
  <si>
    <t>Netto-</t>
  </si>
  <si>
    <t>palkat</t>
  </si>
  <si>
    <t>edut</t>
  </si>
  <si>
    <t>tilitykset</t>
  </si>
  <si>
    <t>vähenn.</t>
  </si>
  <si>
    <t>Yhteensä</t>
  </si>
  <si>
    <t xml:space="preserve">Finnvera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</si>
  <si>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</si>
  <si>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</si>
  <si>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</si>
  <si>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</si>
  <si>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</si>
  <si>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</si>
  <si>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</si>
  <si>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</si>
  <si>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</si>
  <si>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B.</t>
  </si>
  <si>
    <t>A.</t>
  </si>
  <si>
    <t xml:space="preserve">C. </t>
  </si>
  <si>
    <t xml:space="preserve">D. </t>
  </si>
  <si>
    <t>Vanhat osamaksuvelat</t>
  </si>
  <si>
    <t>Ensimmäinen kausi</t>
  </si>
  <si>
    <t>Viimeinen kausi</t>
  </si>
  <si>
    <t>Uudet osamaksuvelat 1</t>
  </si>
  <si>
    <t>Uudet osamaksuvelat 2</t>
  </si>
  <si>
    <t>Uudet osamaksuvelat 3</t>
  </si>
  <si>
    <t>E.</t>
  </si>
  <si>
    <t>Vakuutusmaksut siirtosaatavia varten</t>
  </si>
  <si>
    <t>Kuluerittelyjä tasetta varten</t>
  </si>
  <si>
    <t xml:space="preserve">Aineettomat hyödykkeet </t>
  </si>
  <si>
    <t>Osamaksuvelat yhteensä</t>
  </si>
  <si>
    <t>Ennuste 4</t>
  </si>
  <si>
    <t>VANHAT LAINAT</t>
  </si>
  <si>
    <t xml:space="preserve"> +/-</t>
  </si>
  <si>
    <t>Arvonlisäverolliset ostot</t>
  </si>
  <si>
    <t>Poistot, oma pääoma</t>
  </si>
  <si>
    <t xml:space="preserve"> - lilsäykset tilikaudella</t>
  </si>
  <si>
    <t xml:space="preserve"> - vähennykset tilikaudella</t>
  </si>
  <si>
    <t xml:space="preserve"> - poistot</t>
  </si>
  <si>
    <t>Oma pääoma</t>
  </si>
  <si>
    <t>Lisäykset tilikaudella</t>
  </si>
  <si>
    <t>Vähennykset tilikaudella</t>
  </si>
  <si>
    <t>Poistot yhteensä</t>
  </si>
  <si>
    <t xml:space="preserve"> - voitto</t>
  </si>
  <si>
    <t xml:space="preserve"> - yksityisotot, osinko</t>
  </si>
  <si>
    <t>Nettoinvestoinnit</t>
  </si>
  <si>
    <t>Vanhat yhteensä</t>
  </si>
  <si>
    <t xml:space="preserve"> -/+</t>
  </si>
  <si>
    <t>Ennuste 5</t>
  </si>
  <si>
    <t>Uudet osamaksuvelat 4</t>
  </si>
  <si>
    <t>4. VUOSI</t>
  </si>
  <si>
    <t>LIIKETOIMINNAN LAAJUUS</t>
  </si>
  <si>
    <t>LIIKETOIMINNAN KANNATTAVUUS</t>
  </si>
  <si>
    <t xml:space="preserve"> Quick ratio</t>
  </si>
  <si>
    <t xml:space="preserve"> Current ratio</t>
  </si>
  <si>
    <t>Yhteens</t>
  </si>
  <si>
    <t>LAINAT TASEESSA</t>
  </si>
  <si>
    <t>Vanhat lainat</t>
  </si>
  <si>
    <t>Lyhytaik.</t>
  </si>
  <si>
    <t>Pitkäaik.</t>
  </si>
  <si>
    <t>kaudella</t>
  </si>
  <si>
    <t>OSAMAKSUVELAT TASEESSA KO. VUONNA</t>
  </si>
  <si>
    <t>Lainat taseessa ko. vuonna</t>
  </si>
  <si>
    <t>NETTOVARALLISUUSLASKELMA</t>
  </si>
  <si>
    <t>F.</t>
  </si>
  <si>
    <t>G.</t>
  </si>
  <si>
    <t xml:space="preserve">  </t>
  </si>
  <si>
    <t>aika</t>
  </si>
  <si>
    <t>Ennuste 5 ei näkyvissä</t>
  </si>
  <si>
    <t>Alv-laskelma kassabudj.</t>
  </si>
  <si>
    <t>Alv:n osuus</t>
  </si>
  <si>
    <t>ALV myynnistä</t>
  </si>
  <si>
    <t>Alv ostoista</t>
  </si>
  <si>
    <t>Veron määrä</t>
  </si>
  <si>
    <t>13.</t>
  </si>
  <si>
    <t>Myynti kaudella</t>
  </si>
  <si>
    <t>Kassaan 1. kk</t>
  </si>
  <si>
    <t>Kassaan 2. kk</t>
  </si>
  <si>
    <t>Kassaan 3. kk</t>
  </si>
  <si>
    <t>Kassaan 4. kk</t>
  </si>
  <si>
    <t>Kassaan 5. kk</t>
  </si>
  <si>
    <t>Kassaan 6. kk</t>
  </si>
  <si>
    <t>&lt;31 pv</t>
  </si>
  <si>
    <t>Kassaan 7. kk</t>
  </si>
  <si>
    <t>Maksut tilille myynneistä</t>
  </si>
  <si>
    <t>Maksut yhteensä</t>
  </si>
  <si>
    <t>31 - 60 pv</t>
  </si>
  <si>
    <t>61 - 90 pv</t>
  </si>
  <si>
    <t>91 - 120 pv</t>
  </si>
  <si>
    <t>121 - 150 pv</t>
  </si>
  <si>
    <t>150  - 180 pv</t>
  </si>
  <si>
    <t>Maksuehto  &lt; 30 pv</t>
  </si>
  <si>
    <t>Maksuehto 31 - 60 pv</t>
  </si>
  <si>
    <t>Maksuehto 61 - 90 pv</t>
  </si>
  <si>
    <t>Maksuehto 91 - 120 pv</t>
  </si>
  <si>
    <t>Maksuehto 121 - 150 pv</t>
  </si>
  <si>
    <t>Maksuehto 151 - 180 pv</t>
  </si>
  <si>
    <t>12</t>
  </si>
  <si>
    <t>Toteutunut</t>
  </si>
  <si>
    <t>Myyntisaatavien kiertoaika</t>
  </si>
  <si>
    <t>Kassaa 1. kk</t>
  </si>
  <si>
    <t>Toteutunut maksuaika pv</t>
  </si>
  <si>
    <t>Myyntisaamiset edell. tilikausi</t>
  </si>
  <si>
    <t xml:space="preserve">Myyntisaamiset/pv  </t>
  </si>
  <si>
    <t>Myynti tilikaudella</t>
  </si>
  <si>
    <t>Maksuehto 181 - 210 pv</t>
  </si>
  <si>
    <t>Maksuehto 211 - 240 pv</t>
  </si>
  <si>
    <t>Maksuehto 241 - 270 pv</t>
  </si>
  <si>
    <t>Maksuehto 271 - 300 pv</t>
  </si>
  <si>
    <t>Maksuehto 301 - 330 pv</t>
  </si>
  <si>
    <t>Maksuehto 331 - 360 pv</t>
  </si>
  <si>
    <t>I.</t>
  </si>
  <si>
    <t>II.</t>
  </si>
  <si>
    <t>III.</t>
  </si>
  <si>
    <t>I .</t>
  </si>
  <si>
    <t>IV.</t>
  </si>
  <si>
    <t xml:space="preserve">- </t>
  </si>
  <si>
    <t>1000 €</t>
  </si>
  <si>
    <t>T1  INVESTERINGSPLAN</t>
  </si>
  <si>
    <t>Datum</t>
  </si>
  <si>
    <t>ANTECKNINGAR</t>
  </si>
  <si>
    <t>Företag</t>
  </si>
  <si>
    <t>E-postadress</t>
  </si>
  <si>
    <t>Utförare</t>
  </si>
  <si>
    <t>Projekt</t>
  </si>
  <si>
    <t>Telefon</t>
  </si>
  <si>
    <t>Startdatum</t>
  </si>
  <si>
    <t>Beräknas vara färdigt</t>
  </si>
  <si>
    <t xml:space="preserve"> KAPITALBEHOV (Euro)</t>
  </si>
  <si>
    <t>Prognos 1</t>
  </si>
  <si>
    <t>Prognos 2</t>
  </si>
  <si>
    <t>Prognos 3</t>
  </si>
  <si>
    <t>Prognos 4</t>
  </si>
  <si>
    <t>Sammanlagt</t>
  </si>
  <si>
    <t>Jordområden</t>
  </si>
  <si>
    <t xml:space="preserve"> - area (m2)</t>
  </si>
  <si>
    <t xml:space="preserve"> - bidrags-%</t>
  </si>
  <si>
    <t>Byggnader och konstruktioner inkl. Moms</t>
  </si>
  <si>
    <t xml:space="preserve"> - area / volym (m2 / m3)</t>
  </si>
  <si>
    <t xml:space="preserve"> - Moms-%</t>
  </si>
  <si>
    <t>Byggnader och konstruktioner Moms 0 %</t>
  </si>
  <si>
    <t>Maskiner och anläggningar inkl. Moms</t>
  </si>
  <si>
    <t>Maskiner och anläggningar Moms 0 %</t>
  </si>
  <si>
    <t>Övriga materiella investeringar</t>
  </si>
  <si>
    <t>Immateriella nyttigheter</t>
  </si>
  <si>
    <t>Placeringar</t>
  </si>
  <si>
    <t>Ökning av rörelsekapital</t>
  </si>
  <si>
    <t>Kapitalbehov sammanlagt</t>
  </si>
  <si>
    <t>FINANSIERING (Euro)</t>
  </si>
  <si>
    <t>Egen finansiering</t>
  </si>
  <si>
    <t>Ägarnas kapitalplaceringar</t>
  </si>
  <si>
    <t>Ökning av aktiekapital</t>
  </si>
  <si>
    <t>Placering i SVOP-fonden</t>
  </si>
  <si>
    <t>Internfinansiering</t>
  </si>
  <si>
    <t>Kapitallån</t>
  </si>
  <si>
    <t>Övrig egen finansiering</t>
  </si>
  <si>
    <t>Lånefinansiering</t>
  </si>
  <si>
    <t>Kreditgivare</t>
  </si>
  <si>
    <t>Bank</t>
  </si>
  <si>
    <t>Avbetalnings-, leasing-, etc. Finansiering</t>
  </si>
  <si>
    <t>Avdrag för mervärdesskatt</t>
  </si>
  <si>
    <t>Bidragen (punkter 1 - 7)</t>
  </si>
  <si>
    <t>Finansiering sammanlagt</t>
  </si>
  <si>
    <t>Av investeringen orsakad ökning av omsättningen/år</t>
  </si>
  <si>
    <t>T2  RESULTATBUDGET</t>
  </si>
  <si>
    <t>Anteckningar (kan användas liksom Excel):</t>
  </si>
  <si>
    <t>Räkenskapsperiodens längd (månader)</t>
  </si>
  <si>
    <t>OMSÄTTNING</t>
  </si>
  <si>
    <t>Övriga rörelseintäkter</t>
  </si>
  <si>
    <t>RÖRELSEINTÄKTER SAMMANLAGT</t>
  </si>
  <si>
    <t>Materialförbrukning, varor</t>
  </si>
  <si>
    <t>Köpta tjänster</t>
  </si>
  <si>
    <t>Personalkostnader</t>
  </si>
  <si>
    <t>Övriga rörelsekostnader</t>
  </si>
  <si>
    <t>Ökning/minskning av färdig- och halvfabrikat</t>
  </si>
  <si>
    <t>DRIFTSBIDRAG</t>
  </si>
  <si>
    <t>Avskrivningar enligt plan</t>
  </si>
  <si>
    <t>RÖRELSERESULTAT</t>
  </si>
  <si>
    <t>Intäkter av andelar och övriga placeringar</t>
  </si>
  <si>
    <t>Räntekostnader och övriga finansiella kostnader</t>
  </si>
  <si>
    <t>Tillverkning för eget bruk</t>
  </si>
  <si>
    <t>VINST (FÖRLUST) FÖRE BOKSLUTFLYTTNINGAR OCH SKATTER</t>
  </si>
  <si>
    <t>Direkta skatter</t>
  </si>
  <si>
    <t>Inkomstskatteprocent</t>
  </si>
  <si>
    <t>Ökning/minskning av avskrivning differens</t>
  </si>
  <si>
    <t>TOTALRESULTAT</t>
  </si>
  <si>
    <t>ANTAL ANSTÄLLDA I GENOMSNITT</t>
  </si>
  <si>
    <t>Skattebaserade reserveringar</t>
  </si>
  <si>
    <t>Ansvar av programmets rättighet och resultatet</t>
  </si>
  <si>
    <t xml:space="preserve">Användaren är medveten, att programmet kan innehålla fel och ge felaktiga resultatet. </t>
  </si>
  <si>
    <t xml:space="preserve">Resultatet är riktningsgivande och användaren har eget ansvar om tolkning av resultatet. </t>
  </si>
  <si>
    <t>Realiserad</t>
  </si>
  <si>
    <t>Euro</t>
  </si>
  <si>
    <t>IFYLLNINGSANVISNINGAR</t>
  </si>
  <si>
    <t>Rader 1 - 7: Investeringarna beräknas enligt prisnivån då investeringen görs</t>
  </si>
  <si>
    <t xml:space="preserve">Rad 9       Med ökning av rörelsekapital avses det bestående behovet av rörelsekapital som </t>
  </si>
  <si>
    <t xml:space="preserve">         investeringen framkallar.</t>
  </si>
  <si>
    <t xml:space="preserve">         Rörelsekapital = Omsättningstillgångar + kundfordringar - leverantörsskulder - erhållna förskott</t>
  </si>
  <si>
    <t>Rad 11:    Ökning av eget kapital</t>
  </si>
  <si>
    <t>Rad 12:    Internfinansiering som kan användas för den aktuella investeringen</t>
  </si>
  <si>
    <t>Rad 13:    Endast ökning av kapitallån</t>
  </si>
  <si>
    <t>Rad 14 :   Lån av ägare, försäljning av egendom och placeringar samt andelen av eget arbete och material</t>
  </si>
  <si>
    <t>T3 BALANS</t>
  </si>
  <si>
    <t>AKTIVA</t>
  </si>
  <si>
    <t>BESTÅENDE AKTIVA</t>
  </si>
  <si>
    <t>Investering i bruk under räkenskapsperioden (månader)</t>
  </si>
  <si>
    <t xml:space="preserve"> - Tillägg under räkenskapsperioden</t>
  </si>
  <si>
    <t xml:space="preserve"> - Minskningar under räkenskapsperioden</t>
  </si>
  <si>
    <t xml:space="preserve"> - Avskrivningar</t>
  </si>
  <si>
    <t>Årligen</t>
  </si>
  <si>
    <t>Materiella nyttigheter</t>
  </si>
  <si>
    <t xml:space="preserve">1. Jord- och vattenområde </t>
  </si>
  <si>
    <t>2. Byggnader och konstruktioner</t>
  </si>
  <si>
    <t xml:space="preserve">3. Maskiner och anläggningar </t>
  </si>
  <si>
    <t>Realiserad räkenskapsperiod, resultats regleringarnas %-andel av omsättning</t>
  </si>
  <si>
    <t>PASSIVA</t>
  </si>
  <si>
    <t>RÖRLIGA AKTIVA</t>
  </si>
  <si>
    <t>Omsättningstillgångar</t>
  </si>
  <si>
    <t>Fordringar</t>
  </si>
  <si>
    <t>1. Kundfordringar</t>
  </si>
  <si>
    <t>Omloppstid av kundfordringar (dagar)</t>
  </si>
  <si>
    <t>2. Fordringar av deldebitering</t>
  </si>
  <si>
    <t>3. Övriga fordringar</t>
  </si>
  <si>
    <t>4. Resultatregleringar</t>
  </si>
  <si>
    <t>Finansieringsvärdepapper</t>
  </si>
  <si>
    <t>Pengar och banktillgodohavanden</t>
  </si>
  <si>
    <t>AKTIVA TOTALT</t>
  </si>
  <si>
    <t>EGET KAPITAL</t>
  </si>
  <si>
    <t xml:space="preserve">1. Aktiekapital mm. </t>
  </si>
  <si>
    <t>2. Vinster av föregående räkenskapsperioder</t>
  </si>
  <si>
    <t>3. Dividender, privata uttag</t>
  </si>
  <si>
    <t xml:space="preserve">4. Vinst/förlust av räkenskapsperioden </t>
  </si>
  <si>
    <t xml:space="preserve">5. Fond av investerad fritt eget kapital </t>
  </si>
  <si>
    <t>KUMULAT. BOKSLUTÖVERFÖRINGAR</t>
  </si>
  <si>
    <t>1. Avskrivningsdifferens</t>
  </si>
  <si>
    <t>2. Skattebaserade reserveringar</t>
  </si>
  <si>
    <t xml:space="preserve"> - procent av betalda löner </t>
  </si>
  <si>
    <t>OBLIGATORISKA RESERVERINGAR</t>
  </si>
  <si>
    <t>LÅNGFRISTIG FRÄMMANDE KAPITAL</t>
  </si>
  <si>
    <t>1. Lån av penningväsenden</t>
  </si>
  <si>
    <t xml:space="preserve">2. Kapitallån </t>
  </si>
  <si>
    <t>3. Leverantörsskulder</t>
  </si>
  <si>
    <t xml:space="preserve"> - Leverantörsskulder</t>
  </si>
  <si>
    <t xml:space="preserve"> - Avbetalningsskulder</t>
  </si>
  <si>
    <t>4. Övriga långfristiga lån</t>
  </si>
  <si>
    <t>KORTFRISTIG FRÄMMANDE KAPITAL</t>
  </si>
  <si>
    <t>3. Skulder till leverantörer</t>
  </si>
  <si>
    <t>4. Övriga kortfristiga lån</t>
  </si>
  <si>
    <t>5. Resultatregleringsskulder</t>
  </si>
  <si>
    <t>6. Erhållna förskott</t>
  </si>
  <si>
    <t>PASSIVA TOTALT</t>
  </si>
  <si>
    <t>SIFFRORNA I DENNA RAD FÖRFLYTTAR SIG SENARE FRÅN TABELL T4 FINANSIERINGSBUDGET.</t>
  </si>
  <si>
    <t>T4 FINANSIERINGSBUDGET</t>
  </si>
  <si>
    <t xml:space="preserve">TILLFÖRDA OCH DISPONERADE MEDEL </t>
  </si>
  <si>
    <t>EKONOMISKA PARAMETRAR</t>
  </si>
  <si>
    <t xml:space="preserve"> Omsättning</t>
  </si>
  <si>
    <t xml:space="preserve"> Omsättning/person</t>
  </si>
  <si>
    <t xml:space="preserve"> Personal</t>
  </si>
  <si>
    <t>Investerad kapital</t>
  </si>
  <si>
    <t>TILLFÖRDA MEDEL</t>
  </si>
  <si>
    <t>Finansieringsresultat</t>
  </si>
  <si>
    <t>Ägarnas kapitaltillskott</t>
  </si>
  <si>
    <t>Upptagning av avbetalningsskulder (T7)</t>
  </si>
  <si>
    <t>Upptagning av kortfristiga lån</t>
  </si>
  <si>
    <t>SAMMANLAGT</t>
  </si>
  <si>
    <t>DISPONERADE MEDEL</t>
  </si>
  <si>
    <t xml:space="preserve">Maskiner och anläggningar </t>
  </si>
  <si>
    <t>Övriga investeringar</t>
  </si>
  <si>
    <t>Förändring av finansieringstillgångarna</t>
  </si>
  <si>
    <t xml:space="preserve">Långfr. lån/förändringar av låneamorteringar          </t>
  </si>
  <si>
    <t>Amortering av avbetalningsskulder</t>
  </si>
  <si>
    <t xml:space="preserve">Ökning/minskning av övrigt främmande kapital           </t>
  </si>
  <si>
    <t>Amortering av kortfristiga lån</t>
  </si>
  <si>
    <t>Dividendutbetalning eller privatuttag</t>
  </si>
  <si>
    <t>Kumulativt under-/överskott</t>
  </si>
  <si>
    <t>Tillräcklighet av kassan/Övriga fasta kostnader (dagar)</t>
  </si>
  <si>
    <t>Kundfordringar</t>
  </si>
  <si>
    <t>Övriga fordringar</t>
  </si>
  <si>
    <t>Fordr. fr. intäkter enligt färdighetsgrad</t>
  </si>
  <si>
    <t>Inköpsskulder</t>
  </si>
  <si>
    <t>Omloppstid av inköpsskulder (dagar)</t>
  </si>
  <si>
    <t>Erhållna förskott</t>
  </si>
  <si>
    <t>Rörelsekapital</t>
  </si>
  <si>
    <t>Ökning/minskning av rörelsekapital</t>
  </si>
  <si>
    <t xml:space="preserve"> Driftsbidrags-%</t>
  </si>
  <si>
    <t xml:space="preserve"> Periodens vinst-%</t>
  </si>
  <si>
    <t>Vitsord</t>
  </si>
  <si>
    <t xml:space="preserve"> Återbetalningstid för främmande kapital</t>
  </si>
  <si>
    <t>ÖVRIGA PARAMETRAR</t>
  </si>
  <si>
    <t xml:space="preserve"> Lånetäckningsgrad</t>
  </si>
  <si>
    <t xml:space="preserve"> Bolagstillgångar</t>
  </si>
  <si>
    <t xml:space="preserve"> - Skulder</t>
  </si>
  <si>
    <t xml:space="preserve"> - Bankkonto</t>
  </si>
  <si>
    <t xml:space="preserve"> - Bostad ägt av företaget</t>
  </si>
  <si>
    <t xml:space="preserve"> Nettoförmögenhet</t>
  </si>
  <si>
    <t xml:space="preserve"> Dividendutbetalning eller privatuttag</t>
  </si>
  <si>
    <t>Version 1 /dd.mm.åååå</t>
  </si>
  <si>
    <t>T5 KASSABUDGET</t>
  </si>
  <si>
    <t>SLGT</t>
  </si>
  <si>
    <t>PROGNOSÅR</t>
  </si>
  <si>
    <t>AFFÄRVERKSAMHETENS INTÄKTER</t>
  </si>
  <si>
    <t>Moms-%</t>
  </si>
  <si>
    <t xml:space="preserve"> Kontantbetalning, andel av försäljning</t>
  </si>
  <si>
    <t xml:space="preserve"> - månatlig försäljning</t>
  </si>
  <si>
    <t xml:space="preserve"> Fakturaförsäljning</t>
  </si>
  <si>
    <t xml:space="preserve"> - betalningsvillkor</t>
  </si>
  <si>
    <t>dag</t>
  </si>
  <si>
    <t>AFFÄRVERKSAMHETENS SAMMANLAGT</t>
  </si>
  <si>
    <t>AFFÄRVERKSAMHETENS UTGIFTER</t>
  </si>
  <si>
    <t xml:space="preserve"> Materialbruk och varor</t>
  </si>
  <si>
    <t xml:space="preserve"> Kontanta inköp</t>
  </si>
  <si>
    <t xml:space="preserve"> Köpta tjänster</t>
  </si>
  <si>
    <t xml:space="preserve"> Lokalhyror inklusive Moms</t>
  </si>
  <si>
    <t xml:space="preserve"> Övriga fasta kostnader inkl. Moms</t>
  </si>
  <si>
    <t xml:space="preserve"> Förfallen Moms</t>
  </si>
  <si>
    <t xml:space="preserve"> Nettolöner </t>
  </si>
  <si>
    <t xml:space="preserve"> Arbetsgivarprestationer till Skatteverket</t>
  </si>
  <si>
    <t xml:space="preserve"> ArPL-utgifter,  obligatoriska arbetstagarförsäkringar</t>
  </si>
  <si>
    <t xml:space="preserve"> Frivilliga pension- och personförsäkringsavgifter</t>
  </si>
  <si>
    <t xml:space="preserve"> Övriga fasta kostnader Moms 0 %</t>
  </si>
  <si>
    <t xml:space="preserve"> Finansieringskostnader</t>
  </si>
  <si>
    <t xml:space="preserve"> Skatter</t>
  </si>
  <si>
    <t xml:space="preserve"> Investeringar Moms 0 %</t>
  </si>
  <si>
    <t xml:space="preserve"> Restskuld 2</t>
  </si>
  <si>
    <t>AFFÄRVERKSAMHETENS UTGIFTER SLGT</t>
  </si>
  <si>
    <t>inkl. Moms</t>
  </si>
  <si>
    <t xml:space="preserve"> Amortering av avbetalningsskulder </t>
  </si>
  <si>
    <t xml:space="preserve"> Lyft av lån och tillägg av avbetalningar </t>
  </si>
  <si>
    <t xml:space="preserve"> Amortering av lån </t>
  </si>
  <si>
    <t xml:space="preserve"> Dividender, privata uttag</t>
  </si>
  <si>
    <t>KAPITALFINANSIERING: INTÄKTER OCH UTGIFTER</t>
  </si>
  <si>
    <t>T7  LÅN</t>
  </si>
  <si>
    <t xml:space="preserve">NUVARANDE LÅNGFRISTIGA LÅN </t>
  </si>
  <si>
    <t>(Ej kapitallån)</t>
  </si>
  <si>
    <t>Lånebelopp enligt senaste bokslut</t>
  </si>
  <si>
    <t>Återstå-ende lånetid (år)</t>
  </si>
  <si>
    <t>Ränte-%</t>
  </si>
  <si>
    <t>Amortering</t>
  </si>
  <si>
    <t>Ränta</t>
  </si>
  <si>
    <t>Nuvarande lån sammanlagt</t>
  </si>
  <si>
    <t>NYA LÅN (Ej kapitallån)</t>
  </si>
  <si>
    <t>Lånets belopp</t>
  </si>
  <si>
    <t>Lånetid (år)</t>
  </si>
  <si>
    <t>Lyft</t>
  </si>
  <si>
    <t>Amort.</t>
  </si>
  <si>
    <t>Nya avbetalningslån slgt</t>
  </si>
  <si>
    <t>Räntor på kortfristiga lån</t>
  </si>
  <si>
    <t>Expeditionsavgifter, bankgarantiavgifter</t>
  </si>
  <si>
    <t>TOTALT</t>
  </si>
  <si>
    <t>Ansvar av programmets rättighet och resultaten</t>
  </si>
  <si>
    <t xml:space="preserve">Användaren är medveten, att programmet kan innehålla fel och ge felaktiga resultaten. </t>
  </si>
  <si>
    <t xml:space="preserve">Resultatet är riktningsgivande och användaren har eget ansvar om tolkning av resultaten. </t>
  </si>
  <si>
    <t xml:space="preserve"> E1 VERKSAMHETSKOSTNADER</t>
  </si>
  <si>
    <t>E1 VERKSAMHETSKOSTNADER</t>
  </si>
  <si>
    <t>LÖNER OCH ARVODER</t>
  </si>
  <si>
    <t>1.1 FöPL-företagarna</t>
  </si>
  <si>
    <t xml:space="preserve"> - FöPL-företagarnas penninglöner / månad brutto</t>
  </si>
  <si>
    <t xml:space="preserve"> - FöPL-företagarnas naturaförmåner / månad</t>
  </si>
  <si>
    <t xml:space="preserve"> - antalet lönebetalningsmånader</t>
  </si>
  <si>
    <t xml:space="preserve"> - arbetstimmar / månad / person</t>
  </si>
  <si>
    <t xml:space="preserve"> - antalet personer</t>
  </si>
  <si>
    <t xml:space="preserve"> - antalet lönebetalningsmånader / person</t>
  </si>
  <si>
    <t xml:space="preserve"> - naturaförmåner sammanlagt i ett år </t>
  </si>
  <si>
    <t>1.3 Tjänstemän / ArPL-företagarna</t>
  </si>
  <si>
    <t xml:space="preserve"> - tjänstemänlöner i medeltal i månad / person</t>
  </si>
  <si>
    <t xml:space="preserve"> - antalet tjänstemän</t>
  </si>
  <si>
    <t>1.4 Erhållna försäkringsersättningar</t>
  </si>
  <si>
    <t>PERSONALBIKOSTNADER</t>
  </si>
  <si>
    <t xml:space="preserve"> 2.1 Pensionskostnader</t>
  </si>
  <si>
    <t xml:space="preserve"> - Arbetstagarens andel av ArPL-betalning</t>
  </si>
  <si>
    <t xml:space="preserve"> - Arbetsgivarens ArPL-betalningar</t>
  </si>
  <si>
    <t xml:space="preserve"> - FöPL-arbetsinkomster slgt,  alla FöPL-företagare</t>
  </si>
  <si>
    <t xml:space="preserve"> - FöPL-försäkringsprocent </t>
  </si>
  <si>
    <t xml:space="preserve"> - FöPL-avgifter</t>
  </si>
  <si>
    <t xml:space="preserve"> - frivilliga pensionsavgifter</t>
  </si>
  <si>
    <t xml:space="preserve">2.2 Övriga personalbikostnader </t>
  </si>
  <si>
    <t xml:space="preserve"> - Arbetstagarens sjukdomsförsäkr., arbetslösh. och livförsäkr. avgift-%</t>
  </si>
  <si>
    <t>2.4 FöPL-företagarnas livförsäkringsavgifter</t>
  </si>
  <si>
    <t xml:space="preserve">2.5 Övriga personförsäkringsavgifter </t>
  </si>
  <si>
    <t>PESONALKOSTNADER SAMMANLAGT</t>
  </si>
  <si>
    <t>ÖVR. KOSTN. AV AFFÄRSVERKSAMHETEN</t>
  </si>
  <si>
    <t>3.1 Övriga personalkostnader</t>
  </si>
  <si>
    <t xml:space="preserve"> - utbildning av personal</t>
  </si>
  <si>
    <t xml:space="preserve"> - rekreations- och intresseverksamhet</t>
  </si>
  <si>
    <t xml:space="preserve"> - arbetshälsovård </t>
  </si>
  <si>
    <t xml:space="preserve"> - arbetskläder och skyddsmedel </t>
  </si>
  <si>
    <t xml:space="preserve"> - övriga frivilliga personalkostnader</t>
  </si>
  <si>
    <t xml:space="preserve"> - hyror och vederlag inkl. Moms</t>
  </si>
  <si>
    <t xml:space="preserve"> - el och gas </t>
  </si>
  <si>
    <t xml:space="preserve"> - vatten och avloppsvatten</t>
  </si>
  <si>
    <t xml:space="preserve"> - värme </t>
  </si>
  <si>
    <t xml:space="preserve"> - städning, rengöring, underhållning av uteområden </t>
  </si>
  <si>
    <t xml:space="preserve"> - reparationskostnader</t>
  </si>
  <si>
    <t xml:space="preserve"> - avfallsservice</t>
  </si>
  <si>
    <t xml:space="preserve"> - bevakning, lås tjänster </t>
  </si>
  <si>
    <t xml:space="preserve"> - fastighetsförsäkringar</t>
  </si>
  <si>
    <t xml:space="preserve"> - fastighetsskatt, övriga kostnader</t>
  </si>
  <si>
    <t>3.2 Kostnader av affärslokaler</t>
  </si>
  <si>
    <t xml:space="preserve"> - leasing- och hyreskostnader </t>
  </si>
  <si>
    <t xml:space="preserve"> - bränsle</t>
  </si>
  <si>
    <t xml:space="preserve"> - service och reparationer</t>
  </si>
  <si>
    <t xml:space="preserve"> - försäkrings-, besiktnings- och bruksavgifter etc.</t>
  </si>
  <si>
    <t xml:space="preserve"> - övriga maskinkostnader</t>
  </si>
  <si>
    <t>3.4 Kosten. av ADB-apparater och -program</t>
  </si>
  <si>
    <t xml:space="preserve"> - apparat-, programhyror och leasingkostnaderna </t>
  </si>
  <si>
    <t xml:space="preserve"> - program och uppdatering </t>
  </si>
  <si>
    <t xml:space="preserve"> - förvärv av ADB-apparater (brukstid &lt; 3 år)</t>
  </si>
  <si>
    <t xml:space="preserve"> - övriga Adb-kostnader </t>
  </si>
  <si>
    <t>3.6 Resekostnader</t>
  </si>
  <si>
    <t xml:space="preserve"> - resebiljetter och inkvarteringskostnader</t>
  </si>
  <si>
    <t xml:space="preserve"> - måltid under resan </t>
  </si>
  <si>
    <t xml:space="preserve"> - övriga resekostnader</t>
  </si>
  <si>
    <t xml:space="preserve">3.7 Reseersättningar </t>
  </si>
  <si>
    <t xml:space="preserve"> - dagtraktamenten, måltidsersättningar o.d.</t>
  </si>
  <si>
    <t xml:space="preserve"> - kilometerersättningar</t>
  </si>
  <si>
    <t>3.8 Representationskostnader</t>
  </si>
  <si>
    <r>
      <t xml:space="preserve">3.9 Försäljningskostnader </t>
    </r>
    <r>
      <rPr>
        <sz val="9"/>
        <rFont val="Arial"/>
        <family val="2"/>
      </rPr>
      <t>(mm. provisioner)</t>
    </r>
  </si>
  <si>
    <t>3.10 Marknadsföringskostnader</t>
  </si>
  <si>
    <t xml:space="preserve"> - reklambyråtjänster</t>
  </si>
  <si>
    <t xml:space="preserve"> - direkt- och annonsreklam</t>
  </si>
  <si>
    <t xml:space="preserve"> -  TV-, radio- och internetreklam</t>
  </si>
  <si>
    <t xml:space="preserve"> - mässa, utställning, Salés promotion</t>
  </si>
  <si>
    <t xml:space="preserve"> - övriga marknadsföringskostnader (bl.a. Grämes)</t>
  </si>
  <si>
    <t xml:space="preserve"> - produktutvecklings- och testningstjänster</t>
  </si>
  <si>
    <t xml:space="preserve"> - varumärken, patentet</t>
  </si>
  <si>
    <t xml:space="preserve"> - certifikaten och kvalitetsbetyg</t>
  </si>
  <si>
    <t xml:space="preserve"> - övriga utvecklingskostnader </t>
  </si>
  <si>
    <t xml:space="preserve">3.12 Administrationstjänster </t>
  </si>
  <si>
    <t xml:space="preserve"> - hyror av arbetskraft </t>
  </si>
  <si>
    <t xml:space="preserve"> - ekonomiförvaltningstjänster, revision</t>
  </si>
  <si>
    <t xml:space="preserve"> - lag-, indrivnings och konsulttjänster</t>
  </si>
  <si>
    <t xml:space="preserve"> - övriga administrationskostnader</t>
  </si>
  <si>
    <t>3.13 Faktainsamling</t>
  </si>
  <si>
    <t xml:space="preserve"> - böcker, tidningar </t>
  </si>
  <si>
    <t xml:space="preserve"> - medlemsavgifter av Företagarförening o.d.</t>
  </si>
  <si>
    <t xml:space="preserve">3.14 Datakommunikation och penningrörelse </t>
  </si>
  <si>
    <t xml:space="preserve"> - telefon- och mobiltelefonkostnader</t>
  </si>
  <si>
    <t xml:space="preserve"> - dataöverföringskostnader </t>
  </si>
  <si>
    <t xml:space="preserve"> - post- och kurirkostnader</t>
  </si>
  <si>
    <t xml:space="preserve"> - kostnader av penningrörelse</t>
  </si>
  <si>
    <t xml:space="preserve"> - sakförsäkringar, maskinskada mm.</t>
  </si>
  <si>
    <t xml:space="preserve"> - övriga försäkringar, avbrottsförsäkring</t>
  </si>
  <si>
    <t>3.16 Kontorstillbehör</t>
  </si>
  <si>
    <t>3.17 Mötes- och förhandlingskostnader</t>
  </si>
  <si>
    <t>3.5 Övriga maskin- och apparaturkostnader</t>
  </si>
  <si>
    <t xml:space="preserve"> - hyror av apparater och inventarier, leasingkostnad.</t>
  </si>
  <si>
    <t xml:space="preserve"> - inventarieanskaffningar (brukstid &lt; 3 år) </t>
  </si>
  <si>
    <t xml:space="preserve"> - övriga maskin- och inventariekostnader</t>
  </si>
  <si>
    <t>E2  HUR OMSÄTTNINGEN UPPSTÅR</t>
  </si>
  <si>
    <t>PRISEN UTAN MERVÄRDESSKATT</t>
  </si>
  <si>
    <t xml:space="preserve"> - försäljningsmängd i enheter </t>
  </si>
  <si>
    <t xml:space="preserve"> - faktureringspris/enhet Moms 0 %</t>
  </si>
  <si>
    <t xml:space="preserve">Euro </t>
  </si>
  <si>
    <t>MATERIALBRUK</t>
  </si>
  <si>
    <t>MATERIALBRUK - %</t>
  </si>
  <si>
    <t>MOMS SLGT AV FÖRSÄLJNING</t>
  </si>
  <si>
    <t>MOMS SLGT AV ANSKAFFNINGAR</t>
  </si>
  <si>
    <t>Prog. 1</t>
  </si>
  <si>
    <t>Prog. 4</t>
  </si>
  <si>
    <t>Prog. 2</t>
  </si>
  <si>
    <t>Prog. 3</t>
  </si>
  <si>
    <t>Slgt</t>
  </si>
  <si>
    <t xml:space="preserve">  T2 RESULTATBUDGET</t>
  </si>
  <si>
    <t>OMSÄTTNING/PERSON Euro</t>
  </si>
  <si>
    <t>Övr. ränteintäkter och finansiella intäkter</t>
  </si>
  <si>
    <t>Räntekostn. och övriga finansiella kostnader</t>
  </si>
  <si>
    <t>4. Övriga materiella nyttigheter</t>
  </si>
  <si>
    <t xml:space="preserve">4. Övriga immateriella nyttigheter </t>
  </si>
  <si>
    <t xml:space="preserve">3. Övriga fordringar </t>
  </si>
  <si>
    <t>AKTIVA SAMMANLAGT</t>
  </si>
  <si>
    <t>4. Vinst/förlust av räkenskapsperioden</t>
  </si>
  <si>
    <t>5. Fond av investerad fritt eget kapital</t>
  </si>
  <si>
    <t>2. Kapitallån</t>
  </si>
  <si>
    <t>2. Kapital</t>
  </si>
  <si>
    <t>Omsättning</t>
  </si>
  <si>
    <t xml:space="preserve"> Avkastning på investerat kapital (%)</t>
  </si>
  <si>
    <t xml:space="preserve"> Soliditet i procentar</t>
  </si>
  <si>
    <t xml:space="preserve"> Skulder</t>
  </si>
  <si>
    <t>PASSIVA SAMMANLAGT</t>
  </si>
  <si>
    <t>6. Erhållna försköt</t>
  </si>
  <si>
    <t>Erhållna förskott, andel av omsättning</t>
  </si>
  <si>
    <t>Nuvarande avbetalningslån</t>
  </si>
  <si>
    <t>Ränteintäkter och finansiella intäkter</t>
  </si>
  <si>
    <t>20.</t>
  </si>
  <si>
    <t>VINST (FÖRLUST) FÖRE BOKSLUT-FLYTTNINGAR OCH SKATTER</t>
  </si>
  <si>
    <t>RÖRELSEKAPITAL</t>
  </si>
  <si>
    <t>Fordringar, andel av omsättning (%)</t>
  </si>
  <si>
    <t xml:space="preserve"> Extraordinära intäkter, försäljning av egendom</t>
  </si>
  <si>
    <t>NTM's bidrag, ökning av kapitallån, upptagning av placeringar, försäljning av egendom, konvertering av kapitallån</t>
  </si>
  <si>
    <t xml:space="preserve"> Investerad kapital</t>
  </si>
  <si>
    <t>Slutsumma av balansen</t>
  </si>
  <si>
    <t>Avbetalnings-, försäkringsbolag- etc. finansiering</t>
  </si>
  <si>
    <t>Vähennetään leasingrahoitus T1:stä</t>
  </si>
  <si>
    <t xml:space="preserve"> - Poistettava kalusto sis. alv</t>
  </si>
  <si>
    <t xml:space="preserve"> - Poistettava kalusto ilman alv</t>
  </si>
  <si>
    <t xml:space="preserve"> - avustuksen määrä </t>
  </si>
  <si>
    <t>SVOP-återbetalning</t>
  </si>
  <si>
    <t>Amortering av kapitallån</t>
  </si>
  <si>
    <t>Förändring av rörelsekapitalet (rad 35)</t>
  </si>
  <si>
    <t>Övriga långfristiga lån, minskning</t>
  </si>
  <si>
    <t>Långfr. leverantörsskulder, minskning</t>
  </si>
  <si>
    <t>Över-/underskott (7 - 25)</t>
  </si>
  <si>
    <t>Bidragen (punkter 1 - 7) utan bidrag av leasingfinansier.</t>
  </si>
  <si>
    <t>Lånen som ska lyftas under 1. året</t>
  </si>
  <si>
    <t>Lånen som ska lyftas under 2. året</t>
  </si>
  <si>
    <t>Lånen som ska lyftas under 4. året</t>
  </si>
  <si>
    <t>Räntor på övriga långfristiga lån, utan skuldebrev</t>
  </si>
  <si>
    <t xml:space="preserve"> Säkerhet</t>
  </si>
  <si>
    <t>Avbetalning</t>
  </si>
  <si>
    <t>Lån av försäkringsbolag</t>
  </si>
  <si>
    <t>Leasing för punkt 4. Maskiner etc.</t>
  </si>
  <si>
    <t>Leasing för punkt 5. Maskiner etc.</t>
  </si>
  <si>
    <t>3.19 Leasingkostnader, privatbruk</t>
  </si>
  <si>
    <t>3.18 Fordon- och maskinkostnader, privatbruk</t>
  </si>
  <si>
    <t>3.20 Köpta tjänster inkl. Moms</t>
  </si>
  <si>
    <t xml:space="preserve"> Leasingkostnader, privatbruk</t>
  </si>
  <si>
    <t xml:space="preserve"> - ALV:n määrä</t>
  </si>
  <si>
    <t>Liiketoiminnan muut kulut, erittely (T5 kassaan)</t>
  </si>
  <si>
    <t xml:space="preserve"> Maskin- och fordonleasingkostnader, affärsbruk</t>
  </si>
  <si>
    <t xml:space="preserve"> Hyror och vederlag Moms 0 %</t>
  </si>
  <si>
    <t>Amortering av långfristiga lån av finansiärer</t>
  </si>
  <si>
    <t xml:space="preserve"> Net Gearing (nettoskuldsättningsgrad)</t>
  </si>
  <si>
    <t>Betalningstid</t>
  </si>
  <si>
    <t>Upptagning av långfristiga lån och leverantörsskulder</t>
  </si>
  <si>
    <t>Nya lån sammanlagt</t>
  </si>
  <si>
    <t xml:space="preserve"> Nya avbetalningsskulder</t>
  </si>
  <si>
    <t xml:space="preserve">Byggnader och konstruktioner inkl. Moms </t>
  </si>
  <si>
    <t xml:space="preserve">Maskiner och anläggningar Moms 0 % </t>
  </si>
  <si>
    <t xml:space="preserve">Övriga materiella nyttigheter inkl. Moms </t>
  </si>
  <si>
    <t xml:space="preserve">Immateriella nyttigheter </t>
  </si>
  <si>
    <t>Leasing för punkt 4. Maskiner och anläggn. inkl. Moms</t>
  </si>
  <si>
    <t>Leasing för punkt 5. Maskiner och anläggn. Moms 0 %</t>
  </si>
  <si>
    <t>Om semesterlönereservering inte görs, nollställ raden 93 i tabell T3 BALANS.</t>
  </si>
  <si>
    <t xml:space="preserve"> - arvo avustuksen jälkeen alv 0</t>
  </si>
  <si>
    <t xml:space="preserve"> Investeringar inkl. Moms</t>
  </si>
  <si>
    <t xml:space="preserve"> FöPL- och olycksfallförsäkringsutgifter </t>
  </si>
  <si>
    <t>2.3 FöPL-företagarnas socialförsäkringsavgifter</t>
  </si>
  <si>
    <t xml:space="preserve"> - materialbruk/anskaffningar i procentar</t>
  </si>
  <si>
    <t xml:space="preserve"> - materialbruk/anskaffningar  </t>
  </si>
  <si>
    <t>3.3 Fordonskostnader, affärsbruk</t>
  </si>
  <si>
    <t>3.15 Försäkringar och skadeersättningar</t>
  </si>
  <si>
    <t xml:space="preserve"> - ansvarsförsäkringar, betalda skadeersättningar</t>
  </si>
  <si>
    <t xml:space="preserve">3.22 Övr. Moms-avdragbara affärskostnader </t>
  </si>
  <si>
    <t xml:space="preserve">3.23 Övr. inte Moms-avdragbara affärskostn. </t>
  </si>
  <si>
    <t xml:space="preserve"> Företagsbidrag, övriga Moms 0 % intäkter</t>
  </si>
  <si>
    <t>Övriga rörelseintäkter, årlig ändrings-%</t>
  </si>
  <si>
    <t>Årlig ändringsprocent</t>
  </si>
  <si>
    <t>21.</t>
  </si>
  <si>
    <t>22.</t>
  </si>
  <si>
    <t>Driftbidrags-%</t>
  </si>
  <si>
    <t>28 Omsättningstillgångar</t>
  </si>
  <si>
    <t>32 Inköpsskulder</t>
  </si>
  <si>
    <t>33 Erhållna förskott</t>
  </si>
  <si>
    <t>34 Rörelsekapital</t>
  </si>
  <si>
    <t>35 Ökning/minskning av rörelsekapital</t>
  </si>
  <si>
    <t>T4 FINANSIERINGSPLAN /</t>
  </si>
  <si>
    <t>RÖRELSEKAPITAL (1000 €)</t>
  </si>
  <si>
    <t>ÅRLIGA AMORTERINGAR OCH RÄNTOR (1000 €)</t>
  </si>
  <si>
    <t>30 Övriga fordringar</t>
  </si>
  <si>
    <t>29 Kundfordringar</t>
  </si>
  <si>
    <t>31 Fordr. fr. intäkter enligt färdighetsgrad</t>
  </si>
  <si>
    <t>Betal-ningstid</t>
  </si>
  <si>
    <t xml:space="preserve"> Driftsbidrag (EBITDA)</t>
  </si>
  <si>
    <t xml:space="preserve"> Periodens vinst </t>
  </si>
  <si>
    <t xml:space="preserve"> Rörelseresultat (EBIT)</t>
  </si>
  <si>
    <t xml:space="preserve"> Rörelseresultats-%</t>
  </si>
  <si>
    <t>Dividendens/privatuttagets andel av periodens vinst</t>
  </si>
  <si>
    <t>KUMULATIVA BOKSLUTÖVERFÖRINGAR</t>
  </si>
  <si>
    <t>Försäkrings-bolagets lån</t>
  </si>
  <si>
    <t>3. Upptagning av långfristiga lån</t>
  </si>
  <si>
    <t>2. Ägarnas kapitalskot</t>
  </si>
  <si>
    <t>1. Finansieringsresultat</t>
  </si>
  <si>
    <t>4. Upptagning av avbetalningsskulder</t>
  </si>
  <si>
    <t>5. Upptagning av kortfristiga lån</t>
  </si>
  <si>
    <t>6. NTM's bidrag, ökning av kapitallån, upptagning av placeringar, ackord</t>
  </si>
  <si>
    <t>7. Sammanlagt</t>
  </si>
  <si>
    <t>8. Investeringar</t>
  </si>
  <si>
    <t xml:space="preserve">9. Förändring av rörelsekapitalet </t>
  </si>
  <si>
    <t>10. Förändring av finansieringstillgångarna</t>
  </si>
  <si>
    <t>11. Amortering av långfristiga lån av finansiärer</t>
  </si>
  <si>
    <t>12. SVOP-återbetalning och amortering av kapitallån</t>
  </si>
  <si>
    <t>13. Förändring av finansieringstillgångarna</t>
  </si>
  <si>
    <t>14. Amortering av långfristiga lån av finansiärer</t>
  </si>
  <si>
    <t>15. SVOP-återbetalning</t>
  </si>
  <si>
    <t>16. Amortering av kapitallån</t>
  </si>
  <si>
    <t>18. Övriga långfristiga lån, minskning</t>
  </si>
  <si>
    <t>20. SAMMANLAGT</t>
  </si>
  <si>
    <t>21. Över-/underskott (7 - 25)</t>
  </si>
  <si>
    <t>22. Kumulativt under-/överskott</t>
  </si>
  <si>
    <t>I. Immateriella nyttigheter</t>
  </si>
  <si>
    <t>II. Materiella nyttigheter</t>
  </si>
  <si>
    <t>II. Placeringar</t>
  </si>
  <si>
    <t>I. Omsättningstillgångar</t>
  </si>
  <si>
    <t>II. Fordringar</t>
  </si>
  <si>
    <t>III. Finansieringsvärdepapper</t>
  </si>
  <si>
    <t>IV. Pengar och banktillgodohavanden</t>
  </si>
  <si>
    <t xml:space="preserve">    T7 LÅN</t>
  </si>
  <si>
    <t xml:space="preserve"> Avkastning på investerat kapital (ROI)</t>
  </si>
  <si>
    <t>Omsättningstillgångar/omsättning (%)</t>
  </si>
  <si>
    <t>Deldebiteringar, andel av omsättning (%)</t>
  </si>
  <si>
    <t>Omsättningstillgångar / omsättning (%)</t>
  </si>
  <si>
    <t xml:space="preserve"> - skulder till leverantörer</t>
  </si>
  <si>
    <t>omloppstid av leverantörsskulder (dagar)</t>
  </si>
  <si>
    <t xml:space="preserve"> - amortering av avbetalningsskulder</t>
  </si>
  <si>
    <t xml:space="preserve"> - förskottsinnehållningsskuld (eller förskottsinnehållnings- och socialskydds-avgiftskuld på Skattekonto/Minskat)</t>
  </si>
  <si>
    <t>skatteavdragsprocent i medeltal</t>
  </si>
  <si>
    <t xml:space="preserve"> - socialskyddsavgiftsskuld</t>
  </si>
  <si>
    <t xml:space="preserve"> - moms-skuld</t>
  </si>
  <si>
    <t>moms-skuld / omsättning (%)</t>
  </si>
  <si>
    <t xml:space="preserve"> - övriga kortfristiga lån</t>
  </si>
  <si>
    <t xml:space="preserve"> - resultatregleringsskulder</t>
  </si>
  <si>
    <t xml:space="preserve"> - semesterlöneskulder</t>
  </si>
  <si>
    <t xml:space="preserve"> - beräknad pensions- och bikostnadsskuld</t>
  </si>
  <si>
    <t xml:space="preserve"> pensions- och bikostnadsskuld (%)</t>
  </si>
  <si>
    <t>Erhållna förskott, andel av omsättning (%)</t>
  </si>
  <si>
    <t>17. Långfristiga leverantörsskulder, minskning</t>
  </si>
  <si>
    <t>19. Placeringar</t>
  </si>
  <si>
    <t xml:space="preserve"> - kapitallånets ackord</t>
  </si>
  <si>
    <t xml:space="preserve"> Egen finansiering</t>
  </si>
  <si>
    <t xml:space="preserve"> Lånefinansiering</t>
  </si>
  <si>
    <t xml:space="preserve"> D. </t>
  </si>
  <si>
    <t xml:space="preserve"> C. </t>
  </si>
  <si>
    <t>PRIS MOMS 0 %</t>
  </si>
  <si>
    <t>Procentuell ökning och minskning</t>
  </si>
  <si>
    <t xml:space="preserve"> Anteckningar (kan användas liksom Excel):</t>
  </si>
  <si>
    <t xml:space="preserve"> Limitkredit</t>
  </si>
  <si>
    <t xml:space="preserve"> Nuvarande lån sammanlagt</t>
  </si>
  <si>
    <t xml:space="preserve"> Nuvarande avbetalningslån</t>
  </si>
  <si>
    <t xml:space="preserve"> Lånen som ska lyftas under 1. året</t>
  </si>
  <si>
    <t xml:space="preserve"> Lånen som ska lyftas under 2. året</t>
  </si>
  <si>
    <t xml:space="preserve"> Lånen som ska lyftas under 3. året</t>
  </si>
  <si>
    <t xml:space="preserve"> Lånen som ska lyftas under 4. året</t>
  </si>
  <si>
    <t xml:space="preserve"> Nya lån sammanlagt</t>
  </si>
  <si>
    <t xml:space="preserve"> Nya avbetalningslån slgt</t>
  </si>
  <si>
    <t xml:space="preserve"> Räntor på kortfristiga lån</t>
  </si>
  <si>
    <t xml:space="preserve"> Expeditionsavgifter, bankgarantiavgifter</t>
  </si>
  <si>
    <t xml:space="preserve"> TOTALT</t>
  </si>
  <si>
    <t xml:space="preserve"> NETTOFÖRMÖGENHETSKALKYL</t>
  </si>
  <si>
    <t xml:space="preserve"> ÖVRIGA PARAMETRAR</t>
  </si>
  <si>
    <t xml:space="preserve"> SOLIDITET</t>
  </si>
  <si>
    <t xml:space="preserve"> LIKVIDITET</t>
  </si>
  <si>
    <t xml:space="preserve"> AFFÄRSVERKSAMHETENS LÖNSAMHET</t>
  </si>
  <si>
    <t xml:space="preserve"> AFFÄRSVERKSAMHETENS VOLYM </t>
  </si>
  <si>
    <t xml:space="preserve"> EKONOMISKA PARAMETRAR</t>
  </si>
  <si>
    <t xml:space="preserve">   TILLFÖRDA MEDEL</t>
  </si>
  <si>
    <t xml:space="preserve">   DISPONERADE MEDEL</t>
  </si>
  <si>
    <t>1/202X - 12/202Y</t>
  </si>
  <si>
    <t xml:space="preserve"> KAPITALFINANSIERING, NETTO</t>
  </si>
  <si>
    <t xml:space="preserve"> Obligatoriska personalkostnader/person</t>
  </si>
  <si>
    <t xml:space="preserve"> Alla personalkostnader/person</t>
  </si>
  <si>
    <t xml:space="preserve"> Krisparameter Z, 3 faktor</t>
  </si>
  <si>
    <t xml:space="preserve"> INTÄKTER - UTGIFTER</t>
  </si>
  <si>
    <t xml:space="preserve"> KUMALATIVT KASSA I SLUTET AV MÅNADEN</t>
  </si>
  <si>
    <t xml:space="preserve"> KUMALATIVT KASSA</t>
  </si>
  <si>
    <t xml:space="preserve"> KASSA I BÖRJAN</t>
  </si>
  <si>
    <t xml:space="preserve"> FÖRSÄLJNINGSFORDRINGAR FRÅN FÖREG. PERIODEN</t>
  </si>
  <si>
    <t>Rörelseresultats EBIT-%</t>
  </si>
  <si>
    <t xml:space="preserve"> Långivaren/avsedd användning</t>
  </si>
  <si>
    <t>3.21 Hyror, vederlag, övr. kostnader Moms 0 %</t>
  </si>
  <si>
    <t>3.11 Forsknings- och produktutvecklingskost.</t>
  </si>
  <si>
    <t xml:space="preserve"> Ägarnas ytterligare placeringar</t>
  </si>
  <si>
    <t xml:space="preserve"> Övriga kapitalinskott</t>
  </si>
  <si>
    <t xml:space="preserve"> - grundlön i medeltal i timme / person</t>
  </si>
  <si>
    <t xml:space="preserve"> - FöPL-företagarnas genomsnittlig skatteavdrags-%</t>
  </si>
  <si>
    <t xml:space="preserve"> - Genomsnittlig skatteavdrags-% för arbetstagargrupp 1.2</t>
  </si>
  <si>
    <t xml:space="preserve"> - Genomsnittlig skatteavdrags-% för arbetstagargrupp 1.3</t>
  </si>
  <si>
    <t xml:space="preserve"> - Amorteringar av långfristiga lånen</t>
  </si>
  <si>
    <t xml:space="preserve"> - Kortfristiga lån av penningväsenden</t>
  </si>
  <si>
    <t>Sijoitetun pääoman  tuoton laskenta</t>
  </si>
  <si>
    <t>Ennuste 1</t>
  </si>
  <si>
    <t>Nettotulos = Liiketulos+rahoitustuotot-rahoituskulut-verot</t>
  </si>
  <si>
    <t xml:space="preserve">Nettotulos =  </t>
  </si>
  <si>
    <t>Oma pääoma alussa</t>
  </si>
  <si>
    <t>Oma pääoma lopussa</t>
  </si>
  <si>
    <t>1. Oma pääoma keskimäärin</t>
  </si>
  <si>
    <t>Sijoitettu korollinen vieras pääoma alussa</t>
  </si>
  <si>
    <t>Sijoitettu korollinen vieras pääoma lopussa</t>
  </si>
  <si>
    <t>2. Sijoitettu korollinen vieras pääoma keskimäärin</t>
  </si>
  <si>
    <t>3. Sijoitettu pääoma keskimäärin (1 + 2)</t>
  </si>
  <si>
    <t>Net gearing - laskenta</t>
  </si>
  <si>
    <t>Korollinen vieras pääoma = Pirkäaikainen vieras pääoma pl. Saadut ennakot+korolliset lyhytaikaiset velat+Muut korolliset sisäiset velat</t>
  </si>
  <si>
    <t xml:space="preserve">Korollinen vieras pääoma </t>
  </si>
  <si>
    <t>Rahat ja arvopaperit</t>
  </si>
  <si>
    <t>Skillnad</t>
  </si>
  <si>
    <t>Målutgifter</t>
  </si>
  <si>
    <t xml:space="preserve">under  </t>
  </si>
  <si>
    <t>perioden</t>
  </si>
  <si>
    <t xml:space="preserve">YEL-henkilöt </t>
  </si>
  <si>
    <t>TyEL-työntekijät</t>
  </si>
  <si>
    <t>TyEL toimihenkilöt</t>
  </si>
  <si>
    <t>YHTEENSÄ</t>
  </si>
  <si>
    <t>Luontois-</t>
  </si>
  <si>
    <t>Ennustevuosi 1</t>
  </si>
  <si>
    <t>Ennustevuosi 2</t>
  </si>
  <si>
    <t>Dividendens/privatuttagets andel av nettoförmögenh.</t>
  </si>
  <si>
    <t>ara negativ</t>
  </si>
  <si>
    <t xml:space="preserve"> - Minskningar under räkenskaps-perioden, linjär avskrivning</t>
  </si>
  <si>
    <t xml:space="preserve">1. Lån av penningväsenden </t>
  </si>
  <si>
    <t xml:space="preserve"> Restskuld 1</t>
  </si>
  <si>
    <t xml:space="preserve"> ÅRLIGA AMORTERINGAR OCH RÄNTOR</t>
  </si>
  <si>
    <t>jan.23</t>
  </si>
  <si>
    <t>feb.23</t>
  </si>
  <si>
    <t>mars.23</t>
  </si>
  <si>
    <t>april.23</t>
  </si>
  <si>
    <t>mai.23</t>
  </si>
  <si>
    <t>juni.23</t>
  </si>
  <si>
    <t>juli.23</t>
  </si>
  <si>
    <t>aug.23</t>
  </si>
  <si>
    <t>sep.23</t>
  </si>
  <si>
    <t>okt.23</t>
  </si>
  <si>
    <t>nov.23</t>
  </si>
  <si>
    <t>dec.23</t>
  </si>
  <si>
    <t>FT22 Det aktiva företagets resultatplan</t>
  </si>
  <si>
    <r>
      <t xml:space="preserve">  KAPITALBEHOV</t>
    </r>
    <r>
      <rPr>
        <b/>
        <sz val="9"/>
        <color theme="0"/>
        <rFont val="Arial"/>
        <family val="2"/>
      </rPr>
      <t xml:space="preserve"> </t>
    </r>
    <r>
      <rPr>
        <sz val="9"/>
        <color theme="0"/>
        <rFont val="Arial"/>
        <family val="2"/>
      </rPr>
      <t>(1000 euro)</t>
    </r>
  </si>
  <si>
    <t xml:space="preserve"> Förklaring</t>
  </si>
  <si>
    <r>
      <t xml:space="preserve">  FINANSIERING </t>
    </r>
    <r>
      <rPr>
        <sz val="9"/>
        <color theme="0"/>
        <rFont val="Arial"/>
        <family val="2"/>
      </rPr>
      <t>(1000 Euro)</t>
    </r>
  </si>
  <si>
    <r>
      <t xml:space="preserve">BALANS AKTIVA </t>
    </r>
    <r>
      <rPr>
        <b/>
        <sz val="9"/>
        <color theme="0"/>
        <rFont val="Arial"/>
        <family val="2"/>
      </rPr>
      <t>(1000 Euro)</t>
    </r>
  </si>
  <si>
    <r>
      <t xml:space="preserve">BALANS PASSIVA </t>
    </r>
    <r>
      <rPr>
        <b/>
        <sz val="9"/>
        <color theme="0"/>
        <rFont val="Arial"/>
        <family val="2"/>
      </rPr>
      <t>(1000 Euro)</t>
    </r>
  </si>
  <si>
    <r>
      <t xml:space="preserve">T4 FINANSIERINGSBUDGET </t>
    </r>
    <r>
      <rPr>
        <b/>
        <sz val="9"/>
        <color theme="0"/>
        <rFont val="Arial"/>
        <family val="2"/>
      </rPr>
      <t>(1000 Euro)</t>
    </r>
  </si>
  <si>
    <r>
      <t xml:space="preserve">NYA LÅN </t>
    </r>
    <r>
      <rPr>
        <b/>
        <sz val="8"/>
        <color theme="0"/>
        <rFont val="Arial"/>
        <family val="2"/>
      </rPr>
      <t>(Ej kapitallån)</t>
    </r>
  </si>
  <si>
    <t xml:space="preserve"> Ny avbetalningsskuld år 1</t>
  </si>
  <si>
    <t xml:space="preserve">Tjänsten erbjuds av: </t>
  </si>
  <si>
    <t xml:space="preserve"> Räntor på övriga långfristiga lån, utan skuldebrev</t>
  </si>
  <si>
    <t>Lånevillkor:</t>
  </si>
  <si>
    <t xml:space="preserve"> Övrigt omsättning (frakt, förpackning osv.)</t>
  </si>
  <si>
    <t>Dynamo Närpes och Kristinestads näringslivscentral Ab</t>
  </si>
  <si>
    <t>Byggandet av en ny dagisbyggnad</t>
  </si>
  <si>
    <t>Exempel Dagis Ab</t>
  </si>
  <si>
    <t xml:space="preserve"> Moms 0 % (hälso- coch socialvård)</t>
  </si>
  <si>
    <t xml:space="preserve"> Banklån/ Dagishus</t>
  </si>
  <si>
    <t xml:space="preserve"> Deltidsanställd</t>
  </si>
  <si>
    <t xml:space="preserve"> Barnen över 3 år</t>
  </si>
  <si>
    <t>Barnern under 3 år</t>
  </si>
  <si>
    <t xml:space="preserve"> Deltida</t>
  </si>
  <si>
    <t xml:space="preserve"> Slumpmässiga</t>
  </si>
  <si>
    <t xml:space="preserve">  2023 Hyra för 6 månader</t>
  </si>
  <si>
    <t xml:space="preserve"> Finnvera/ Dagishus</t>
  </si>
  <si>
    <t xml:space="preserve"> XX Bank/ Lån</t>
  </si>
  <si>
    <t>Version av: 27.4.20XX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</si>
</sst>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_ ;[Red]\-#,##0\ "/>
    <numFmt numFmtId="166" formatCode="0.0"/>
    <numFmt numFmtId="167" formatCode="#,##0.0"/>
    <numFmt numFmtId="168" formatCode="#,##0\ &quot;€&quot;"/>
    <numFmt numFmtId="169" formatCode="d\.m\.yyyy;@"/>
    <numFmt numFmtId="170" formatCode="[$-40B]mmmm\ yy;@"/>
  </numFmts>
  <fonts count="91">
    <font>
      <sz val="10"/>
      <name val="Arial"/>
    </font>
    <font>
      <sz val="10"/>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sz val="9"/>
      <color indexed="10"/>
      <name val="Arial"/>
      <family val="2"/>
    </font>
    <font>
      <b/>
      <i/>
      <sz val="9"/>
      <name val="Arial"/>
      <family val="2"/>
    </font>
    <font>
      <i/>
      <sz val="9"/>
      <name val="Arial"/>
      <family val="2"/>
    </font>
    <font>
      <b/>
      <u/>
      <sz val="8"/>
      <name val="Arial"/>
      <family val="2"/>
    </font>
    <font>
      <b/>
      <sz val="10"/>
      <color rgb="FFFF0000"/>
      <name val="Arial"/>
      <family val="2"/>
    </font>
    <font>
      <i/>
      <sz val="9"/>
      <color rgb="FF000080"/>
      <name val="Arial"/>
      <family val="2"/>
    </font>
    <font>
      <b/>
      <sz val="9"/>
      <color rgb="FFFF0000"/>
      <name val="Arial"/>
      <family val="2"/>
    </font>
    <font>
      <sz val="9"/>
      <color rgb="FFFF0000"/>
      <name val="Arial"/>
      <family val="2"/>
    </font>
    <font>
      <sz val="9"/>
      <color rgb="FF000080"/>
      <name val="Arial"/>
      <family val="2"/>
    </font>
    <font>
      <sz val="9"/>
      <color theme="1"/>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b/>
      <strike/>
      <sz val="10"/>
      <color rgb="FFFF0000"/>
      <name val="Arial"/>
      <family val="2"/>
    </font>
    <font>
      <b/>
      <strike/>
      <u/>
      <sz val="10"/>
      <color rgb="FFFF0000"/>
      <name val="Arial"/>
      <family val="2"/>
    </font>
    <font>
      <strike/>
      <sz val="10"/>
      <color rgb="FFFF0000"/>
      <name val="Arial"/>
      <family val="2"/>
    </font>
    <font>
      <i/>
      <sz val="8"/>
      <color rgb="FF002060"/>
      <name val="Arial"/>
      <family val="2"/>
    </font>
    <font>
      <b/>
      <sz val="10"/>
      <color theme="1"/>
      <name val="Arial"/>
      <family val="2"/>
    </font>
    <font>
      <sz val="10"/>
      <color theme="1"/>
      <name val="Arial"/>
      <family val="2"/>
    </font>
    <font>
      <b/>
      <sz val="9"/>
      <color rgb="FF000080"/>
      <name val="Arial"/>
      <family val="2"/>
    </font>
    <font>
      <b/>
      <sz val="9"/>
      <color theme="1"/>
      <name val="Arial"/>
      <family val="2"/>
    </font>
    <font>
      <b/>
      <sz val="10"/>
      <color theme="3"/>
      <name val="Arial"/>
      <family val="2"/>
    </font>
    <font>
      <sz val="8"/>
      <color rgb="FFFF0000"/>
      <name val="Arial"/>
      <family val="2"/>
    </font>
    <font>
      <i/>
      <sz val="8"/>
      <color theme="3"/>
      <name val="Arial"/>
      <family val="2"/>
    </font>
    <font>
      <sz val="8"/>
      <name val="Calibri"/>
      <family val="2"/>
    </font>
    <font>
      <b/>
      <sz val="9"/>
      <color theme="3"/>
      <name val="Arial"/>
      <family val="2"/>
    </font>
    <font>
      <sz val="9"/>
      <color indexed="30"/>
      <name val="Arial"/>
      <family val="2"/>
    </font>
    <font>
      <sz val="10"/>
      <color indexed="81"/>
      <name val="Tahoma"/>
      <family val="2"/>
    </font>
    <font>
      <b/>
      <i/>
      <sz val="10"/>
      <color indexed="81"/>
      <name val="Tahoma"/>
      <family val="2"/>
    </font>
    <font>
      <b/>
      <sz val="10"/>
      <color indexed="81"/>
      <name val="Tahoma"/>
      <family val="2"/>
    </font>
    <font>
      <b/>
      <u/>
      <sz val="10"/>
      <color indexed="81"/>
      <name val="Tahoma"/>
      <family val="2"/>
    </font>
    <font>
      <b/>
      <sz val="10"/>
      <color indexed="10"/>
      <name val="Tahoma"/>
      <family val="2"/>
    </font>
    <font>
      <b/>
      <i/>
      <sz val="8"/>
      <color rgb="FF002060"/>
      <name val="Arial"/>
      <family val="2"/>
    </font>
    <font>
      <b/>
      <sz val="10"/>
      <color theme="0"/>
      <name val="Arial"/>
      <family val="2"/>
    </font>
    <font>
      <sz val="9"/>
      <color rgb="FF002060"/>
      <name val="Arial"/>
      <family val="2"/>
    </font>
    <font>
      <i/>
      <sz val="8"/>
      <color theme="3" tint="-0.249977111117893"/>
      <name val="Arial"/>
      <family val="2"/>
    </font>
    <font>
      <sz val="8"/>
      <color theme="3" tint="-0.249977111117893"/>
      <name val="Arial"/>
      <family val="2"/>
    </font>
    <font>
      <b/>
      <sz val="9"/>
      <color theme="9" tint="-0.249977111117893"/>
      <name val="Arial"/>
      <family val="2"/>
    </font>
    <font>
      <i/>
      <sz val="9"/>
      <color theme="1"/>
      <name val="Arial"/>
      <family val="2"/>
    </font>
    <font>
      <sz val="8"/>
      <color theme="0"/>
      <name val="Arial"/>
      <family val="2"/>
    </font>
    <font>
      <sz val="9"/>
      <color theme="9" tint="-0.249977111117893"/>
      <name val="Arial"/>
      <family val="2"/>
    </font>
    <font>
      <sz val="8"/>
      <color rgb="FF000080"/>
      <name val="Arial"/>
      <family val="2"/>
    </font>
    <font>
      <b/>
      <i/>
      <sz val="8"/>
      <color theme="3" tint="-0.249977111117893"/>
      <name val="Arial"/>
      <family val="2"/>
    </font>
    <font>
      <sz val="10"/>
      <color theme="0"/>
      <name val="Arial"/>
      <family val="2"/>
    </font>
    <font>
      <sz val="9"/>
      <color theme="0"/>
      <name val="Arial"/>
      <family val="2"/>
    </font>
    <font>
      <b/>
      <sz val="8"/>
      <color theme="0"/>
      <name val="Arial"/>
      <family val="2"/>
    </font>
    <font>
      <b/>
      <sz val="9"/>
      <color theme="0"/>
      <name val="Arial"/>
      <family val="2"/>
    </font>
    <font>
      <b/>
      <sz val="11"/>
      <color theme="0"/>
      <name val="Arial"/>
      <family val="2"/>
    </font>
    <font>
      <b/>
      <sz val="12"/>
      <color theme="0"/>
      <name val="Arial"/>
      <family val="2"/>
    </font>
    <font>
      <sz val="11"/>
      <color theme="0"/>
      <name val="Arial"/>
      <family val="2"/>
    </font>
    <font>
      <b/>
      <sz val="9"/>
      <color rgb="FFF79646"/>
      <name val="Arial"/>
      <family val="2"/>
    </font>
    <font>
      <b/>
      <sz val="8"/>
      <color theme="0"/>
      <name val="Arial Narrow"/>
      <family val="2"/>
    </font>
    <font>
      <sz val="8"/>
      <color theme="0"/>
      <name val="Arial Narrow"/>
      <family val="2"/>
    </font>
    <font>
      <b/>
      <i/>
      <sz val="8"/>
      <color theme="1"/>
      <name val="Arial"/>
      <family val="2"/>
    </font>
    <font>
      <u/>
      <sz val="10"/>
      <color theme="10"/>
      <name val="Arial"/>
      <family val="2"/>
    </font>
  </fonts>
  <fills count="1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3"/>
        <bgColor indexed="64"/>
      </patternFill>
    </fill>
    <fill>
      <patternFill patternType="solid">
        <fgColor rgb="FF0152A1"/>
        <bgColor indexed="64"/>
      </patternFill>
    </fill>
  </fills>
  <borders count="333">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medium">
        <color indexed="64"/>
      </top>
      <bottom style="medium">
        <color indexed="64"/>
      </bottom>
      <diagonal/>
    </border>
    <border>
      <left style="thin">
        <color indexed="64"/>
      </left>
      <right/>
      <top/>
      <bottom style="thin">
        <color theme="3" tint="0.59996337778862885"/>
      </bottom>
      <diagonal/>
    </border>
    <border>
      <left style="thin">
        <color indexed="64"/>
      </left>
      <right style="thin">
        <color indexed="64"/>
      </right>
      <top style="thin">
        <color theme="4" tint="0.39994506668294322"/>
      </top>
      <bottom style="thin">
        <color theme="4" tint="0.39994506668294322"/>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thin">
        <color theme="0" tint="-0.34998626667073579"/>
      </right>
      <top style="medium">
        <color theme="0" tint="-0.34998626667073579"/>
      </top>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bottom/>
      <diagonal/>
    </border>
    <border>
      <left/>
      <right/>
      <top style="medium">
        <color theme="0" tint="-0.24994659260841701"/>
      </top>
      <bottom/>
      <diagonal/>
    </border>
    <border>
      <left/>
      <right/>
      <top style="dashed">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medium">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24994659260841701"/>
      </bottom>
      <diagonal/>
    </border>
    <border>
      <left style="medium">
        <color indexed="64"/>
      </left>
      <right/>
      <top style="dotted">
        <color indexed="64"/>
      </top>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medium">
        <color indexed="64"/>
      </right>
      <top style="thin">
        <color indexed="64"/>
      </top>
      <bottom style="medium">
        <color indexed="64"/>
      </bottom>
      <diagonal/>
    </border>
    <border>
      <left/>
      <right style="thin">
        <color theme="0" tint="-0.34998626667073579"/>
      </right>
      <top/>
      <bottom style="dashed">
        <color theme="0" tint="-0.34998626667073579"/>
      </bottom>
      <diagonal/>
    </border>
    <border>
      <left/>
      <right style="thin">
        <color indexed="64"/>
      </right>
      <top style="dashed">
        <color indexed="64"/>
      </top>
      <bottom style="dashed">
        <color theme="0" tint="-0.34998626667073579"/>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theme="0" tint="-0.34998626667073579"/>
      </bottom>
      <diagonal/>
    </border>
    <border>
      <left style="medium">
        <color indexed="64"/>
      </left>
      <right/>
      <top style="dashed">
        <color indexed="64"/>
      </top>
      <bottom style="dashed">
        <color indexed="64"/>
      </bottom>
      <diagonal/>
    </border>
    <border>
      <left style="medium">
        <color indexed="64"/>
      </left>
      <right/>
      <top style="dashed">
        <color indexed="64"/>
      </top>
      <bottom style="dashed">
        <color theme="0" tint="-0.34998626667073579"/>
      </bottom>
      <diagonal/>
    </border>
    <border>
      <left/>
      <right style="thin">
        <color indexed="64"/>
      </right>
      <top style="medium">
        <color theme="0" tint="-0.499984740745262"/>
      </top>
      <bottom/>
      <diagonal/>
    </border>
    <border>
      <left style="thin">
        <color indexed="64"/>
      </left>
      <right style="thin">
        <color indexed="64"/>
      </right>
      <top style="medium">
        <color theme="0" tint="-0.499984740745262"/>
      </top>
      <bottom/>
      <diagonal/>
    </border>
    <border>
      <left style="thin">
        <color indexed="64"/>
      </left>
      <right/>
      <top style="medium">
        <color theme="0" tint="-0.499984740745262"/>
      </top>
      <bottom/>
      <diagonal/>
    </border>
    <border>
      <left style="thin">
        <color indexed="64"/>
      </left>
      <right style="medium">
        <color theme="0" tint="-0.499984740745262"/>
      </right>
      <top style="medium">
        <color theme="0" tint="-0.499984740745262"/>
      </top>
      <bottom/>
      <diagonal/>
    </border>
    <border>
      <left/>
      <right style="thin">
        <color indexed="64"/>
      </right>
      <top/>
      <bottom style="medium">
        <color theme="0" tint="-0.499984740745262"/>
      </bottom>
      <diagonal/>
    </border>
    <border>
      <left style="medium">
        <color indexed="64"/>
      </left>
      <right/>
      <top style="thin">
        <color indexed="64"/>
      </top>
      <bottom style="double">
        <color indexed="64"/>
      </bottom>
      <diagonal/>
    </border>
    <border>
      <left/>
      <right style="thin">
        <color indexed="64"/>
      </right>
      <top style="dotted">
        <color indexed="64"/>
      </top>
      <bottom style="dotted">
        <color indexed="64"/>
      </bottom>
      <diagonal/>
    </border>
    <border>
      <left style="medium">
        <color indexed="64"/>
      </left>
      <right/>
      <top style="dashed">
        <color theme="0" tint="-0.34998626667073579"/>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theme="0" tint="-0.34998626667073579"/>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style="medium">
        <color theme="0" tint="-0.499984740745262"/>
      </top>
      <bottom style="thin">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bottom style="medium">
        <color theme="0" tint="-0.34998626667073579"/>
      </bottom>
      <diagonal/>
    </border>
    <border>
      <left style="thin">
        <color theme="0" tint="-0.34998626667073579"/>
      </left>
      <right style="thin">
        <color theme="0" tint="-0.34998626667073579"/>
      </right>
      <top/>
      <bottom style="double">
        <color theme="0" tint="-0.34998626667073579"/>
      </bottom>
      <diagonal/>
    </border>
    <border>
      <left/>
      <right style="thin">
        <color theme="0" tint="-0.34998626667073579"/>
      </right>
      <top style="dotted">
        <color theme="0" tint="-0.34998626667073579"/>
      </top>
      <bottom style="dotted">
        <color theme="0" tint="-0.34998626667073579"/>
      </bottom>
      <diagonal/>
    </border>
    <border>
      <left style="medium">
        <color theme="0" tint="-0.34998626667073579"/>
      </left>
      <right style="thin">
        <color indexed="64"/>
      </right>
      <top style="medium">
        <color indexed="64"/>
      </top>
      <bottom style="medium">
        <color indexed="64"/>
      </bottom>
      <diagonal/>
    </border>
    <border>
      <left style="thin">
        <color indexed="64"/>
      </left>
      <right style="medium">
        <color theme="0" tint="-0.34998626667073579"/>
      </right>
      <top style="medium">
        <color indexed="64"/>
      </top>
      <bottom style="medium">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499984740745262"/>
      </left>
      <right/>
      <top/>
      <bottom/>
      <diagonal/>
    </border>
    <border>
      <left style="thin">
        <color theme="0" tint="-0.499984740745262"/>
      </left>
      <right/>
      <top style="thin">
        <color theme="0" tint="-0.34998626667073579"/>
      </top>
      <bottom/>
      <diagonal/>
    </border>
    <border>
      <left style="thin">
        <color theme="0" tint="-0.499984740745262"/>
      </left>
      <right/>
      <top/>
      <bottom style="thin">
        <color theme="0" tint="-0.34998626667073579"/>
      </bottom>
      <diagonal/>
    </border>
    <border>
      <left style="medium">
        <color theme="0" tint="-0.24994659260841701"/>
      </left>
      <right style="thin">
        <color indexed="64"/>
      </right>
      <top/>
      <bottom style="medium">
        <color theme="0" tint="-0.24994659260841701"/>
      </bottom>
      <diagonal/>
    </border>
    <border>
      <left style="thin">
        <color indexed="64"/>
      </left>
      <right style="medium">
        <color theme="0" tint="-0.34998626667073579"/>
      </right>
      <top/>
      <bottom style="thin">
        <color theme="0" tint="-0.34998626667073579"/>
      </bottom>
      <diagonal/>
    </border>
    <border>
      <left/>
      <right style="thin">
        <color indexed="64"/>
      </right>
      <top/>
      <bottom style="thin">
        <color theme="0" tint="-0.34998626667073579"/>
      </bottom>
      <diagonal/>
    </border>
    <border>
      <left style="medium">
        <color theme="0" tint="-0.34998626667073579"/>
      </left>
      <right/>
      <top style="thin">
        <color theme="0" tint="-0.34998626667073579"/>
      </top>
      <bottom/>
      <diagonal/>
    </border>
    <border>
      <left/>
      <right style="medium">
        <color theme="0" tint="-0.34998626667073579"/>
      </right>
      <top style="thin">
        <color theme="0" tint="-0.34998626667073579"/>
      </top>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top style="dotted">
        <color theme="0" tint="-0.34998626667073579"/>
      </top>
      <bottom style="dott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medium">
        <color theme="0" tint="-0.24994659260841701"/>
      </top>
      <bottom/>
      <diagonal/>
    </border>
    <border>
      <left style="thin">
        <color indexed="64"/>
      </left>
      <right style="medium">
        <color theme="0" tint="-0.34998626667073579"/>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ashed">
        <color theme="0" tint="-0.34998626667073579"/>
      </top>
      <bottom style="dashed">
        <color theme="0" tint="-0.34998626667073579"/>
      </bottom>
      <diagonal/>
    </border>
    <border>
      <left/>
      <right/>
      <top style="hair">
        <color theme="0" tint="-0.34998626667073579"/>
      </top>
      <bottom style="hair">
        <color theme="0" tint="-0.34998626667073579"/>
      </bottom>
      <diagonal/>
    </border>
    <border>
      <left/>
      <right/>
      <top/>
      <bottom style="hair">
        <color theme="0" tint="-0.34998626667073579"/>
      </bottom>
      <diagonal/>
    </border>
    <border>
      <left/>
      <right style="thin">
        <color theme="0" tint="-0.34998626667073579"/>
      </right>
      <top/>
      <bottom style="hair">
        <color theme="0" tint="-0.34998626667073579"/>
      </bottom>
      <diagonal/>
    </border>
    <border>
      <left/>
      <right/>
      <top style="hair">
        <color theme="0" tint="-0.34998626667073579"/>
      </top>
      <bottom/>
      <diagonal/>
    </border>
    <border>
      <left/>
      <right/>
      <top/>
      <bottom style="dashed">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top/>
      <bottom style="thin">
        <color theme="0" tint="-0.34998626667073579"/>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bottom style="hair">
        <color theme="0" tint="-0.34998626667073579"/>
      </bottom>
      <diagonal/>
    </border>
    <border>
      <left style="thin">
        <color theme="0" tint="-0.34998626667073579"/>
      </left>
      <right style="hair">
        <color theme="0" tint="-0.34998626667073579"/>
      </right>
      <top/>
      <bottom style="hair">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bottom style="medium">
        <color theme="0" tint="-0.24994659260841701"/>
      </bottom>
      <diagonal/>
    </border>
    <border>
      <left/>
      <right style="thin">
        <color theme="0" tint="-0.34998626667073579"/>
      </right>
      <top style="medium">
        <color theme="0" tint="-0.24994659260841701"/>
      </top>
      <bottom/>
      <diagonal/>
    </border>
    <border>
      <left style="thin">
        <color theme="0" tint="-0.34998626667073579"/>
      </left>
      <right/>
      <top style="medium">
        <color theme="0" tint="-0.24994659260841701"/>
      </top>
      <bottom/>
      <diagonal/>
    </border>
    <border>
      <left style="thin">
        <color theme="0" tint="-0.34998626667073579"/>
      </left>
      <right/>
      <top/>
      <bottom style="medium">
        <color theme="0" tint="-0.24994659260841701"/>
      </bottom>
      <diagonal/>
    </border>
    <border>
      <left/>
      <right style="thin">
        <color theme="0" tint="-0.34998626667073579"/>
      </right>
      <top style="medium">
        <color theme="0" tint="-0.24994659260841701"/>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style="thin">
        <color theme="0" tint="-0.34998626667073579"/>
      </left>
      <right/>
      <top/>
      <bottom style="hair">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top/>
      <bottom style="double">
        <color theme="0" tint="-0.34998626667073579"/>
      </bottom>
      <diagonal/>
    </border>
    <border>
      <left/>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style="thin">
        <color theme="0" tint="-0.24994659260841701"/>
      </top>
      <bottom style="thin">
        <color theme="0" tint="-0.34998626667073579"/>
      </bottom>
      <diagonal/>
    </border>
    <border>
      <left style="hair">
        <color theme="0" tint="-0.24994659260841701"/>
      </left>
      <right style="hair">
        <color theme="0" tint="-0.24994659260841701"/>
      </right>
      <top/>
      <bottom/>
      <diagonal/>
    </border>
    <border>
      <left style="hair">
        <color theme="0" tint="-0.24994659260841701"/>
      </left>
      <right style="hair">
        <color theme="0" tint="-0.24994659260841701"/>
      </right>
      <top/>
      <bottom style="double">
        <color theme="0" tint="-0.34998626667073579"/>
      </bottom>
      <diagonal/>
    </border>
    <border>
      <left style="hair">
        <color theme="0" tint="-0.34998626667073579"/>
      </left>
      <right/>
      <top style="thin">
        <color theme="0" tint="-0.24994659260841701"/>
      </top>
      <bottom style="thin">
        <color theme="0" tint="-0.24994659260841701"/>
      </bottom>
      <diagonal/>
    </border>
    <border>
      <left style="thin">
        <color theme="0" tint="-0.34998626667073579"/>
      </left>
      <right style="hair">
        <color theme="0" tint="-0.34998626667073579"/>
      </right>
      <top style="thin">
        <color theme="0" tint="-0.24994659260841701"/>
      </top>
      <bottom style="thin">
        <color theme="0" tint="-0.24994659260841701"/>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hair">
        <color theme="0" tint="-0.34998626667073579"/>
      </right>
      <top/>
      <bottom/>
      <diagonal/>
    </border>
    <border>
      <left style="thin">
        <color indexed="64"/>
      </left>
      <right style="medium">
        <color theme="0" tint="-0.499984740745262"/>
      </right>
      <top/>
      <bottom/>
      <diagonal/>
    </border>
    <border>
      <left style="thin">
        <color indexed="64"/>
      </left>
      <right style="thin">
        <color indexed="64"/>
      </right>
      <top/>
      <bottom style="medium">
        <color theme="0" tint="-0.499984740745262"/>
      </bottom>
      <diagonal/>
    </border>
    <border>
      <left style="thin">
        <color indexed="64"/>
      </left>
      <right style="medium">
        <color theme="0" tint="-0.499984740745262"/>
      </right>
      <top/>
      <bottom style="medium">
        <color theme="0" tint="-0.499984740745262"/>
      </bottom>
      <diagonal/>
    </border>
    <border>
      <left style="thin">
        <color theme="0" tint="-0.34998626667073579"/>
      </left>
      <right/>
      <top/>
      <bottom style="dotted">
        <color theme="0" tint="-0.34998626667073579"/>
      </bottom>
      <diagonal/>
    </border>
    <border>
      <left/>
      <right style="thin">
        <color theme="0" tint="-0.34998626667073579"/>
      </right>
      <top/>
      <bottom style="dotted">
        <color theme="0" tint="-0.34998626667073579"/>
      </bottom>
      <diagonal/>
    </border>
    <border>
      <left style="thin">
        <color theme="0" tint="-0.34998626667073579"/>
      </left>
      <right/>
      <top style="dotted">
        <color theme="0" tint="-0.34998626667073579"/>
      </top>
      <bottom/>
      <diagonal/>
    </border>
    <border>
      <left/>
      <right style="thin">
        <color theme="0" tint="-0.34998626667073579"/>
      </right>
      <top style="dotted">
        <color theme="0" tint="-0.34998626667073579"/>
      </top>
      <bottom/>
      <diagonal/>
    </border>
    <border>
      <left/>
      <right/>
      <top style="double">
        <color theme="0" tint="-0.34998626667073579"/>
      </top>
      <bottom style="thin">
        <color theme="0" tint="-0.34998626667073579"/>
      </bottom>
      <diagonal/>
    </border>
    <border>
      <left style="medium">
        <color theme="0" tint="-0.34998626667073579"/>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medium">
        <color indexed="64"/>
      </left>
      <right style="thin">
        <color indexed="64"/>
      </right>
      <top style="thin">
        <color indexed="64"/>
      </top>
      <bottom style="double">
        <color theme="0" tint="-0.34998626667073579"/>
      </bottom>
      <diagonal/>
    </border>
    <border>
      <left/>
      <right style="thin">
        <color indexed="64"/>
      </right>
      <top/>
      <bottom style="dotted">
        <color indexed="64"/>
      </bottom>
      <diagonal/>
    </border>
    <border>
      <left/>
      <right style="hair">
        <color theme="0" tint="-0.24994659260841701"/>
      </right>
      <top style="thin">
        <color theme="0" tint="-0.24994659260841701"/>
      </top>
      <bottom/>
      <diagonal/>
    </border>
    <border>
      <left/>
      <right style="hair">
        <color theme="0" tint="-0.24994659260841701"/>
      </right>
      <top/>
      <bottom style="thin">
        <color theme="0" tint="-0.24994659260841701"/>
      </bottom>
      <diagonal/>
    </border>
    <border>
      <left/>
      <right style="hair">
        <color theme="0" tint="-0.24994659260841701"/>
      </right>
      <top style="thin">
        <color theme="0" tint="-0.24994659260841701"/>
      </top>
      <bottom style="thin">
        <color theme="0" tint="-0.34998626667073579"/>
      </bottom>
      <diagonal/>
    </border>
    <border>
      <left/>
      <right style="hair">
        <color theme="0" tint="-0.24994659260841701"/>
      </right>
      <top/>
      <bottom/>
      <diagonal/>
    </border>
    <border>
      <left/>
      <right style="hair">
        <color theme="0" tint="-0.24994659260841701"/>
      </right>
      <top/>
      <bottom style="double">
        <color theme="0" tint="-0.34998626667073579"/>
      </bottom>
      <diagonal/>
    </border>
    <border>
      <left style="medium">
        <color theme="0" tint="-0.34998626667073579"/>
      </left>
      <right style="thin">
        <color theme="0" tint="-0.34998626667073579"/>
      </right>
      <top style="thin">
        <color theme="0" tint="-0.34998626667073579"/>
      </top>
      <bottom style="thin">
        <color auto="1"/>
      </bottom>
      <diagonal/>
    </border>
    <border>
      <left style="medium">
        <color theme="0" tint="-0.34998626667073579"/>
      </left>
      <right style="thin">
        <color theme="0" tint="-0.34998626667073579"/>
      </right>
      <top style="thin">
        <color indexed="64"/>
      </top>
      <bottom style="thin">
        <color indexed="64"/>
      </bottom>
      <diagonal/>
    </border>
    <border>
      <left style="medium">
        <color theme="0" tint="-0.34998626667073579"/>
      </left>
      <right style="thin">
        <color theme="0" tint="-0.34998626667073579"/>
      </right>
      <top style="thin">
        <color indexed="64"/>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bottom style="double">
        <color theme="0" tint="-0.34998626667073579"/>
      </bottom>
      <diagonal/>
    </border>
    <border>
      <left style="thin">
        <color theme="0" tint="-0.34998626667073579"/>
      </left>
      <right style="medium">
        <color theme="0" tint="-0.34998626667073579"/>
      </right>
      <top/>
      <bottom style="double">
        <color theme="0" tint="-0.34998626667073579"/>
      </bottom>
      <diagonal/>
    </border>
    <border>
      <left style="medium">
        <color theme="0" tint="-0.34998626667073579"/>
      </left>
      <right/>
      <top style="thin">
        <color theme="0" tint="-0.24994659260841701"/>
      </top>
      <bottom style="thin">
        <color theme="0" tint="-0.24994659260841701"/>
      </bottom>
      <diagonal/>
    </border>
    <border>
      <left/>
      <right style="medium">
        <color theme="0" tint="-0.34998626667073579"/>
      </right>
      <top style="thin">
        <color theme="0" tint="-0.24994659260841701"/>
      </top>
      <bottom style="thin">
        <color theme="0" tint="-0.24994659260841701"/>
      </bottom>
      <diagonal/>
    </border>
    <border>
      <left style="medium">
        <color theme="0" tint="-0.34998626667073579"/>
      </left>
      <right style="thin">
        <color theme="0" tint="-0.34998626667073579"/>
      </right>
      <top style="thin">
        <color theme="0" tint="-0.24994659260841701"/>
      </top>
      <bottom style="thin">
        <color theme="0" tint="-0.24994659260841701"/>
      </bottom>
      <diagonal/>
    </border>
    <border>
      <left style="hair">
        <color theme="0" tint="-0.24994659260841701"/>
      </left>
      <right/>
      <top style="thin">
        <color theme="0" tint="-0.24994659260841701"/>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thin">
        <color theme="0" tint="-0.34998626667073579"/>
      </bottom>
      <diagonal/>
    </border>
    <border>
      <left style="hair">
        <color theme="0" tint="-0.24994659260841701"/>
      </left>
      <right/>
      <top/>
      <bottom/>
      <diagonal/>
    </border>
    <border>
      <left style="hair">
        <color theme="0" tint="-0.24994659260841701"/>
      </left>
      <right/>
      <top/>
      <bottom style="double">
        <color theme="0" tint="-0.34998626667073579"/>
      </bottom>
      <diagonal/>
    </border>
    <border>
      <left style="medium">
        <color theme="0" tint="-0.34998626667073579"/>
      </left>
      <right/>
      <top/>
      <bottom style="thin">
        <color theme="0" tint="-0.24994659260841701"/>
      </bottom>
      <diagonal/>
    </border>
    <border>
      <left/>
      <right style="medium">
        <color theme="0" tint="-0.34998626667073579"/>
      </right>
      <top/>
      <bottom style="thin">
        <color theme="0" tint="-0.24994659260841701"/>
      </bottom>
      <diagonal/>
    </border>
    <border>
      <left style="medium">
        <color theme="0" tint="-0.34998626667073579"/>
      </left>
      <right style="hair">
        <color theme="0" tint="-0.24994659260841701"/>
      </right>
      <top style="thin">
        <color theme="0" tint="-0.24994659260841701"/>
      </top>
      <bottom style="thin">
        <color theme="0" tint="-0.34998626667073579"/>
      </bottom>
      <diagonal/>
    </border>
    <border>
      <left style="hair">
        <color theme="0" tint="-0.24994659260841701"/>
      </left>
      <right style="medium">
        <color theme="0" tint="-0.34998626667073579"/>
      </right>
      <top style="thin">
        <color theme="0" tint="-0.24994659260841701"/>
      </top>
      <bottom style="thin">
        <color theme="0" tint="-0.34998626667073579"/>
      </bottom>
      <diagonal/>
    </border>
    <border>
      <left style="medium">
        <color theme="0" tint="-0.34998626667073579"/>
      </left>
      <right style="hair">
        <color theme="0" tint="-0.24994659260841701"/>
      </right>
      <top/>
      <bottom/>
      <diagonal/>
    </border>
    <border>
      <left style="hair">
        <color theme="0" tint="-0.24994659260841701"/>
      </left>
      <right style="medium">
        <color theme="0" tint="-0.34998626667073579"/>
      </right>
      <top/>
      <bottom/>
      <diagonal/>
    </border>
    <border>
      <left style="medium">
        <color theme="0" tint="-0.34998626667073579"/>
      </left>
      <right style="hair">
        <color theme="0" tint="-0.24994659260841701"/>
      </right>
      <top/>
      <bottom style="double">
        <color theme="0" tint="-0.34998626667073579"/>
      </bottom>
      <diagonal/>
    </border>
    <border>
      <left style="hair">
        <color theme="0" tint="-0.24994659260841701"/>
      </left>
      <right style="medium">
        <color theme="0" tint="-0.34998626667073579"/>
      </right>
      <top/>
      <bottom style="double">
        <color theme="0" tint="-0.34998626667073579"/>
      </bottom>
      <diagonal/>
    </border>
    <border>
      <left style="medium">
        <color theme="0" tint="-0.34998626667073579"/>
      </left>
      <right style="hair">
        <color theme="0" tint="-0.24994659260841701"/>
      </right>
      <top/>
      <bottom style="thin">
        <color theme="0" tint="-0.24994659260841701"/>
      </bottom>
      <diagonal/>
    </border>
    <border>
      <left style="hair">
        <color theme="0" tint="-0.24994659260841701"/>
      </left>
      <right style="medium">
        <color theme="0" tint="-0.34998626667073579"/>
      </right>
      <top/>
      <bottom style="thin">
        <color theme="0" tint="-0.24994659260841701"/>
      </bottom>
      <diagonal/>
    </border>
    <border>
      <left style="hair">
        <color theme="0" tint="-0.34998626667073579"/>
      </left>
      <right style="medium">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diagonal/>
    </border>
    <border>
      <left style="medium">
        <color theme="0" tint="-0.34998626667073579"/>
      </left>
      <right/>
      <top/>
      <bottom style="double">
        <color theme="0" tint="-0.34998626667073579"/>
      </bottom>
      <diagonal/>
    </border>
    <border>
      <left/>
      <right style="medium">
        <color theme="0" tint="-0.34998626667073579"/>
      </right>
      <top/>
      <bottom style="double">
        <color theme="0" tint="-0.34998626667073579"/>
      </bottom>
      <diagonal/>
    </border>
    <border>
      <left style="hair">
        <color theme="0" tint="-0.34998626667073579"/>
      </left>
      <right style="hair">
        <color theme="0" tint="-0.34998626667073579"/>
      </right>
      <top/>
      <bottom style="double">
        <color theme="0" tint="-0.34998626667073579"/>
      </bottom>
      <diagonal/>
    </border>
    <border>
      <left style="hair">
        <color theme="0" tint="-0.34998626667073579"/>
      </left>
      <right style="hair">
        <color theme="0" tint="-0.34998626667073579"/>
      </right>
      <top style="thin">
        <color theme="0" tint="-0.24994659260841701"/>
      </top>
      <bottom style="thin">
        <color theme="0" tint="-0.24994659260841701"/>
      </bottom>
      <diagonal/>
    </border>
    <border>
      <left style="hair">
        <color theme="0" tint="-0.34998626667073579"/>
      </left>
      <right style="hair">
        <color theme="0" tint="-0.34998626667073579"/>
      </right>
      <top/>
      <bottom style="thin">
        <color theme="0" tint="-0.24994659260841701"/>
      </bottom>
      <diagonal/>
    </border>
    <border>
      <left style="medium">
        <color theme="0" tint="-0.34998626667073579"/>
      </left>
      <right/>
      <top style="double">
        <color theme="0" tint="-0.34998626667073579"/>
      </top>
      <bottom style="thin">
        <color theme="0" tint="-0.24994659260841701"/>
      </bottom>
      <diagonal/>
    </border>
    <border>
      <left style="medium">
        <color theme="0" tint="-0.34998626667073579"/>
      </left>
      <right style="hair">
        <color theme="0" tint="-0.34998626667073579"/>
      </right>
      <top style="thin">
        <color theme="0" tint="-0.34998626667073579"/>
      </top>
      <bottom/>
      <diagonal/>
    </border>
    <border>
      <left style="hair">
        <color theme="0" tint="-0.34998626667073579"/>
      </left>
      <right style="medium">
        <color theme="0" tint="-0.34998626667073579"/>
      </right>
      <top style="thin">
        <color theme="0" tint="-0.34998626667073579"/>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style="medium">
        <color theme="0" tint="-0.34998626667073579"/>
      </right>
      <top/>
      <bottom style="thin">
        <color theme="0" tint="-0.34998626667073579"/>
      </bottom>
      <diagonal/>
    </border>
    <border>
      <left style="medium">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hair">
        <color theme="0" tint="-0.34998626667073579"/>
      </right>
      <top style="double">
        <color theme="0" tint="-0.34998626667073579"/>
      </top>
      <bottom/>
      <diagonal/>
    </border>
    <border>
      <left style="hair">
        <color theme="0" tint="-0.34998626667073579"/>
      </left>
      <right style="hair">
        <color theme="0" tint="-0.34998626667073579"/>
      </right>
      <top style="double">
        <color theme="0" tint="-0.34998626667073579"/>
      </top>
      <bottom/>
      <diagonal/>
    </border>
    <border>
      <left style="hair">
        <color theme="0" tint="-0.34998626667073579"/>
      </left>
      <right/>
      <top/>
      <bottom style="thin">
        <color theme="0" tint="-0.34998626667073579"/>
      </bottom>
      <diagonal/>
    </border>
    <border>
      <left style="hair">
        <color theme="0" tint="-0.34998626667073579"/>
      </left>
      <right/>
      <top style="double">
        <color theme="0" tint="-0.34998626667073579"/>
      </top>
      <bottom/>
      <diagonal/>
    </border>
    <border>
      <left style="medium">
        <color theme="0" tint="-0.34998626667073579"/>
      </left>
      <right style="hair">
        <color theme="0" tint="-0.34998626667073579"/>
      </right>
      <top/>
      <bottom/>
      <diagonal/>
    </border>
    <border>
      <left style="hair">
        <color theme="0" tint="-0.34998626667073579"/>
      </left>
      <right style="medium">
        <color theme="0" tint="-0.34998626667073579"/>
      </right>
      <top/>
      <bottom/>
      <diagonal/>
    </border>
    <border>
      <left style="hair">
        <color theme="0" tint="-0.34998626667073579"/>
      </left>
      <right/>
      <top/>
      <bottom/>
      <diagonal/>
    </border>
    <border>
      <left style="thin">
        <color theme="0" tint="-0.34998626667073579"/>
      </left>
      <right/>
      <top style="dotted">
        <color theme="0" tint="-0.34998626667073579"/>
      </top>
      <bottom style="thin">
        <color theme="0" tint="-0.34998626667073579"/>
      </bottom>
      <diagonal/>
    </border>
    <border>
      <left/>
      <right style="thin">
        <color theme="0" tint="-0.34998626667073579"/>
      </right>
      <top style="dotted">
        <color theme="0" tint="-0.34998626667073579"/>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hair">
        <color theme="3" tint="-0.249977111117893"/>
      </left>
      <right style="hair">
        <color theme="3" tint="-0.249977111117893"/>
      </right>
      <top/>
      <bottom style="hair">
        <color theme="3" tint="-0.249977111117893"/>
      </bottom>
      <diagonal/>
    </border>
    <border>
      <left/>
      <right style="medium">
        <color theme="0" tint="-0.34998626667073579"/>
      </right>
      <top style="hair">
        <color theme="0" tint="-0.34998626667073579"/>
      </top>
      <bottom style="hair">
        <color theme="0" tint="-0.34998626667073579"/>
      </bottom>
      <diagonal/>
    </border>
    <border>
      <left style="medium">
        <color theme="0" tint="-0.34998626667073579"/>
      </left>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24994659260841701"/>
      </right>
      <top style="hair">
        <color theme="0" tint="-0.34998626667073579"/>
      </top>
      <bottom style="hair">
        <color theme="0" tint="-0.34998626667073579"/>
      </bottom>
      <diagonal/>
    </border>
    <border>
      <left style="hair">
        <color theme="0" tint="-0.24994659260841701"/>
      </left>
      <right style="hair">
        <color theme="0" tint="-0.24994659260841701"/>
      </right>
      <top style="hair">
        <color theme="0" tint="-0.34998626667073579"/>
      </top>
      <bottom style="hair">
        <color theme="0" tint="-0.34998626667073579"/>
      </bottom>
      <diagonal/>
    </border>
    <border>
      <left style="hair">
        <color theme="0" tint="-0.24994659260841701"/>
      </left>
      <right/>
      <top style="hair">
        <color theme="0" tint="-0.34998626667073579"/>
      </top>
      <bottom style="hair">
        <color theme="0" tint="-0.34998626667073579"/>
      </bottom>
      <diagonal/>
    </border>
    <border>
      <left style="medium">
        <color theme="0" tint="-0.34998626667073579"/>
      </left>
      <right style="hair">
        <color theme="0" tint="-0.24994659260841701"/>
      </right>
      <top style="hair">
        <color theme="0" tint="-0.34998626667073579"/>
      </top>
      <bottom style="hair">
        <color theme="0" tint="-0.34998626667073579"/>
      </bottom>
      <diagonal/>
    </border>
    <border>
      <left style="hair">
        <color theme="0" tint="-0.24994659260841701"/>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bottom style="double">
        <color theme="0" tint="-0.34998626667073579"/>
      </bottom>
      <diagonal/>
    </border>
    <border>
      <left style="hair">
        <color theme="0" tint="-0.34998626667073579"/>
      </left>
      <right/>
      <top/>
      <bottom style="double">
        <color theme="0" tint="-0.34998626667073579"/>
      </bottom>
      <diagonal/>
    </border>
    <border>
      <left style="hair">
        <color theme="0" tint="-0.34998626667073579"/>
      </left>
      <right style="medium">
        <color theme="0" tint="-0.34998626667073579"/>
      </right>
      <top/>
      <bottom style="double">
        <color theme="0" tint="-0.34998626667073579"/>
      </bottom>
      <diagonal/>
    </border>
    <border>
      <left style="medium">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thin">
        <color theme="0" tint="-0.34998626667073579"/>
      </left>
      <right style="thin">
        <color theme="0" tint="-0.499984740745262"/>
      </right>
      <top style="dashed">
        <color theme="0" tint="-0.34998626667073579"/>
      </top>
      <bottom style="dashed">
        <color theme="0" tint="-0.34998626667073579"/>
      </bottom>
      <diagonal/>
    </border>
    <border>
      <left/>
      <right style="thin">
        <color theme="0" tint="-0.34998626667073579"/>
      </right>
      <top style="dashed">
        <color theme="0" tint="-0.34998626667073579"/>
      </top>
      <bottom/>
      <diagonal/>
    </border>
    <border>
      <left style="thin">
        <color theme="0" tint="-0.34998626667073579"/>
      </left>
      <right style="thin">
        <color theme="0" tint="-0.34998626667073579"/>
      </right>
      <top style="dashed">
        <color theme="0" tint="-0.34998626667073579"/>
      </top>
      <bottom/>
      <diagonal/>
    </border>
    <border>
      <left style="thin">
        <color theme="0" tint="-0.34998626667073579"/>
      </left>
      <right style="thin">
        <color theme="0" tint="-0.499984740745262"/>
      </right>
      <top style="dashed">
        <color theme="0" tint="-0.34998626667073579"/>
      </top>
      <bottom/>
      <diagonal/>
    </border>
    <border>
      <left style="thin">
        <color theme="0" tint="-0.34998626667073579"/>
      </left>
      <right style="hair">
        <color theme="0" tint="-0.34998626667073579"/>
      </right>
      <top style="hair">
        <color theme="0" tint="-0.34998626667073579"/>
      </top>
      <bottom/>
      <diagonal/>
    </border>
    <border>
      <left style="hair">
        <color theme="0" tint="-0.34998626667073579"/>
      </left>
      <right style="thin">
        <color theme="0" tint="-0.34998626667073579"/>
      </right>
      <top style="hair">
        <color theme="0" tint="-0.34998626667073579"/>
      </top>
      <bottom/>
      <diagonal/>
    </border>
    <border>
      <left style="thin">
        <color theme="0" tint="-0.34998626667073579"/>
      </left>
      <right style="hair">
        <color theme="0" tint="-0.34998626667073579"/>
      </right>
      <top style="dashed">
        <color theme="0" tint="-0.34998626667073579"/>
      </top>
      <bottom style="dashed">
        <color theme="0" tint="-0.34998626667073579"/>
      </bottom>
      <diagonal/>
    </border>
    <border>
      <left style="hair">
        <color theme="0" tint="-0.34998626667073579"/>
      </left>
      <right style="thin">
        <color theme="0" tint="-0.34998626667073579"/>
      </right>
      <top style="dashed">
        <color theme="0" tint="-0.34998626667073579"/>
      </top>
      <bottom style="dashed">
        <color theme="0" tint="-0.34998626667073579"/>
      </bottom>
      <diagonal/>
    </border>
    <border>
      <left style="hair">
        <color theme="0" tint="-0.34998626667073579"/>
      </left>
      <right/>
      <top style="dashed">
        <color theme="0" tint="-0.34998626667073579"/>
      </top>
      <bottom style="dashed">
        <color theme="0" tint="-0.34998626667073579"/>
      </bottom>
      <diagonal/>
    </border>
    <border>
      <left style="thin">
        <color theme="0" tint="-0.34998626667073579"/>
      </left>
      <right style="hair">
        <color theme="0" tint="-0.34998626667073579"/>
      </right>
      <top style="dashed">
        <color theme="0" tint="-0.34998626667073579"/>
      </top>
      <bottom style="thin">
        <color theme="0" tint="-0.34998626667073579"/>
      </bottom>
      <diagonal/>
    </border>
    <border>
      <left style="hair">
        <color theme="0" tint="-0.34998626667073579"/>
      </left>
      <right style="thin">
        <color theme="0" tint="-0.34998626667073579"/>
      </right>
      <top style="dashed">
        <color theme="0" tint="-0.34998626667073579"/>
      </top>
      <bottom style="thin">
        <color theme="0" tint="-0.34998626667073579"/>
      </bottom>
      <diagonal/>
    </border>
    <border>
      <left style="hair">
        <color theme="0" tint="-0.34998626667073579"/>
      </left>
      <right/>
      <top style="dashed">
        <color theme="0" tint="-0.34998626667073579"/>
      </top>
      <bottom style="thin">
        <color theme="0" tint="-0.34998626667073579"/>
      </bottom>
      <diagonal/>
    </border>
    <border>
      <left style="thin">
        <color theme="0" tint="-0.34998626667073579"/>
      </left>
      <right style="thin">
        <color theme="0" tint="-0.34998626667073579"/>
      </right>
      <top style="dashed">
        <color theme="0" tint="-0.34998626667073579"/>
      </top>
      <bottom style="medium">
        <color theme="0" tint="-0.34998626667073579"/>
      </bottom>
      <diagonal/>
    </border>
    <border>
      <left style="thin">
        <color theme="0" tint="-0.34998626667073579"/>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34998626667073579"/>
      </right>
      <top style="thin">
        <color theme="0" tint="-0.34998626667073579"/>
      </top>
      <bottom/>
      <diagonal/>
    </border>
    <border>
      <left style="thin">
        <color theme="0" tint="-0.34998626667073579"/>
      </left>
      <right style="thin">
        <color theme="0" tint="-0.24994659260841701"/>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34998626667073579"/>
      </right>
      <top/>
      <bottom style="thin">
        <color theme="0" tint="-0.34998626667073579"/>
      </bottom>
      <diagonal/>
    </border>
  </borders>
  <cellStyleXfs count="4">
    <xf numFmtId="0" fontId="0" fillId="0" borderId="0"/>
    <xf numFmtId="0" fontId="5" fillId="0" borderId="0"/>
    <xf numFmtId="9" fontId="3" fillId="0" borderId="0" applyFont="0" applyFill="0" applyBorder="0" applyAlignment="0" applyProtection="0"/>
    <xf numFmtId="0" fontId="90" fillId="0" borderId="0" applyNumberFormat="0" applyFill="0" applyBorder="0" applyAlignment="0" applyProtection="0"/>
  </cellStyleXfs>
  <cellXfs count="2573">
    <xf numFmtId="0" fontId="0" fillId="0" borderId="0" xfId="0"/>
    <xf numFmtId="0" fontId="5" fillId="0" borderId="0" xfId="0" applyFont="1"/>
    <xf numFmtId="0" fontId="6" fillId="0" borderId="0" xfId="0" applyFont="1"/>
    <xf numFmtId="3" fontId="6" fillId="0" borderId="0" xfId="0" applyNumberFormat="1" applyFont="1" applyProtection="1">
      <protection hidden="1"/>
    </xf>
    <xf numFmtId="0" fontId="12" fillId="0" borderId="0" xfId="0" applyFont="1"/>
    <xf numFmtId="14" fontId="6" fillId="0" borderId="0" xfId="0" applyNumberFormat="1" applyFont="1" applyAlignment="1">
      <alignment horizontal="center"/>
    </xf>
    <xf numFmtId="0" fontId="6" fillId="0" borderId="0" xfId="0" applyFont="1" applyAlignment="1">
      <alignment horizontal="center"/>
    </xf>
    <xf numFmtId="3" fontId="5" fillId="0" borderId="0" xfId="0" applyNumberFormat="1" applyFont="1" applyProtection="1">
      <protection hidden="1"/>
    </xf>
    <xf numFmtId="0" fontId="0" fillId="2" borderId="0" xfId="0" applyFill="1"/>
    <xf numFmtId="3" fontId="6" fillId="2" borderId="0" xfId="0" applyNumberFormat="1" applyFont="1" applyFill="1" applyProtection="1">
      <protection hidden="1"/>
    </xf>
    <xf numFmtId="0" fontId="6" fillId="2" borderId="0" xfId="0" applyFont="1" applyFill="1" applyProtection="1">
      <protection hidden="1"/>
    </xf>
    <xf numFmtId="4" fontId="5" fillId="2" borderId="0" xfId="0" applyNumberFormat="1" applyFont="1" applyFill="1" applyProtection="1">
      <protection hidden="1"/>
    </xf>
    <xf numFmtId="3" fontId="5" fillId="2" borderId="0" xfId="0" applyNumberFormat="1" applyFont="1" applyFill="1" applyProtection="1">
      <protection hidden="1"/>
    </xf>
    <xf numFmtId="0" fontId="10" fillId="2" borderId="0" xfId="0" applyFont="1" applyFill="1"/>
    <xf numFmtId="164" fontId="5" fillId="2" borderId="0" xfId="0" applyNumberFormat="1" applyFont="1" applyFill="1" applyProtection="1">
      <protection hidden="1"/>
    </xf>
    <xf numFmtId="4" fontId="6" fillId="2" borderId="0" xfId="0" applyNumberFormat="1" applyFont="1" applyFill="1" applyProtection="1">
      <protection hidden="1"/>
    </xf>
    <xf numFmtId="3" fontId="0" fillId="2" borderId="0" xfId="0" applyNumberFormat="1" applyFill="1" applyProtection="1">
      <protection hidden="1"/>
    </xf>
    <xf numFmtId="167" fontId="6" fillId="2" borderId="0" xfId="0" applyNumberFormat="1" applyFont="1" applyFill="1" applyProtection="1">
      <protection hidden="1"/>
    </xf>
    <xf numFmtId="14" fontId="0" fillId="0" borderId="0" xfId="0" applyNumberFormat="1"/>
    <xf numFmtId="0" fontId="15" fillId="0" borderId="0" xfId="0" applyFont="1"/>
    <xf numFmtId="0" fontId="5" fillId="2" borderId="0" xfId="0" applyFont="1" applyFill="1"/>
    <xf numFmtId="1" fontId="0" fillId="0" borderId="0" xfId="0" applyNumberFormat="1"/>
    <xf numFmtId="0" fontId="0" fillId="0" borderId="0" xfId="0" applyAlignment="1">
      <alignment horizontal="right" vertical="top" wrapText="1"/>
    </xf>
    <xf numFmtId="3" fontId="19" fillId="2" borderId="0" xfId="0" applyNumberFormat="1" applyFont="1" applyFill="1" applyProtection="1">
      <protection hidden="1"/>
    </xf>
    <xf numFmtId="3" fontId="6" fillId="2" borderId="0" xfId="0" applyNumberFormat="1" applyFont="1" applyFill="1" applyAlignment="1" applyProtection="1">
      <alignment horizontal="center"/>
      <protection hidden="1"/>
    </xf>
    <xf numFmtId="0" fontId="8" fillId="0" borderId="0" xfId="0" applyFont="1"/>
    <xf numFmtId="0" fontId="4" fillId="0" borderId="0" xfId="0" applyFont="1" applyAlignment="1">
      <alignment horizontal="center"/>
    </xf>
    <xf numFmtId="1" fontId="6" fillId="0" borderId="0" xfId="0" applyNumberFormat="1" applyFont="1" applyAlignment="1">
      <alignment horizontal="center"/>
    </xf>
    <xf numFmtId="0" fontId="16" fillId="2" borderId="0" xfId="0" applyFont="1" applyFill="1"/>
    <xf numFmtId="0" fontId="15" fillId="0" borderId="0" xfId="0" applyFont="1" applyAlignment="1">
      <alignment horizontal="right"/>
    </xf>
    <xf numFmtId="0" fontId="11" fillId="0" borderId="0" xfId="0" applyFont="1"/>
    <xf numFmtId="3" fontId="12" fillId="0" borderId="0" xfId="0" applyNumberFormat="1" applyFont="1" applyProtection="1">
      <protection hidden="1"/>
    </xf>
    <xf numFmtId="3" fontId="12" fillId="0" borderId="0" xfId="0" applyNumberFormat="1" applyFont="1"/>
    <xf numFmtId="0" fontId="5" fillId="2" borderId="0" xfId="0" applyFont="1" applyFill="1" applyAlignment="1">
      <alignment horizontal="right"/>
    </xf>
    <xf numFmtId="49" fontId="5" fillId="2" borderId="0" xfId="0" applyNumberFormat="1" applyFont="1" applyFill="1" applyAlignment="1">
      <alignment horizontal="right"/>
    </xf>
    <xf numFmtId="0" fontId="6" fillId="2" borderId="0" xfId="0" applyFont="1" applyFill="1"/>
    <xf numFmtId="0" fontId="6" fillId="2" borderId="0" xfId="0" applyFont="1" applyFill="1" applyAlignment="1">
      <alignment horizontal="right"/>
    </xf>
    <xf numFmtId="49" fontId="6" fillId="2" borderId="0" xfId="0" applyNumberFormat="1" applyFont="1" applyFill="1" applyAlignment="1">
      <alignment horizontal="right"/>
    </xf>
    <xf numFmtId="167" fontId="5" fillId="2" borderId="0" xfId="0" applyNumberFormat="1" applyFont="1" applyFill="1"/>
    <xf numFmtId="0" fontId="6" fillId="2" borderId="0" xfId="0" applyFont="1" applyFill="1" applyAlignment="1">
      <alignment horizontal="left"/>
    </xf>
    <xf numFmtId="3" fontId="0" fillId="0" borderId="0" xfId="0" applyNumberFormat="1"/>
    <xf numFmtId="0" fontId="0" fillId="0" borderId="0" xfId="0" applyAlignment="1">
      <alignment horizontal="center"/>
    </xf>
    <xf numFmtId="0" fontId="10" fillId="0" borderId="0" xfId="0" applyFont="1" applyAlignment="1">
      <alignment horizontal="left"/>
    </xf>
    <xf numFmtId="0" fontId="5" fillId="0" borderId="0" xfId="0" applyFont="1" applyAlignment="1">
      <alignment horizontal="center"/>
    </xf>
    <xf numFmtId="0" fontId="9" fillId="0" borderId="0" xfId="0" applyFont="1"/>
    <xf numFmtId="0" fontId="15" fillId="0" borderId="0" xfId="0" applyFont="1" applyAlignment="1">
      <alignment vertical="center"/>
    </xf>
    <xf numFmtId="0" fontId="4" fillId="3" borderId="1" xfId="0" applyFont="1" applyFill="1" applyBorder="1" applyAlignment="1">
      <alignment horizontal="center"/>
    </xf>
    <xf numFmtId="0" fontId="9" fillId="0" borderId="0" xfId="0" applyFont="1" applyAlignment="1">
      <alignment horizontal="left"/>
    </xf>
    <xf numFmtId="0" fontId="7" fillId="0" borderId="0" xfId="0" applyFont="1" applyAlignment="1">
      <alignment vertical="center"/>
    </xf>
    <xf numFmtId="3" fontId="11" fillId="0" borderId="0" xfId="0" applyNumberFormat="1" applyFont="1" applyProtection="1">
      <protection hidden="1"/>
    </xf>
    <xf numFmtId="0" fontId="11" fillId="0" borderId="2" xfId="0" applyFont="1" applyBorder="1"/>
    <xf numFmtId="0" fontId="7" fillId="0" borderId="0" xfId="0" applyFont="1"/>
    <xf numFmtId="0" fontId="0" fillId="0" borderId="0" xfId="0" applyAlignment="1">
      <alignment vertical="center"/>
    </xf>
    <xf numFmtId="0" fontId="15" fillId="0" borderId="0" xfId="0" applyFont="1" applyAlignment="1">
      <alignment horizontal="center"/>
    </xf>
    <xf numFmtId="3" fontId="7" fillId="0" borderId="0" xfId="0" applyNumberFormat="1" applyFont="1"/>
    <xf numFmtId="3" fontId="4" fillId="0" borderId="0" xfId="0" applyNumberFormat="1" applyFont="1" applyProtection="1">
      <protection hidden="1"/>
    </xf>
    <xf numFmtId="3" fontId="7" fillId="0" borderId="0" xfId="0" applyNumberFormat="1" applyFont="1" applyProtection="1">
      <protection hidden="1"/>
    </xf>
    <xf numFmtId="0" fontId="9" fillId="0" borderId="0" xfId="0" applyFont="1" applyAlignment="1">
      <alignment horizontal="center"/>
    </xf>
    <xf numFmtId="0" fontId="12" fillId="0" borderId="0" xfId="0" applyFont="1" applyAlignment="1">
      <alignment horizontal="center"/>
    </xf>
    <xf numFmtId="0" fontId="11" fillId="4" borderId="6" xfId="0" applyFont="1" applyFill="1" applyBorder="1" applyAlignment="1" applyProtection="1">
      <alignment vertical="center"/>
      <protection hidden="1"/>
    </xf>
    <xf numFmtId="0" fontId="22" fillId="0" borderId="0" xfId="0" applyFont="1" applyAlignment="1">
      <alignment horizontal="right"/>
    </xf>
    <xf numFmtId="49" fontId="6" fillId="0" borderId="0" xfId="0" applyNumberFormat="1" applyFont="1"/>
    <xf numFmtId="6" fontId="6" fillId="0" borderId="0" xfId="0" applyNumberFormat="1" applyFont="1" applyAlignment="1">
      <alignment horizontal="center" vertical="center"/>
    </xf>
    <xf numFmtId="0" fontId="19" fillId="0" borderId="7" xfId="0" applyFont="1" applyBorder="1"/>
    <xf numFmtId="0" fontId="19" fillId="0" borderId="8" xfId="0" applyFont="1" applyBorder="1"/>
    <xf numFmtId="0" fontId="19" fillId="0" borderId="0" xfId="0" applyFont="1"/>
    <xf numFmtId="0" fontId="24" fillId="0" borderId="0" xfId="0" applyFont="1"/>
    <xf numFmtId="14" fontId="8" fillId="0" borderId="0" xfId="0" applyNumberFormat="1" applyFont="1" applyAlignment="1">
      <alignment horizontal="center"/>
    </xf>
    <xf numFmtId="3" fontId="0" fillId="0" borderId="0" xfId="0" applyNumberFormat="1" applyAlignment="1">
      <alignment horizontal="center" vertical="center"/>
    </xf>
    <xf numFmtId="3" fontId="8" fillId="0" borderId="0" xfId="0" applyNumberFormat="1" applyFont="1" applyAlignment="1">
      <alignment horizontal="center" vertical="center"/>
    </xf>
    <xf numFmtId="0" fontId="0" fillId="0" borderId="0" xfId="0" applyAlignment="1">
      <alignment horizontal="left" vertical="center"/>
    </xf>
    <xf numFmtId="0" fontId="20" fillId="0" borderId="0" xfId="0" applyFont="1" applyAlignment="1">
      <alignment horizontal="center" vertical="center"/>
    </xf>
    <xf numFmtId="0" fontId="8" fillId="0" borderId="0" xfId="0" applyFont="1" applyAlignment="1">
      <alignment horizontal="center" vertical="center"/>
    </xf>
    <xf numFmtId="1" fontId="8" fillId="0" borderId="0" xfId="0" applyNumberFormat="1" applyFont="1" applyAlignment="1">
      <alignment horizontal="center" vertical="center"/>
    </xf>
    <xf numFmtId="0" fontId="7" fillId="0" borderId="0" xfId="0" applyFont="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7" fillId="0" borderId="0" xfId="0" applyFont="1" applyAlignment="1">
      <alignment horizontal="left"/>
    </xf>
    <xf numFmtId="0" fontId="9" fillId="0" borderId="11" xfId="0" applyFont="1" applyBorder="1" applyAlignment="1">
      <alignment horizontal="left"/>
    </xf>
    <xf numFmtId="0" fontId="23" fillId="0" borderId="0" xfId="0" applyFont="1" applyAlignment="1">
      <alignment horizontal="left"/>
    </xf>
    <xf numFmtId="0" fontId="23" fillId="0" borderId="0" xfId="0" applyFont="1"/>
    <xf numFmtId="0" fontId="0" fillId="0" borderId="0" xfId="0" applyAlignment="1">
      <alignment horizontal="left"/>
    </xf>
    <xf numFmtId="0" fontId="5" fillId="0" borderId="13" xfId="0" applyFont="1" applyBorder="1" applyAlignment="1">
      <alignment horizontal="center" vertical="center"/>
    </xf>
    <xf numFmtId="0" fontId="6" fillId="0" borderId="14" xfId="0" applyFont="1" applyBorder="1" applyAlignment="1">
      <alignment vertical="center"/>
    </xf>
    <xf numFmtId="0" fontId="5" fillId="0" borderId="0" xfId="0" applyFont="1" applyAlignment="1">
      <alignment horizontal="center" vertical="center"/>
    </xf>
    <xf numFmtId="0" fontId="22" fillId="0" borderId="0" xfId="0" applyFont="1" applyAlignment="1">
      <alignment horizontal="center"/>
    </xf>
    <xf numFmtId="0" fontId="0" fillId="0" borderId="2" xfId="0" applyBorder="1"/>
    <xf numFmtId="0" fontId="12" fillId="0" borderId="15" xfId="0" applyFont="1" applyBorder="1" applyAlignment="1">
      <alignment horizontal="center" vertical="center"/>
    </xf>
    <xf numFmtId="167" fontId="5" fillId="0" borderId="0" xfId="0" applyNumberFormat="1" applyFont="1" applyAlignment="1">
      <alignment horizontal="center"/>
    </xf>
    <xf numFmtId="0" fontId="22" fillId="0" borderId="0" xfId="0" applyFont="1"/>
    <xf numFmtId="14" fontId="6" fillId="0" borderId="0" xfId="0" applyNumberFormat="1" applyFont="1"/>
    <xf numFmtId="0" fontId="0" fillId="0" borderId="16" xfId="0" applyBorder="1"/>
    <xf numFmtId="0" fontId="0" fillId="0" borderId="17" xfId="0" applyBorder="1"/>
    <xf numFmtId="0" fontId="7" fillId="0" borderId="0" xfId="0" applyFont="1" applyAlignment="1">
      <alignment horizontal="right" vertical="center"/>
    </xf>
    <xf numFmtId="0" fontId="18" fillId="0" borderId="0" xfId="0" applyFont="1"/>
    <xf numFmtId="0" fontId="7" fillId="0" borderId="0" xfId="0" applyFont="1" applyAlignment="1">
      <alignment horizontal="center"/>
    </xf>
    <xf numFmtId="166" fontId="0" fillId="0" borderId="0" xfId="0" applyNumberFormat="1"/>
    <xf numFmtId="0" fontId="8" fillId="0" borderId="0" xfId="0" applyFont="1" applyAlignment="1">
      <alignment horizontal="left"/>
    </xf>
    <xf numFmtId="0" fontId="9" fillId="0" borderId="18" xfId="0" applyFont="1" applyBorder="1" applyAlignment="1">
      <alignment horizontal="left"/>
    </xf>
    <xf numFmtId="0" fontId="6" fillId="0" borderId="19" xfId="0" applyFont="1" applyBorder="1" applyAlignment="1">
      <alignment horizontal="center" vertical="center"/>
    </xf>
    <xf numFmtId="166" fontId="0" fillId="0" borderId="17" xfId="0" applyNumberFormat="1" applyBorder="1"/>
    <xf numFmtId="164" fontId="0" fillId="0" borderId="20" xfId="2" applyNumberFormat="1" applyFont="1" applyBorder="1"/>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9" fillId="0" borderId="0" xfId="0" applyFont="1" applyAlignment="1" applyProtection="1">
      <alignment vertical="center"/>
      <protection hidden="1"/>
    </xf>
    <xf numFmtId="167" fontId="0" fillId="0" borderId="0" xfId="0" applyNumberFormat="1"/>
    <xf numFmtId="0" fontId="23" fillId="0" borderId="12" xfId="0" applyFont="1" applyBorder="1" applyAlignment="1">
      <alignment horizontal="center" vertical="center" wrapText="1"/>
    </xf>
    <xf numFmtId="0" fontId="23" fillId="0" borderId="2" xfId="0" applyFont="1" applyBorder="1" applyAlignment="1">
      <alignment horizontal="center" vertical="center" wrapText="1"/>
    </xf>
    <xf numFmtId="0" fontId="26" fillId="2" borderId="0" xfId="0" applyFont="1" applyFill="1"/>
    <xf numFmtId="0" fontId="27" fillId="2" borderId="0" xfId="0" applyFont="1" applyFill="1" applyAlignment="1" applyProtection="1">
      <alignment horizontal="left" vertical="center"/>
      <protection hidden="1"/>
    </xf>
    <xf numFmtId="0" fontId="26" fillId="2" borderId="0" xfId="0" applyFont="1" applyFill="1" applyAlignment="1">
      <alignment horizontal="center"/>
    </xf>
    <xf numFmtId="0" fontId="23" fillId="2" borderId="0" xfId="0" applyFont="1" applyFill="1"/>
    <xf numFmtId="49" fontId="5" fillId="2" borderId="0" xfId="0" applyNumberFormat="1" applyFont="1" applyFill="1" applyAlignment="1">
      <alignment horizontal="right" vertical="center"/>
    </xf>
    <xf numFmtId="3" fontId="5" fillId="0" borderId="0" xfId="0" applyNumberFormat="1" applyFont="1"/>
    <xf numFmtId="0" fontId="9" fillId="0" borderId="0" xfId="0" applyFont="1" applyAlignment="1">
      <alignment horizontal="right"/>
    </xf>
    <xf numFmtId="0" fontId="30" fillId="0" borderId="0" xfId="0" applyFont="1"/>
    <xf numFmtId="3" fontId="31" fillId="0" borderId="0" xfId="0" applyNumberFormat="1" applyFont="1"/>
    <xf numFmtId="0" fontId="32" fillId="0" borderId="0" xfId="0" applyFont="1" applyAlignment="1">
      <alignment horizontal="center"/>
    </xf>
    <xf numFmtId="0" fontId="4" fillId="0" borderId="0" xfId="0" applyFont="1"/>
    <xf numFmtId="0" fontId="6" fillId="0" borderId="2" xfId="0" applyFont="1" applyBorder="1" applyAlignment="1">
      <alignment vertical="center"/>
    </xf>
    <xf numFmtId="0" fontId="6" fillId="0" borderId="25" xfId="0" applyFont="1" applyBorder="1"/>
    <xf numFmtId="0" fontId="5" fillId="0" borderId="0" xfId="0" applyFont="1" applyAlignment="1" applyProtection="1">
      <alignment horizontal="left"/>
      <protection hidden="1"/>
    </xf>
    <xf numFmtId="0" fontId="5" fillId="0" borderId="25" xfId="0" applyFont="1" applyBorder="1"/>
    <xf numFmtId="0" fontId="5" fillId="0" borderId="25" xfId="0" applyFont="1" applyBorder="1" applyAlignment="1" applyProtection="1">
      <alignment horizontal="center"/>
      <protection hidden="1"/>
    </xf>
    <xf numFmtId="0" fontId="5" fillId="0" borderId="25" xfId="0" applyFont="1" applyBorder="1" applyAlignment="1" applyProtection="1">
      <alignment horizontal="left"/>
      <protection hidden="1"/>
    </xf>
    <xf numFmtId="0" fontId="6" fillId="0" borderId="25" xfId="0" applyFont="1" applyBorder="1" applyAlignment="1" applyProtection="1">
      <alignment horizontal="left"/>
      <protection hidden="1"/>
    </xf>
    <xf numFmtId="1" fontId="5"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5" fillId="0" borderId="0" xfId="0" applyNumberFormat="1" applyFont="1" applyAlignment="1">
      <alignment horizontal="right"/>
    </xf>
    <xf numFmtId="165" fontId="6" fillId="0" borderId="0" xfId="0" applyNumberFormat="1" applyFont="1" applyAlignment="1">
      <alignment horizontal="right"/>
    </xf>
    <xf numFmtId="1" fontId="6" fillId="0" borderId="0" xfId="0" applyNumberFormat="1" applyFont="1" applyAlignment="1" applyProtection="1">
      <alignment horizontal="center"/>
      <protection hidden="1"/>
    </xf>
    <xf numFmtId="1" fontId="24" fillId="0" borderId="0" xfId="0" applyNumberFormat="1" applyFont="1" applyAlignment="1" applyProtection="1">
      <alignment horizontal="center"/>
      <protection hidden="1"/>
    </xf>
    <xf numFmtId="0" fontId="30" fillId="0" borderId="0" xfId="0" applyFont="1" applyAlignment="1">
      <alignment horizontal="center"/>
    </xf>
    <xf numFmtId="0" fontId="27" fillId="2" borderId="0" xfId="0" applyFont="1" applyFill="1" applyAlignment="1" applyProtection="1">
      <alignment horizontal="center" vertical="center"/>
      <protection hidden="1"/>
    </xf>
    <xf numFmtId="0" fontId="0" fillId="0" borderId="0" xfId="0" applyProtection="1">
      <protection hidden="1"/>
    </xf>
    <xf numFmtId="0" fontId="12" fillId="0" borderId="0" xfId="0" applyFont="1" applyAlignment="1" applyProtection="1">
      <alignment horizontal="center" vertical="center"/>
      <protection hidden="1"/>
    </xf>
    <xf numFmtId="0" fontId="12" fillId="0" borderId="0" xfId="0" applyFont="1" applyProtection="1">
      <protection hidden="1"/>
    </xf>
    <xf numFmtId="3" fontId="0" fillId="0" borderId="0" xfId="0" applyNumberFormat="1" applyAlignment="1" applyProtection="1">
      <alignment horizontal="right"/>
      <protection hidden="1"/>
    </xf>
    <xf numFmtId="0" fontId="11" fillId="0" borderId="0" xfId="0" applyFont="1" applyAlignment="1" applyProtection="1">
      <alignment horizontal="center"/>
      <protection hidden="1"/>
    </xf>
    <xf numFmtId="0" fontId="12" fillId="0" borderId="0" xfId="0" applyFont="1" applyAlignment="1" applyProtection="1">
      <alignment horizontal="left"/>
      <protection hidden="1"/>
    </xf>
    <xf numFmtId="0" fontId="0" fillId="0" borderId="0" xfId="0" applyAlignment="1" applyProtection="1">
      <alignment horizontal="center"/>
      <protection hidden="1"/>
    </xf>
    <xf numFmtId="0" fontId="5" fillId="0" borderId="0" xfId="0" applyFont="1" applyProtection="1">
      <protection hidden="1"/>
    </xf>
    <xf numFmtId="164" fontId="5" fillId="0" borderId="0" xfId="0" applyNumberFormat="1" applyFont="1" applyAlignment="1" applyProtection="1">
      <alignment horizontal="right"/>
      <protection hidden="1"/>
    </xf>
    <xf numFmtId="0" fontId="9" fillId="0" borderId="0" xfId="0" applyFont="1" applyProtection="1">
      <protection hidden="1"/>
    </xf>
    <xf numFmtId="0" fontId="5" fillId="0" borderId="0" xfId="0" applyFont="1" applyAlignment="1" applyProtection="1">
      <alignment horizontal="center"/>
      <protection hidden="1"/>
    </xf>
    <xf numFmtId="0" fontId="9" fillId="0" borderId="0" xfId="0" applyFont="1" applyAlignment="1" applyProtection="1">
      <alignment horizontal="center"/>
      <protection hidden="1"/>
    </xf>
    <xf numFmtId="0" fontId="5" fillId="0" borderId="0" xfId="0" applyFont="1" applyAlignment="1" applyProtection="1">
      <alignment horizontal="left" vertical="center"/>
      <protection hidden="1"/>
    </xf>
    <xf numFmtId="14"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21" fillId="0" borderId="0" xfId="0" applyFont="1" applyAlignment="1" applyProtection="1">
      <alignment horizontal="left" vertical="center"/>
      <protection hidden="1"/>
    </xf>
    <xf numFmtId="1" fontId="11" fillId="0" borderId="0" xfId="0" applyNumberFormat="1" applyFont="1" applyAlignment="1" applyProtection="1">
      <alignment horizontal="center"/>
      <protection hidden="1"/>
    </xf>
    <xf numFmtId="0" fontId="12" fillId="0" borderId="0" xfId="0" applyFont="1" applyAlignment="1" applyProtection="1">
      <alignment horizontal="right"/>
      <protection hidden="1"/>
    </xf>
    <xf numFmtId="3" fontId="12" fillId="0" borderId="0" xfId="0" applyNumberFormat="1" applyFont="1" applyAlignment="1" applyProtection="1">
      <alignment horizontal="right"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right" vertical="center"/>
      <protection hidden="1"/>
    </xf>
    <xf numFmtId="1" fontId="12" fillId="0" borderId="0" xfId="0" applyNumberFormat="1" applyFont="1" applyAlignment="1" applyProtection="1">
      <alignment horizontal="right"/>
      <protection hidden="1"/>
    </xf>
    <xf numFmtId="3" fontId="12" fillId="0" borderId="0" xfId="0" applyNumberFormat="1" applyFont="1" applyAlignment="1" applyProtection="1">
      <alignment horizontal="right"/>
      <protection hidden="1"/>
    </xf>
    <xf numFmtId="0" fontId="12" fillId="0" borderId="0" xfId="0" applyFont="1" applyAlignment="1" applyProtection="1">
      <alignment vertical="center"/>
      <protection hidden="1"/>
    </xf>
    <xf numFmtId="0" fontId="7" fillId="0" borderId="0" xfId="0" applyFont="1" applyAlignment="1">
      <alignment horizontal="right"/>
    </xf>
    <xf numFmtId="0" fontId="7" fillId="2" borderId="0" xfId="0" applyFont="1" applyFill="1"/>
    <xf numFmtId="3" fontId="7" fillId="0" borderId="0" xfId="0" applyNumberFormat="1" applyFont="1" applyAlignment="1">
      <alignment horizontal="right"/>
    </xf>
    <xf numFmtId="0" fontId="34" fillId="0" borderId="0" xfId="0" applyFont="1"/>
    <xf numFmtId="0" fontId="34" fillId="0" borderId="0" xfId="0" applyFont="1" applyAlignment="1">
      <alignment horizontal="center"/>
    </xf>
    <xf numFmtId="0" fontId="5" fillId="0" borderId="2" xfId="0" applyFont="1" applyBorder="1" applyAlignment="1" applyProtection="1">
      <alignment horizontal="left" vertical="center"/>
      <protection hidden="1"/>
    </xf>
    <xf numFmtId="0" fontId="6" fillId="0" borderId="12" xfId="0" applyFont="1" applyBorder="1" applyAlignment="1">
      <alignment horizontal="left" vertical="center"/>
    </xf>
    <xf numFmtId="0" fontId="0" fillId="0" borderId="9" xfId="0" applyBorder="1" applyAlignment="1">
      <alignment vertical="center"/>
    </xf>
    <xf numFmtId="0" fontId="0" fillId="0" borderId="27" xfId="0" applyBorder="1" applyAlignment="1">
      <alignment horizontal="center" vertical="center"/>
    </xf>
    <xf numFmtId="0" fontId="26" fillId="2" borderId="0" xfId="0" applyFont="1" applyFill="1" applyAlignment="1">
      <alignment horizontal="left"/>
    </xf>
    <xf numFmtId="0" fontId="20" fillId="2" borderId="0" xfId="0" applyFont="1" applyFill="1" applyAlignment="1">
      <alignment horizontal="center"/>
    </xf>
    <xf numFmtId="0" fontId="26" fillId="0" borderId="0" xfId="0" applyFont="1" applyAlignment="1">
      <alignment horizontal="center" vertical="center"/>
    </xf>
    <xf numFmtId="0" fontId="9" fillId="0" borderId="0" xfId="0" applyFont="1" applyAlignment="1">
      <alignment horizontal="left" vertical="center"/>
    </xf>
    <xf numFmtId="0" fontId="6" fillId="0" borderId="16" xfId="0" applyFont="1" applyBorder="1" applyAlignment="1">
      <alignment horizontal="left" vertical="center"/>
    </xf>
    <xf numFmtId="0" fontId="23" fillId="2" borderId="16" xfId="0" applyFont="1" applyFill="1" applyBorder="1"/>
    <xf numFmtId="0" fontId="20" fillId="0" borderId="0" xfId="0" applyFont="1"/>
    <xf numFmtId="0" fontId="6" fillId="0" borderId="16" xfId="0" applyFont="1" applyBorder="1"/>
    <xf numFmtId="0" fontId="20" fillId="0" borderId="16" xfId="0" applyFont="1" applyBorder="1"/>
    <xf numFmtId="0" fontId="20" fillId="0" borderId="16" xfId="0" applyFont="1" applyBorder="1" applyAlignment="1">
      <alignment horizontal="center"/>
    </xf>
    <xf numFmtId="167" fontId="6" fillId="0" borderId="0" xfId="0" applyNumberFormat="1" applyFont="1" applyAlignment="1">
      <alignment horizontal="right" vertical="center"/>
    </xf>
    <xf numFmtId="0" fontId="6" fillId="0" borderId="27" xfId="0" applyFont="1" applyBorder="1" applyAlignment="1" applyProtection="1">
      <alignment horizontal="left" vertical="center"/>
      <protection hidden="1"/>
    </xf>
    <xf numFmtId="0" fontId="12" fillId="0" borderId="0" xfId="0" applyFont="1" applyAlignment="1">
      <alignment vertical="center"/>
    </xf>
    <xf numFmtId="0" fontId="12" fillId="0" borderId="0" xfId="0" applyFont="1" applyAlignment="1">
      <alignment horizontal="center" vertical="center"/>
    </xf>
    <xf numFmtId="0" fontId="12" fillId="0" borderId="24" xfId="0" applyFont="1" applyBorder="1" applyAlignment="1">
      <alignment vertical="center"/>
    </xf>
    <xf numFmtId="0" fontId="6" fillId="0" borderId="0" xfId="0" applyFont="1" applyAlignment="1">
      <alignment horizontal="right"/>
    </xf>
    <xf numFmtId="0" fontId="17" fillId="0" borderId="2" xfId="0" applyFont="1" applyBorder="1"/>
    <xf numFmtId="0" fontId="0" fillId="0" borderId="27" xfId="0" applyBorder="1"/>
    <xf numFmtId="0" fontId="6" fillId="0" borderId="0" xfId="0" applyFont="1" applyAlignment="1">
      <alignment horizontal="center" vertical="center"/>
    </xf>
    <xf numFmtId="166" fontId="5" fillId="0" borderId="0" xfId="0" applyNumberFormat="1" applyFont="1"/>
    <xf numFmtId="0" fontId="0" fillId="0" borderId="28" xfId="0" applyBorder="1"/>
    <xf numFmtId="3" fontId="0" fillId="0" borderId="35" xfId="0" applyNumberFormat="1" applyBorder="1"/>
    <xf numFmtId="3" fontId="0" fillId="0" borderId="38" xfId="0" applyNumberFormat="1" applyBorder="1"/>
    <xf numFmtId="3" fontId="6" fillId="0" borderId="0" xfId="0" applyNumberFormat="1" applyFont="1"/>
    <xf numFmtId="0" fontId="6" fillId="0" borderId="36" xfId="0" applyFont="1" applyBorder="1" applyAlignment="1" applyProtection="1">
      <alignment horizontal="center" vertical="center"/>
      <protection hidden="1"/>
    </xf>
    <xf numFmtId="0" fontId="4" fillId="0" borderId="27" xfId="0" applyFont="1" applyBorder="1" applyAlignment="1">
      <alignment horizontal="center"/>
    </xf>
    <xf numFmtId="1" fontId="6" fillId="3" borderId="40" xfId="0" applyNumberFormat="1" applyFont="1" applyFill="1" applyBorder="1" applyAlignment="1">
      <alignment horizontal="center"/>
    </xf>
    <xf numFmtId="0" fontId="12" fillId="0" borderId="17" xfId="0" applyFont="1" applyBorder="1"/>
    <xf numFmtId="164" fontId="12" fillId="0" borderId="17" xfId="2" applyNumberFormat="1" applyFont="1" applyBorder="1"/>
    <xf numFmtId="3" fontId="12" fillId="0" borderId="17" xfId="2" applyNumberFormat="1" applyFont="1" applyBorder="1"/>
    <xf numFmtId="164" fontId="0" fillId="0" borderId="17" xfId="2" applyNumberFormat="1" applyFont="1" applyBorder="1"/>
    <xf numFmtId="0" fontId="12" fillId="0" borderId="41" xfId="0" applyFont="1" applyBorder="1" applyAlignment="1">
      <alignment horizontal="center" vertical="center"/>
    </xf>
    <xf numFmtId="0" fontId="12" fillId="0" borderId="16" xfId="0" applyFont="1" applyBorder="1" applyAlignment="1">
      <alignment vertical="center"/>
    </xf>
    <xf numFmtId="3" fontId="12" fillId="0" borderId="0" xfId="0" applyNumberFormat="1" applyFont="1" applyAlignment="1">
      <alignment horizontal="center" vertical="center"/>
    </xf>
    <xf numFmtId="0" fontId="12" fillId="0" borderId="0" xfId="0" applyFont="1" applyAlignment="1" applyProtection="1">
      <alignment horizontal="left" vertical="center"/>
      <protection locked="0"/>
    </xf>
    <xf numFmtId="3" fontId="11" fillId="0" borderId="0" xfId="0" applyNumberFormat="1" applyFont="1" applyAlignment="1">
      <alignment horizontal="center" vertical="center"/>
    </xf>
    <xf numFmtId="0" fontId="5" fillId="0" borderId="42" xfId="0" applyFont="1" applyBorder="1" applyAlignment="1">
      <alignment horizontal="center"/>
    </xf>
    <xf numFmtId="0" fontId="6" fillId="0" borderId="14" xfId="0" applyFont="1" applyBorder="1"/>
    <xf numFmtId="0" fontId="6" fillId="0" borderId="0" xfId="0" applyFont="1" applyAlignment="1">
      <alignment vertical="center"/>
    </xf>
    <xf numFmtId="0" fontId="0" fillId="0" borderId="34" xfId="0" applyBorder="1"/>
    <xf numFmtId="0" fontId="6" fillId="0" borderId="31" xfId="0" applyFont="1" applyBorder="1" applyAlignment="1">
      <alignment horizontal="right" vertical="center"/>
    </xf>
    <xf numFmtId="0" fontId="7" fillId="0" borderId="0" xfId="0" applyFont="1" applyAlignment="1">
      <alignment horizontal="left" vertical="center"/>
    </xf>
    <xf numFmtId="9" fontId="0" fillId="0" borderId="0" xfId="2" applyFont="1"/>
    <xf numFmtId="167" fontId="6" fillId="0" borderId="0" xfId="0" applyNumberFormat="1" applyFont="1"/>
    <xf numFmtId="0" fontId="0" fillId="0" borderId="0" xfId="0" applyAlignment="1">
      <alignment horizontal="right"/>
    </xf>
    <xf numFmtId="3" fontId="5" fillId="5" borderId="16" xfId="0" applyNumberFormat="1" applyFont="1" applyFill="1" applyBorder="1" applyAlignment="1">
      <alignment horizontal="right" vertical="center"/>
    </xf>
    <xf numFmtId="3" fontId="5" fillId="5" borderId="33" xfId="0" applyNumberFormat="1" applyFont="1" applyFill="1" applyBorder="1" applyAlignment="1">
      <alignment horizontal="right" vertical="center"/>
    </xf>
    <xf numFmtId="0" fontId="11" fillId="0" borderId="11" xfId="0" applyFont="1" applyBorder="1" applyAlignment="1">
      <alignment horizontal="center" vertical="center"/>
    </xf>
    <xf numFmtId="0" fontId="11" fillId="0" borderId="7" xfId="0" applyFont="1" applyBorder="1" applyAlignment="1">
      <alignment vertical="center"/>
    </xf>
    <xf numFmtId="0" fontId="11" fillId="0" borderId="8" xfId="0" applyFont="1" applyBorder="1" applyAlignment="1">
      <alignment horizontal="right" vertical="center"/>
    </xf>
    <xf numFmtId="0" fontId="12" fillId="0" borderId="27" xfId="0" applyFont="1" applyBorder="1" applyAlignment="1">
      <alignment horizontal="center" vertical="center"/>
    </xf>
    <xf numFmtId="0" fontId="12" fillId="0" borderId="16" xfId="0" applyFont="1" applyBorder="1" applyAlignment="1">
      <alignment horizontal="right" vertical="center"/>
    </xf>
    <xf numFmtId="0" fontId="11" fillId="0" borderId="27" xfId="0" applyFont="1" applyBorder="1" applyAlignment="1">
      <alignment horizontal="center" vertical="center"/>
    </xf>
    <xf numFmtId="3" fontId="0" fillId="0" borderId="17" xfId="0" applyNumberFormat="1" applyBorder="1"/>
    <xf numFmtId="49" fontId="5" fillId="2" borderId="0" xfId="0" applyNumberFormat="1" applyFont="1" applyFill="1" applyAlignment="1">
      <alignment horizontal="center"/>
    </xf>
    <xf numFmtId="49" fontId="6" fillId="2" borderId="0" xfId="0" applyNumberFormat="1" applyFont="1" applyFill="1" applyAlignment="1">
      <alignment horizontal="center"/>
    </xf>
    <xf numFmtId="3" fontId="5" fillId="2" borderId="0" xfId="0" applyNumberFormat="1" applyFont="1" applyFill="1"/>
    <xf numFmtId="0" fontId="6" fillId="0" borderId="20" xfId="0" applyFont="1" applyBorder="1" applyAlignment="1">
      <alignment horizontal="right"/>
    </xf>
    <xf numFmtId="0" fontId="6" fillId="0" borderId="10" xfId="0" applyFont="1" applyBorder="1"/>
    <xf numFmtId="0" fontId="17" fillId="0" borderId="10" xfId="0" applyFont="1" applyBorder="1"/>
    <xf numFmtId="167" fontId="6" fillId="0" borderId="10" xfId="0" applyNumberFormat="1" applyFont="1" applyBorder="1"/>
    <xf numFmtId="3" fontId="6" fillId="0" borderId="10" xfId="0" applyNumberFormat="1" applyFont="1" applyBorder="1"/>
    <xf numFmtId="3" fontId="5" fillId="0" borderId="0" xfId="0" applyNumberFormat="1" applyFont="1" applyAlignment="1">
      <alignment horizontal="center"/>
    </xf>
    <xf numFmtId="164" fontId="5" fillId="0" borderId="0" xfId="2" applyNumberFormat="1" applyFont="1" applyAlignment="1">
      <alignment horizontal="center"/>
    </xf>
    <xf numFmtId="3" fontId="6" fillId="0" borderId="21" xfId="0" applyNumberFormat="1" applyFont="1" applyBorder="1" applyAlignment="1" applyProtection="1">
      <alignment horizontal="center" vertical="center"/>
      <protection hidden="1"/>
    </xf>
    <xf numFmtId="3" fontId="6" fillId="0" borderId="19" xfId="0" applyNumberFormat="1" applyFont="1" applyBorder="1" applyAlignment="1" applyProtection="1">
      <alignment horizontal="center" vertical="center"/>
      <protection hidden="1"/>
    </xf>
    <xf numFmtId="3" fontId="6" fillId="0" borderId="22" xfId="0" applyNumberFormat="1" applyFont="1" applyBorder="1" applyAlignment="1" applyProtection="1">
      <alignment horizontal="center" vertical="center"/>
      <protection hidden="1"/>
    </xf>
    <xf numFmtId="3" fontId="6" fillId="0" borderId="8" xfId="0" applyNumberFormat="1"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0" fontId="11" fillId="0" borderId="4" xfId="0" applyFont="1" applyBorder="1" applyAlignment="1" applyProtection="1">
      <alignment vertical="center"/>
      <protection hidden="1"/>
    </xf>
    <xf numFmtId="0" fontId="11" fillId="0" borderId="4" xfId="0" applyFont="1" applyBorder="1" applyAlignment="1" applyProtection="1">
      <alignment horizontal="right" vertical="center"/>
      <protection hidden="1"/>
    </xf>
    <xf numFmtId="166" fontId="11" fillId="0" borderId="4" xfId="0" applyNumberFormat="1" applyFont="1" applyBorder="1" applyAlignment="1" applyProtection="1">
      <alignment horizontal="right" vertical="center"/>
      <protection hidden="1"/>
    </xf>
    <xf numFmtId="3" fontId="11" fillId="0" borderId="4" xfId="0" applyNumberFormat="1" applyFont="1" applyBorder="1" applyAlignment="1" applyProtection="1">
      <alignment vertical="center"/>
      <protection hidden="1"/>
    </xf>
    <xf numFmtId="0" fontId="11" fillId="0" borderId="4" xfId="0" applyFont="1" applyBorder="1" applyAlignment="1">
      <alignment horizontal="center" vertical="center"/>
    </xf>
    <xf numFmtId="0" fontId="11" fillId="0" borderId="4" xfId="0" applyFont="1" applyBorder="1" applyAlignment="1">
      <alignment vertical="center"/>
    </xf>
    <xf numFmtId="0" fontId="11" fillId="0" borderId="4" xfId="0" applyFont="1" applyBorder="1" applyAlignment="1">
      <alignment horizontal="right" vertical="center"/>
    </xf>
    <xf numFmtId="3" fontId="0" fillId="0" borderId="38" xfId="2" applyNumberFormat="1" applyFont="1" applyBorder="1"/>
    <xf numFmtId="3" fontId="0" fillId="0" borderId="44" xfId="0" applyNumberFormat="1" applyBorder="1"/>
    <xf numFmtId="0" fontId="39" fillId="0" borderId="0" xfId="0" applyFont="1" applyProtection="1">
      <protection hidden="1"/>
    </xf>
    <xf numFmtId="0" fontId="11" fillId="0" borderId="13" xfId="0" applyFont="1" applyBorder="1" applyAlignment="1">
      <alignment horizontal="center" vertical="center"/>
    </xf>
    <xf numFmtId="0" fontId="11" fillId="0" borderId="34" xfId="0" applyFont="1" applyBorder="1" applyAlignment="1">
      <alignment vertical="center"/>
    </xf>
    <xf numFmtId="0" fontId="11" fillId="0" borderId="43" xfId="0" applyFont="1" applyBorder="1" applyAlignment="1">
      <alignment horizontal="right" vertical="center"/>
    </xf>
    <xf numFmtId="9" fontId="12" fillId="7" borderId="32" xfId="2" applyFont="1" applyFill="1" applyBorder="1" applyAlignment="1" applyProtection="1">
      <alignment horizontal="center" vertical="center"/>
      <protection locked="0"/>
    </xf>
    <xf numFmtId="0" fontId="12" fillId="0" borderId="45" xfId="0" applyFont="1" applyBorder="1" applyAlignment="1">
      <alignment vertical="center"/>
    </xf>
    <xf numFmtId="0" fontId="11" fillId="0" borderId="46" xfId="0" applyFont="1" applyBorder="1" applyAlignment="1">
      <alignment horizontal="right" vertical="center"/>
    </xf>
    <xf numFmtId="0" fontId="6" fillId="0" borderId="46" xfId="0" applyFont="1" applyBorder="1" applyAlignment="1">
      <alignment horizontal="right" vertical="center"/>
    </xf>
    <xf numFmtId="0" fontId="12" fillId="0" borderId="46" xfId="0" applyFont="1" applyBorder="1" applyAlignment="1">
      <alignment horizontal="right" vertical="center"/>
    </xf>
    <xf numFmtId="0" fontId="11" fillId="0" borderId="45" xfId="0" applyFont="1" applyBorder="1" applyAlignment="1">
      <alignment horizontal="left" vertical="center"/>
    </xf>
    <xf numFmtId="0" fontId="11" fillId="0" borderId="46" xfId="0" applyFont="1" applyBorder="1" applyAlignment="1">
      <alignment vertical="center"/>
    </xf>
    <xf numFmtId="0" fontId="12" fillId="0" borderId="45" xfId="0" applyFont="1" applyBorder="1" applyAlignment="1">
      <alignment horizontal="right" vertical="center"/>
    </xf>
    <xf numFmtId="9" fontId="12" fillId="7" borderId="47" xfId="2" applyFont="1" applyFill="1" applyBorder="1" applyAlignment="1" applyProtection="1">
      <alignment horizontal="center" vertical="center"/>
      <protection locked="0"/>
    </xf>
    <xf numFmtId="0" fontId="11" fillId="0" borderId="45" xfId="0" applyFont="1" applyBorder="1" applyAlignment="1">
      <alignment vertical="center"/>
    </xf>
    <xf numFmtId="0" fontId="6" fillId="0" borderId="50" xfId="0" applyFont="1" applyBorder="1" applyAlignment="1">
      <alignment vertical="center"/>
    </xf>
    <xf numFmtId="167" fontId="6" fillId="0" borderId="52" xfId="0" applyNumberFormat="1" applyFont="1" applyBorder="1" applyAlignment="1" applyProtection="1">
      <alignment vertical="center"/>
      <protection hidden="1"/>
    </xf>
    <xf numFmtId="0" fontId="12" fillId="0" borderId="53" xfId="0" applyFont="1" applyBorder="1" applyAlignment="1">
      <alignment vertical="center"/>
    </xf>
    <xf numFmtId="0" fontId="12" fillId="0" borderId="23" xfId="0" applyFont="1" applyBorder="1" applyAlignment="1">
      <alignment vertical="center"/>
    </xf>
    <xf numFmtId="167" fontId="12" fillId="0" borderId="35" xfId="0" applyNumberFormat="1" applyFont="1" applyBorder="1" applyAlignment="1" applyProtection="1">
      <alignment vertical="center"/>
      <protection hidden="1"/>
    </xf>
    <xf numFmtId="0" fontId="7" fillId="0" borderId="53" xfId="0" applyFont="1" applyBorder="1" applyAlignment="1">
      <alignment vertical="center"/>
    </xf>
    <xf numFmtId="0" fontId="7" fillId="0" borderId="20" xfId="0" applyFont="1" applyBorder="1" applyAlignment="1">
      <alignment vertical="center"/>
    </xf>
    <xf numFmtId="167" fontId="7" fillId="3" borderId="35" xfId="0" applyNumberFormat="1" applyFont="1" applyFill="1" applyBorder="1" applyAlignment="1" applyProtection="1">
      <alignment vertical="center"/>
      <protection hidden="1"/>
    </xf>
    <xf numFmtId="0" fontId="12" fillId="0" borderId="20" xfId="0" applyFont="1" applyBorder="1" applyAlignment="1">
      <alignment vertical="center"/>
    </xf>
    <xf numFmtId="0" fontId="7" fillId="0" borderId="55" xfId="0" applyFont="1" applyBorder="1" applyAlignment="1">
      <alignment vertical="center"/>
    </xf>
    <xf numFmtId="0" fontId="6" fillId="0" borderId="56" xfId="0" applyFont="1" applyBorder="1" applyAlignment="1">
      <alignment vertical="center"/>
    </xf>
    <xf numFmtId="167" fontId="12" fillId="3" borderId="35" xfId="0" applyNumberFormat="1" applyFont="1" applyFill="1" applyBorder="1" applyAlignment="1" applyProtection="1">
      <alignment vertical="center"/>
      <protection hidden="1"/>
    </xf>
    <xf numFmtId="164" fontId="7" fillId="3" borderId="35" xfId="0" applyNumberFormat="1" applyFont="1" applyFill="1" applyBorder="1" applyAlignment="1" applyProtection="1">
      <alignment vertical="center"/>
      <protection hidden="1"/>
    </xf>
    <xf numFmtId="0" fontId="7" fillId="0" borderId="25" xfId="0" applyFont="1" applyBorder="1" applyAlignment="1">
      <alignment vertical="center"/>
    </xf>
    <xf numFmtId="0" fontId="11" fillId="0" borderId="50" xfId="0" applyFont="1" applyBorder="1" applyAlignment="1">
      <alignment vertical="center"/>
    </xf>
    <xf numFmtId="0" fontId="7" fillId="0" borderId="53" xfId="0" applyFont="1" applyBorder="1" applyAlignment="1">
      <alignment horizontal="right" vertical="center"/>
    </xf>
    <xf numFmtId="0" fontId="7" fillId="0" borderId="57" xfId="0" applyFont="1" applyBorder="1" applyAlignment="1">
      <alignment vertical="center"/>
    </xf>
    <xf numFmtId="0" fontId="11" fillId="0" borderId="23" xfId="0" applyFont="1" applyBorder="1" applyAlignment="1">
      <alignment vertical="center"/>
    </xf>
    <xf numFmtId="0" fontId="7" fillId="0" borderId="18" xfId="0" applyFont="1" applyBorder="1" applyAlignment="1">
      <alignment vertical="center"/>
    </xf>
    <xf numFmtId="0" fontId="11" fillId="0" borderId="6" xfId="0" applyFont="1" applyBorder="1" applyAlignment="1">
      <alignment vertical="center"/>
    </xf>
    <xf numFmtId="0" fontId="12" fillId="0" borderId="53" xfId="0" applyFont="1" applyBorder="1" applyAlignment="1">
      <alignment horizontal="right" vertical="center"/>
    </xf>
    <xf numFmtId="0" fontId="0" fillId="0" borderId="0" xfId="0" applyAlignment="1">
      <alignment horizontal="center" vertical="center"/>
    </xf>
    <xf numFmtId="0" fontId="9" fillId="0" borderId="7" xfId="0" applyFont="1" applyBorder="1" applyAlignment="1">
      <alignment horizontal="left" vertical="center"/>
    </xf>
    <xf numFmtId="0" fontId="9" fillId="0" borderId="56" xfId="0" applyFont="1" applyBorder="1" applyAlignment="1">
      <alignment vertical="center"/>
    </xf>
    <xf numFmtId="0" fontId="0" fillId="0" borderId="1" xfId="0" applyBorder="1" applyAlignment="1">
      <alignment vertical="center"/>
    </xf>
    <xf numFmtId="0" fontId="9" fillId="0" borderId="18" xfId="0" applyFont="1" applyBorder="1" applyAlignment="1">
      <alignment vertical="center"/>
    </xf>
    <xf numFmtId="0" fontId="0" fillId="0" borderId="59" xfId="0" applyBorder="1" applyAlignment="1">
      <alignment vertical="center"/>
    </xf>
    <xf numFmtId="0" fontId="9" fillId="0" borderId="2" xfId="0" applyFont="1" applyBorder="1" applyAlignment="1">
      <alignment vertical="center"/>
    </xf>
    <xf numFmtId="0" fontId="9" fillId="0" borderId="7" xfId="0" applyFont="1" applyBorder="1" applyAlignment="1">
      <alignment vertical="center"/>
    </xf>
    <xf numFmtId="3" fontId="0" fillId="0" borderId="0" xfId="2" applyNumberFormat="1" applyFont="1"/>
    <xf numFmtId="0" fontId="5" fillId="0" borderId="0" xfId="0" applyFont="1" applyAlignment="1">
      <alignment horizontal="left" vertical="center" wrapText="1"/>
    </xf>
    <xf numFmtId="167" fontId="7" fillId="3" borderId="33" xfId="0" applyNumberFormat="1" applyFont="1" applyFill="1" applyBorder="1" applyAlignment="1" applyProtection="1">
      <alignment vertical="center"/>
      <protection hidden="1"/>
    </xf>
    <xf numFmtId="0" fontId="5" fillId="0" borderId="27" xfId="0" applyFont="1" applyBorder="1" applyAlignment="1">
      <alignment horizontal="left" vertical="center"/>
    </xf>
    <xf numFmtId="0" fontId="0" fillId="0" borderId="4" xfId="0" applyBorder="1" applyAlignment="1" applyProtection="1">
      <alignment horizontal="center" vertical="center"/>
      <protection hidden="1"/>
    </xf>
    <xf numFmtId="0" fontId="5" fillId="0" borderId="4" xfId="0" applyFont="1" applyBorder="1" applyAlignment="1" applyProtection="1">
      <alignment vertical="center"/>
      <protection hidden="1"/>
    </xf>
    <xf numFmtId="0" fontId="5" fillId="0" borderId="4" xfId="0" applyFont="1" applyBorder="1" applyAlignment="1" applyProtection="1">
      <alignment horizontal="right" vertical="center"/>
      <protection hidden="1"/>
    </xf>
    <xf numFmtId="166" fontId="0" fillId="0" borderId="4" xfId="0" applyNumberFormat="1" applyBorder="1" applyAlignment="1" applyProtection="1">
      <alignment horizontal="right"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5" fillId="0" borderId="0" xfId="0" applyFont="1" applyAlignment="1" applyProtection="1">
      <alignment vertical="center"/>
      <protection hidden="1"/>
    </xf>
    <xf numFmtId="166" fontId="0" fillId="0" borderId="0" xfId="0" applyNumberFormat="1" applyAlignment="1" applyProtection="1">
      <alignment horizontal="right" vertical="center"/>
      <protection hidden="1"/>
    </xf>
    <xf numFmtId="3" fontId="5" fillId="0" borderId="0" xfId="0" applyNumberFormat="1" applyFont="1" applyAlignment="1" applyProtection="1">
      <alignment vertical="center"/>
      <protection hidden="1"/>
    </xf>
    <xf numFmtId="0" fontId="7" fillId="0" borderId="0" xfId="0" applyFont="1" applyAlignment="1" applyProtection="1">
      <alignment horizontal="left"/>
      <protection hidden="1"/>
    </xf>
    <xf numFmtId="0" fontId="7" fillId="0" borderId="0" xfId="0" applyFont="1" applyAlignment="1" applyProtection="1">
      <alignment horizontal="right"/>
      <protection hidden="1"/>
    </xf>
    <xf numFmtId="0" fontId="6" fillId="0" borderId="12" xfId="0" applyFont="1" applyBorder="1" applyAlignment="1">
      <alignment horizontal="right"/>
    </xf>
    <xf numFmtId="3" fontId="6" fillId="0" borderId="2" xfId="0" applyNumberFormat="1" applyFont="1" applyBorder="1"/>
    <xf numFmtId="9" fontId="6" fillId="0" borderId="2" xfId="2" applyFont="1" applyBorder="1"/>
    <xf numFmtId="0" fontId="6" fillId="0" borderId="2" xfId="0" applyFont="1" applyBorder="1"/>
    <xf numFmtId="167" fontId="6" fillId="0" borderId="2" xfId="0" applyNumberFormat="1" applyFont="1" applyBorder="1"/>
    <xf numFmtId="3" fontId="6" fillId="0" borderId="1" xfId="0" applyNumberFormat="1" applyFont="1" applyBorder="1"/>
    <xf numFmtId="0" fontId="0" fillId="0" borderId="27" xfId="0" applyBorder="1" applyAlignment="1">
      <alignment horizontal="right"/>
    </xf>
    <xf numFmtId="0" fontId="5" fillId="0" borderId="13" xfId="0" applyFont="1" applyBorder="1" applyAlignment="1">
      <alignment horizontal="right"/>
    </xf>
    <xf numFmtId="0" fontId="18" fillId="0" borderId="34" xfId="0" applyFont="1" applyBorder="1"/>
    <xf numFmtId="167" fontId="0" fillId="0" borderId="34" xfId="0" applyNumberFormat="1" applyBorder="1"/>
    <xf numFmtId="3" fontId="0" fillId="0" borderId="34" xfId="0" applyNumberFormat="1" applyBorder="1"/>
    <xf numFmtId="3" fontId="5" fillId="0" borderId="34" xfId="0" applyNumberFormat="1" applyFont="1" applyBorder="1"/>
    <xf numFmtId="0" fontId="0" fillId="0" borderId="4" xfId="0" applyBorder="1" applyAlignment="1">
      <alignment horizontal="center"/>
    </xf>
    <xf numFmtId="0" fontId="0" fillId="0" borderId="4" xfId="0" applyBorder="1"/>
    <xf numFmtId="0" fontId="0" fillId="0" borderId="2" xfId="0" applyBorder="1" applyAlignment="1" applyProtection="1">
      <alignment vertical="center"/>
      <protection hidden="1"/>
    </xf>
    <xf numFmtId="0" fontId="5" fillId="0" borderId="20" xfId="0" applyFont="1" applyBorder="1" applyAlignment="1">
      <alignment horizontal="center" vertical="center"/>
    </xf>
    <xf numFmtId="167" fontId="5" fillId="0" borderId="17" xfId="0" applyNumberFormat="1" applyFont="1" applyBorder="1" applyAlignment="1">
      <alignment horizontal="right" vertical="center"/>
    </xf>
    <xf numFmtId="0" fontId="6" fillId="0" borderId="27" xfId="0" applyFont="1" applyBorder="1" applyAlignment="1">
      <alignment horizontal="left" vertical="center"/>
    </xf>
    <xf numFmtId="9" fontId="12" fillId="0" borderId="17" xfId="2" applyFont="1" applyBorder="1"/>
    <xf numFmtId="0" fontId="5" fillId="0" borderId="65"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0" fillId="0" borderId="16" xfId="0" applyBorder="1" applyAlignment="1" applyProtection="1">
      <alignment horizontal="left" vertical="center"/>
      <protection hidden="1"/>
    </xf>
    <xf numFmtId="0" fontId="9" fillId="0" borderId="18" xfId="0" applyFont="1" applyBorder="1" applyAlignment="1" applyProtection="1">
      <alignment horizontal="left"/>
      <protection hidden="1"/>
    </xf>
    <xf numFmtId="0" fontId="9" fillId="0" borderId="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1" fontId="6" fillId="3" borderId="63" xfId="0" applyNumberFormat="1" applyFont="1" applyFill="1" applyBorder="1" applyAlignment="1" applyProtection="1">
      <alignment horizontal="center" vertical="center"/>
      <protection hidden="1"/>
    </xf>
    <xf numFmtId="0" fontId="5" fillId="0" borderId="14"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3" fontId="0" fillId="0" borderId="0" xfId="0" applyNumberFormat="1" applyAlignment="1">
      <alignment vertical="center"/>
    </xf>
    <xf numFmtId="0" fontId="4" fillId="0" borderId="34" xfId="0" applyFont="1" applyBorder="1" applyAlignment="1">
      <alignment horizontal="center"/>
    </xf>
    <xf numFmtId="49" fontId="11" fillId="0" borderId="6" xfId="0" applyNumberFormat="1" applyFont="1" applyBorder="1" applyAlignment="1">
      <alignment horizontal="left" vertical="center"/>
    </xf>
    <xf numFmtId="49" fontId="11" fillId="0" borderId="5" xfId="0" applyNumberFormat="1" applyFont="1" applyBorder="1" applyAlignment="1" applyProtection="1">
      <alignment horizontal="left" vertical="center"/>
      <protection hidden="1"/>
    </xf>
    <xf numFmtId="0" fontId="11" fillId="7" borderId="29"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right" vertical="center"/>
    </xf>
    <xf numFmtId="0" fontId="6" fillId="0" borderId="18" xfId="0" applyFont="1" applyBorder="1" applyProtection="1">
      <protection locked="0"/>
    </xf>
    <xf numFmtId="0" fontId="5" fillId="0" borderId="7" xfId="0" applyFont="1" applyBorder="1" applyProtection="1">
      <protection locked="0"/>
    </xf>
    <xf numFmtId="0" fontId="17" fillId="0" borderId="7" xfId="0" applyFont="1" applyBorder="1" applyProtection="1">
      <protection locked="0"/>
    </xf>
    <xf numFmtId="1" fontId="11" fillId="0" borderId="17" xfId="0" applyNumberFormat="1" applyFont="1" applyBorder="1" applyAlignment="1" applyProtection="1">
      <alignment horizontal="center"/>
      <protection hidden="1"/>
    </xf>
    <xf numFmtId="1" fontId="11" fillId="0" borderId="17" xfId="0" applyNumberFormat="1" applyFont="1" applyBorder="1" applyAlignment="1">
      <alignment horizontal="center"/>
    </xf>
    <xf numFmtId="3" fontId="6" fillId="0" borderId="0" xfId="0" applyNumberFormat="1" applyFont="1" applyAlignment="1">
      <alignment horizontal="center"/>
    </xf>
    <xf numFmtId="164" fontId="6" fillId="0" borderId="0" xfId="2" applyNumberFormat="1" applyFont="1" applyAlignment="1">
      <alignment horizontal="center"/>
    </xf>
    <xf numFmtId="166" fontId="6" fillId="0" borderId="0" xfId="0" applyNumberFormat="1" applyFont="1"/>
    <xf numFmtId="0" fontId="17" fillId="0" borderId="0" xfId="0" applyFont="1"/>
    <xf numFmtId="0" fontId="6" fillId="8" borderId="27" xfId="0" applyFont="1" applyFill="1" applyBorder="1" applyAlignment="1">
      <alignment horizontal="center" vertical="center"/>
    </xf>
    <xf numFmtId="0" fontId="6" fillId="8" borderId="0" xfId="0" applyFont="1" applyFill="1" applyAlignment="1">
      <alignment horizontal="center" vertical="center"/>
    </xf>
    <xf numFmtId="0" fontId="6" fillId="8" borderId="28" xfId="0" applyFont="1" applyFill="1" applyBorder="1" applyAlignment="1">
      <alignment horizontal="center" vertical="center"/>
    </xf>
    <xf numFmtId="166" fontId="6" fillId="0" borderId="0" xfId="0" applyNumberFormat="1" applyFont="1" applyAlignment="1">
      <alignment horizontal="center"/>
    </xf>
    <xf numFmtId="3" fontId="6" fillId="0" borderId="7" xfId="0" applyNumberFormat="1" applyFont="1" applyBorder="1"/>
    <xf numFmtId="3" fontId="6" fillId="0" borderId="69" xfId="0" applyNumberFormat="1" applyFont="1" applyBorder="1"/>
    <xf numFmtId="3" fontId="6" fillId="0" borderId="68" xfId="0" applyNumberFormat="1" applyFont="1" applyBorder="1"/>
    <xf numFmtId="3" fontId="6" fillId="0" borderId="59" xfId="0" applyNumberFormat="1" applyFont="1" applyBorder="1"/>
    <xf numFmtId="3" fontId="6" fillId="0" borderId="41" xfId="0" applyNumberFormat="1" applyFont="1" applyBorder="1"/>
    <xf numFmtId="3" fontId="6" fillId="0" borderId="16" xfId="0" applyNumberFormat="1" applyFont="1" applyBorder="1"/>
    <xf numFmtId="3" fontId="6" fillId="0" borderId="70" xfId="0" applyNumberFormat="1" applyFont="1" applyBorder="1"/>
    <xf numFmtId="3" fontId="6" fillId="0" borderId="12" xfId="0" applyNumberFormat="1" applyFont="1" applyBorder="1"/>
    <xf numFmtId="0" fontId="6" fillId="0" borderId="2" xfId="0" applyFont="1" applyBorder="1" applyAlignment="1">
      <alignment horizontal="center"/>
    </xf>
    <xf numFmtId="166" fontId="6" fillId="0" borderId="2" xfId="0" applyNumberFormat="1" applyFont="1" applyBorder="1"/>
    <xf numFmtId="3" fontId="6" fillId="0" borderId="13" xfId="0" applyNumberFormat="1" applyFont="1" applyBorder="1"/>
    <xf numFmtId="3" fontId="6" fillId="0" borderId="34" xfId="0" applyNumberFormat="1" applyFont="1" applyBorder="1"/>
    <xf numFmtId="0" fontId="6" fillId="0" borderId="34" xfId="0" applyFont="1" applyBorder="1" applyAlignment="1">
      <alignment horizontal="center"/>
    </xf>
    <xf numFmtId="0" fontId="6" fillId="0" borderId="63" xfId="0" applyFont="1" applyBorder="1" applyAlignment="1">
      <alignment horizontal="center" vertical="center"/>
    </xf>
    <xf numFmtId="3" fontId="6" fillId="0" borderId="26" xfId="0" applyNumberFormat="1" applyFont="1" applyBorder="1"/>
    <xf numFmtId="3" fontId="6" fillId="0" borderId="13" xfId="0" applyNumberFormat="1" applyFont="1" applyBorder="1" applyAlignment="1">
      <alignment horizontal="center"/>
    </xf>
    <xf numFmtId="0" fontId="5" fillId="0" borderId="2" xfId="0" applyFont="1" applyBorder="1" applyProtection="1">
      <protection hidden="1"/>
    </xf>
    <xf numFmtId="0" fontId="12" fillId="0" borderId="0" xfId="0" applyFont="1" applyAlignment="1" applyProtection="1">
      <alignment horizontal="left" vertical="center"/>
      <protection hidden="1"/>
    </xf>
    <xf numFmtId="0" fontId="12" fillId="0" borderId="0" xfId="0" applyFont="1" applyAlignment="1">
      <alignment horizontal="left" vertical="center"/>
    </xf>
    <xf numFmtId="0" fontId="12" fillId="3" borderId="17" xfId="0" applyFont="1" applyFill="1" applyBorder="1" applyAlignment="1" applyProtection="1">
      <alignment horizontal="center" vertical="center"/>
      <protection hidden="1"/>
    </xf>
    <xf numFmtId="1" fontId="12" fillId="3" borderId="35" xfId="0" applyNumberFormat="1" applyFont="1" applyFill="1" applyBorder="1" applyAlignment="1" applyProtection="1">
      <alignment horizontal="center"/>
      <protection hidden="1"/>
    </xf>
    <xf numFmtId="3" fontId="12" fillId="0" borderId="17" xfId="0" applyNumberFormat="1" applyFont="1" applyBorder="1" applyAlignment="1" applyProtection="1">
      <alignment horizontal="right" vertical="center"/>
      <protection hidden="1"/>
    </xf>
    <xf numFmtId="0" fontId="12" fillId="0" borderId="0" xfId="0" applyFont="1" applyAlignment="1" applyProtection="1">
      <alignment vertical="center"/>
      <protection locked="0"/>
    </xf>
    <xf numFmtId="0" fontId="12" fillId="0" borderId="75" xfId="0" applyFont="1" applyBorder="1" applyAlignment="1" applyProtection="1">
      <alignment horizontal="center" vertical="center"/>
      <protection hidden="1"/>
    </xf>
    <xf numFmtId="0" fontId="12" fillId="0" borderId="45" xfId="0" applyFont="1" applyBorder="1" applyAlignment="1" applyProtection="1">
      <alignment vertical="center"/>
      <protection hidden="1"/>
    </xf>
    <xf numFmtId="0" fontId="11" fillId="0" borderId="76" xfId="0" applyFont="1" applyBorder="1" applyAlignment="1">
      <alignment horizontal="right" vertical="center"/>
    </xf>
    <xf numFmtId="0" fontId="11" fillId="0" borderId="45" xfId="0" applyFont="1" applyBorder="1" applyAlignment="1" applyProtection="1">
      <alignment vertical="center"/>
      <protection hidden="1"/>
    </xf>
    <xf numFmtId="0" fontId="12" fillId="0" borderId="76" xfId="0" applyFont="1" applyBorder="1" applyAlignment="1">
      <alignment horizontal="right" vertical="center"/>
    </xf>
    <xf numFmtId="3" fontId="11" fillId="0" borderId="35" xfId="0" applyNumberFormat="1" applyFont="1" applyBorder="1" applyAlignment="1" applyProtection="1">
      <alignment horizontal="center" vertical="center"/>
      <protection hidden="1"/>
    </xf>
    <xf numFmtId="166" fontId="12" fillId="0" borderId="35" xfId="0" applyNumberFormat="1" applyFont="1" applyBorder="1" applyAlignment="1" applyProtection="1">
      <alignment horizontal="center" vertical="center"/>
      <protection hidden="1"/>
    </xf>
    <xf numFmtId="166" fontId="12" fillId="7" borderId="35" xfId="0" applyNumberFormat="1" applyFont="1" applyFill="1" applyBorder="1" applyAlignment="1" applyProtection="1">
      <alignment horizontal="center" vertical="center"/>
      <protection locked="0" hidden="1"/>
    </xf>
    <xf numFmtId="0" fontId="12" fillId="0" borderId="45" xfId="0" applyFont="1" applyBorder="1" applyAlignment="1" applyProtection="1">
      <alignment horizontal="left" vertical="center"/>
      <protection hidden="1"/>
    </xf>
    <xf numFmtId="0" fontId="11" fillId="0" borderId="76" xfId="0" quotePrefix="1" applyFont="1" applyBorder="1" applyAlignment="1">
      <alignment horizontal="right" vertical="center"/>
    </xf>
    <xf numFmtId="0" fontId="11" fillId="0" borderId="45" xfId="0" applyFont="1" applyBorder="1" applyAlignment="1" applyProtection="1">
      <alignment horizontal="left" vertical="center"/>
      <protection hidden="1"/>
    </xf>
    <xf numFmtId="0" fontId="12" fillId="0" borderId="76" xfId="0" applyFont="1" applyBorder="1" applyAlignment="1" applyProtection="1">
      <alignment horizontal="right" vertical="center"/>
      <protection hidden="1"/>
    </xf>
    <xf numFmtId="0" fontId="11" fillId="0" borderId="76" xfId="0" applyFont="1" applyBorder="1" applyAlignment="1" applyProtection="1">
      <alignment horizontal="right" vertical="center"/>
      <protection hidden="1"/>
    </xf>
    <xf numFmtId="0" fontId="12" fillId="0" borderId="77" xfId="0" applyFont="1" applyBorder="1" applyAlignment="1" applyProtection="1">
      <alignment horizontal="center" vertical="center"/>
      <protection hidden="1"/>
    </xf>
    <xf numFmtId="0" fontId="12" fillId="0" borderId="78" xfId="0" applyFont="1" applyBorder="1" applyAlignment="1" applyProtection="1">
      <alignment vertical="center"/>
      <protection hidden="1"/>
    </xf>
    <xf numFmtId="0" fontId="11" fillId="0" borderId="28" xfId="0" applyFont="1" applyBorder="1" applyAlignment="1">
      <alignment horizontal="right" vertical="center"/>
    </xf>
    <xf numFmtId="0" fontId="12" fillId="0" borderId="13" xfId="0" applyFont="1" applyBorder="1" applyAlignment="1" applyProtection="1">
      <alignment horizontal="center" vertical="center"/>
      <protection hidden="1"/>
    </xf>
    <xf numFmtId="0" fontId="11" fillId="0" borderId="34" xfId="0" applyFont="1" applyBorder="1" applyAlignment="1" applyProtection="1">
      <alignment horizontal="left" vertical="center"/>
      <protection hidden="1"/>
    </xf>
    <xf numFmtId="0" fontId="11" fillId="0" borderId="26" xfId="0" applyFont="1" applyBorder="1" applyAlignment="1" applyProtection="1">
      <alignment horizontal="left" vertical="center"/>
      <protection hidden="1"/>
    </xf>
    <xf numFmtId="166" fontId="12" fillId="0" borderId="37" xfId="0" applyNumberFormat="1" applyFont="1" applyBorder="1" applyAlignment="1" applyProtection="1">
      <alignment horizontal="center" vertical="center"/>
      <protection hidden="1"/>
    </xf>
    <xf numFmtId="0" fontId="12" fillId="0" borderId="4" xfId="0" applyFont="1" applyBorder="1" applyAlignment="1">
      <alignment vertical="center"/>
    </xf>
    <xf numFmtId="0" fontId="36" fillId="0" borderId="0" xfId="0" applyFont="1"/>
    <xf numFmtId="167" fontId="12" fillId="0" borderId="0" xfId="0" applyNumberFormat="1" applyFont="1" applyAlignment="1">
      <alignment horizontal="center"/>
    </xf>
    <xf numFmtId="164" fontId="12" fillId="0" borderId="0" xfId="0" applyNumberFormat="1" applyFont="1" applyAlignment="1" applyProtection="1">
      <alignment horizontal="right"/>
      <protection hidden="1"/>
    </xf>
    <xf numFmtId="0" fontId="36" fillId="0" borderId="0" xfId="0" applyFont="1" applyProtection="1">
      <protection hidden="1"/>
    </xf>
    <xf numFmtId="0" fontId="12" fillId="0" borderId="31" xfId="0" applyFont="1" applyBorder="1" applyAlignment="1">
      <alignment vertical="center"/>
    </xf>
    <xf numFmtId="0" fontId="12" fillId="0" borderId="79" xfId="0" applyFont="1" applyBorder="1" applyAlignment="1">
      <alignment vertical="center"/>
    </xf>
    <xf numFmtId="166" fontId="12" fillId="0" borderId="46" xfId="0" applyNumberFormat="1" applyFont="1" applyBorder="1" applyAlignment="1" applyProtection="1">
      <alignment horizontal="right" vertical="center"/>
      <protection locked="0"/>
    </xf>
    <xf numFmtId="0" fontId="12" fillId="0" borderId="13" xfId="0" applyFont="1" applyBorder="1" applyAlignment="1">
      <alignment horizontal="center" vertical="center"/>
    </xf>
    <xf numFmtId="0" fontId="12" fillId="0" borderId="80" xfId="0" applyFont="1" applyBorder="1" applyAlignment="1">
      <alignment vertical="center"/>
    </xf>
    <xf numFmtId="0" fontId="12" fillId="0" borderId="80" xfId="0" applyFont="1" applyBorder="1" applyAlignment="1">
      <alignment horizontal="right" vertical="center"/>
    </xf>
    <xf numFmtId="166" fontId="12" fillId="0" borderId="81" xfId="0" applyNumberFormat="1" applyFont="1" applyBorder="1" applyAlignment="1" applyProtection="1">
      <alignment horizontal="right" vertical="center"/>
      <protection locked="0"/>
    </xf>
    <xf numFmtId="0" fontId="12" fillId="0" borderId="25" xfId="0" applyFont="1" applyBorder="1" applyAlignment="1" applyProtection="1">
      <alignment horizontal="left" vertical="center"/>
      <protection locked="0"/>
    </xf>
    <xf numFmtId="9" fontId="12" fillId="3" borderId="17" xfId="0" applyNumberFormat="1" applyFont="1" applyFill="1" applyBorder="1" applyAlignment="1">
      <alignment horizontal="center" vertical="center"/>
    </xf>
    <xf numFmtId="0" fontId="12" fillId="0" borderId="27" xfId="0" applyFont="1" applyBorder="1" applyAlignment="1">
      <alignment horizontal="right" vertical="center"/>
    </xf>
    <xf numFmtId="0" fontId="11" fillId="0" borderId="82" xfId="0" applyFont="1" applyBorder="1" applyAlignment="1">
      <alignment vertical="center"/>
    </xf>
    <xf numFmtId="0" fontId="7" fillId="0" borderId="38" xfId="0" applyFont="1" applyBorder="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39" xfId="0" applyFont="1" applyBorder="1" applyAlignment="1">
      <alignment vertical="center"/>
    </xf>
    <xf numFmtId="0" fontId="7" fillId="0" borderId="36" xfId="0" applyFont="1" applyBorder="1" applyAlignment="1">
      <alignment horizontal="center" vertical="center"/>
    </xf>
    <xf numFmtId="0" fontId="7" fillId="0" borderId="82" xfId="0" applyFont="1" applyBorder="1" applyAlignment="1">
      <alignment vertical="center"/>
    </xf>
    <xf numFmtId="0" fontId="7" fillId="0" borderId="65" xfId="0" applyFont="1" applyBorder="1" applyAlignment="1">
      <alignment horizontal="center" vertical="center"/>
    </xf>
    <xf numFmtId="1" fontId="12" fillId="0" borderId="2" xfId="0" applyNumberFormat="1" applyFont="1" applyBorder="1" applyAlignment="1">
      <alignment horizontal="center" vertical="center"/>
    </xf>
    <xf numFmtId="164" fontId="7" fillId="7" borderId="50" xfId="0" applyNumberFormat="1" applyFont="1" applyFill="1" applyBorder="1" applyAlignment="1" applyProtection="1">
      <alignment horizontal="center" vertical="center"/>
      <protection locked="0"/>
    </xf>
    <xf numFmtId="164" fontId="7" fillId="7" borderId="52" xfId="0" applyNumberFormat="1" applyFont="1" applyFill="1" applyBorder="1" applyAlignment="1" applyProtection="1">
      <alignment horizontal="center" vertical="center"/>
      <protection locked="0"/>
    </xf>
    <xf numFmtId="0" fontId="12" fillId="0" borderId="82" xfId="0" applyFont="1" applyBorder="1" applyAlignment="1">
      <alignment vertical="center"/>
    </xf>
    <xf numFmtId="0" fontId="12" fillId="0" borderId="65" xfId="0" applyFont="1" applyBorder="1" applyAlignment="1">
      <alignment horizontal="center" vertical="center"/>
    </xf>
    <xf numFmtId="0" fontId="0" fillId="0" borderId="82" xfId="0" applyBorder="1" applyAlignment="1">
      <alignment vertical="center"/>
    </xf>
    <xf numFmtId="0" fontId="0" fillId="0" borderId="12" xfId="0" applyBorder="1" applyAlignment="1">
      <alignment vertical="center"/>
    </xf>
    <xf numFmtId="0" fontId="7" fillId="0" borderId="12" xfId="0" applyFont="1" applyBorder="1" applyAlignment="1">
      <alignment vertical="center"/>
    </xf>
    <xf numFmtId="0" fontId="7" fillId="0" borderId="2" xfId="0" applyFont="1" applyBorder="1" applyAlignment="1">
      <alignment horizontal="center" vertical="center"/>
    </xf>
    <xf numFmtId="164" fontId="25" fillId="0" borderId="0" xfId="2" applyNumberFormat="1" applyFont="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12" fillId="0" borderId="28" xfId="0" applyFont="1" applyBorder="1" applyAlignment="1">
      <alignment vertical="center"/>
    </xf>
    <xf numFmtId="0" fontId="12" fillId="0" borderId="28" xfId="0" applyFont="1" applyBorder="1" applyAlignment="1" applyProtection="1">
      <alignment vertical="center"/>
      <protection locked="0"/>
    </xf>
    <xf numFmtId="0" fontId="12" fillId="0" borderId="34" xfId="0" applyFont="1" applyBorder="1" applyAlignment="1" applyProtection="1">
      <alignment vertical="center"/>
      <protection locked="0"/>
    </xf>
    <xf numFmtId="0" fontId="12" fillId="0" borderId="26" xfId="0" applyFont="1" applyBorder="1" applyAlignment="1" applyProtection="1">
      <alignment vertical="center"/>
      <protection locked="0"/>
    </xf>
    <xf numFmtId="3" fontId="0" fillId="0" borderId="0" xfId="0" applyNumberFormat="1" applyAlignment="1" applyProtection="1">
      <alignment vertical="center"/>
      <protection hidden="1"/>
    </xf>
    <xf numFmtId="1" fontId="11" fillId="0" borderId="38" xfId="0" applyNumberFormat="1" applyFont="1" applyBorder="1" applyAlignment="1" applyProtection="1">
      <alignment horizontal="center"/>
      <protection hidden="1"/>
    </xf>
    <xf numFmtId="0" fontId="12" fillId="0" borderId="17" xfId="0" applyFont="1" applyBorder="1" applyAlignment="1" applyProtection="1">
      <alignment horizontal="center" vertical="center"/>
      <protection hidden="1"/>
    </xf>
    <xf numFmtId="0" fontId="12" fillId="0" borderId="35" xfId="0" applyFont="1" applyBorder="1" applyAlignment="1" applyProtection="1">
      <alignment horizontal="center" vertical="center"/>
      <protection hidden="1"/>
    </xf>
    <xf numFmtId="0" fontId="6" fillId="0" borderId="27" xfId="0" applyFont="1" applyBorder="1" applyProtection="1">
      <protection hidden="1"/>
    </xf>
    <xf numFmtId="0" fontId="12" fillId="0" borderId="31" xfId="0" applyFont="1" applyBorder="1" applyAlignment="1">
      <alignment horizontal="right" vertical="center"/>
    </xf>
    <xf numFmtId="0" fontId="12" fillId="0" borderId="34" xfId="0" applyFont="1" applyBorder="1" applyAlignment="1" applyProtection="1">
      <alignment vertical="center"/>
      <protection hidden="1"/>
    </xf>
    <xf numFmtId="3" fontId="12" fillId="0" borderId="43" xfId="0" applyNumberFormat="1" applyFont="1" applyBorder="1" applyAlignment="1" applyProtection="1">
      <alignment vertical="center"/>
      <protection hidden="1"/>
    </xf>
    <xf numFmtId="167" fontId="5" fillId="0" borderId="0" xfId="0" applyNumberFormat="1" applyFont="1" applyAlignment="1" applyProtection="1">
      <alignment vertical="center"/>
      <protection hidden="1"/>
    </xf>
    <xf numFmtId="3" fontId="12" fillId="0" borderId="19" xfId="0" applyNumberFormat="1" applyFont="1" applyBorder="1" applyAlignment="1" applyProtection="1">
      <alignment horizontal="right" vertical="center"/>
      <protection hidden="1"/>
    </xf>
    <xf numFmtId="166" fontId="12" fillId="0" borderId="45" xfId="0" applyNumberFormat="1" applyFont="1" applyBorder="1" applyAlignment="1" applyProtection="1">
      <alignment horizontal="right" vertical="center"/>
      <protection locked="0"/>
    </xf>
    <xf numFmtId="0" fontId="12" fillId="0" borderId="82" xfId="0" applyFont="1" applyBorder="1" applyAlignment="1">
      <alignment horizontal="center" vertical="center"/>
    </xf>
    <xf numFmtId="0" fontId="12" fillId="0" borderId="65" xfId="0" applyFont="1" applyBorder="1" applyAlignment="1">
      <alignment vertical="center"/>
    </xf>
    <xf numFmtId="0" fontId="12" fillId="0" borderId="10" xfId="0" applyFont="1" applyBorder="1" applyAlignment="1">
      <alignment vertical="center"/>
    </xf>
    <xf numFmtId="0" fontId="12" fillId="0" borderId="27" xfId="0" applyFont="1" applyBorder="1" applyAlignment="1">
      <alignment horizontal="center"/>
    </xf>
    <xf numFmtId="0" fontId="12" fillId="0" borderId="61" xfId="0" applyFont="1" applyBorder="1" applyProtection="1">
      <protection hidden="1"/>
    </xf>
    <xf numFmtId="0" fontId="12" fillId="0" borderId="25" xfId="0" applyFont="1" applyBorder="1" applyProtection="1">
      <protection hidden="1"/>
    </xf>
    <xf numFmtId="0" fontId="12" fillId="0" borderId="41" xfId="0" applyFont="1" applyBorder="1" applyAlignment="1">
      <alignment horizontal="center"/>
    </xf>
    <xf numFmtId="0" fontId="12" fillId="7" borderId="16" xfId="0" applyFont="1" applyFill="1" applyBorder="1" applyAlignment="1" applyProtection="1">
      <alignment horizontal="left"/>
      <protection locked="0"/>
    </xf>
    <xf numFmtId="0" fontId="12" fillId="0" borderId="69" xfId="0" applyFont="1" applyBorder="1" applyAlignment="1">
      <alignment horizontal="center"/>
    </xf>
    <xf numFmtId="0" fontId="12" fillId="0" borderId="10" xfId="0" applyFont="1" applyBorder="1"/>
    <xf numFmtId="0" fontId="12" fillId="7" borderId="10" xfId="0" applyFont="1" applyFill="1" applyBorder="1" applyAlignment="1" applyProtection="1">
      <alignment horizontal="left"/>
      <protection locked="0"/>
    </xf>
    <xf numFmtId="166" fontId="43" fillId="7" borderId="17" xfId="0" applyNumberFormat="1" applyFont="1" applyFill="1" applyBorder="1" applyAlignment="1" applyProtection="1">
      <alignment horizontal="center" vertical="center"/>
      <protection locked="0"/>
    </xf>
    <xf numFmtId="9" fontId="44" fillId="7" borderId="17" xfId="0" applyNumberFormat="1" applyFont="1" applyFill="1" applyBorder="1" applyAlignment="1" applyProtection="1">
      <alignment horizontal="center" vertical="center"/>
      <protection locked="0"/>
    </xf>
    <xf numFmtId="166" fontId="44" fillId="7" borderId="17" xfId="0" applyNumberFormat="1" applyFont="1" applyFill="1" applyBorder="1" applyAlignment="1" applyProtection="1">
      <alignment horizontal="center" vertical="center"/>
      <protection locked="0"/>
    </xf>
    <xf numFmtId="0" fontId="44" fillId="0" borderId="20" xfId="0" applyFont="1" applyBorder="1" applyAlignment="1">
      <alignment horizontal="center" vertical="center"/>
    </xf>
    <xf numFmtId="166" fontId="44" fillId="7" borderId="20" xfId="0" applyNumberFormat="1" applyFont="1" applyFill="1" applyBorder="1" applyAlignment="1" applyProtection="1">
      <alignment horizontal="center" vertical="center"/>
      <protection locked="0"/>
    </xf>
    <xf numFmtId="1" fontId="44" fillId="7" borderId="17" xfId="0" applyNumberFormat="1" applyFont="1" applyFill="1" applyBorder="1" applyAlignment="1" applyProtection="1">
      <alignment horizontal="center" vertical="center"/>
      <protection locked="0"/>
    </xf>
    <xf numFmtId="0" fontId="44" fillId="0" borderId="44" xfId="0" applyFont="1" applyBorder="1" applyAlignment="1">
      <alignment horizontal="center" vertical="center"/>
    </xf>
    <xf numFmtId="0" fontId="12" fillId="0" borderId="7"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9" fontId="12" fillId="0" borderId="7" xfId="0" applyNumberFormat="1" applyFont="1" applyBorder="1" applyAlignment="1" applyProtection="1">
      <alignment horizontal="left" vertical="center"/>
      <protection locked="0"/>
    </xf>
    <xf numFmtId="0" fontId="12" fillId="0" borderId="27" xfId="0" applyFont="1" applyBorder="1"/>
    <xf numFmtId="0" fontId="12" fillId="0" borderId="25" xfId="0" applyFont="1" applyBorder="1" applyAlignment="1" applyProtection="1">
      <alignment vertical="center"/>
      <protection locked="0"/>
    </xf>
    <xf numFmtId="164" fontId="12" fillId="7" borderId="38" xfId="0" applyNumberFormat="1" applyFont="1" applyFill="1" applyBorder="1" applyAlignment="1" applyProtection="1">
      <alignment horizontal="center" vertical="center"/>
      <protection locked="0"/>
    </xf>
    <xf numFmtId="164" fontId="12" fillId="7" borderId="17" xfId="0" applyNumberFormat="1" applyFont="1" applyFill="1" applyBorder="1" applyAlignment="1" applyProtection="1">
      <alignment horizontal="center" vertical="center"/>
      <protection locked="0"/>
    </xf>
    <xf numFmtId="0" fontId="12" fillId="0" borderId="27" xfId="0" applyFont="1" applyBorder="1" applyAlignment="1" applyProtection="1">
      <alignment vertical="center"/>
      <protection locked="0"/>
    </xf>
    <xf numFmtId="0" fontId="8" fillId="0" borderId="0" xfId="0" applyFont="1" applyAlignment="1">
      <alignment horizontal="right" vertical="center"/>
    </xf>
    <xf numFmtId="0" fontId="8" fillId="2" borderId="0" xfId="0" applyFont="1" applyFill="1" applyAlignment="1">
      <alignment horizontal="center" vertical="center"/>
    </xf>
    <xf numFmtId="166" fontId="12" fillId="0" borderId="35" xfId="0" applyNumberFormat="1" applyFont="1" applyBorder="1" applyAlignment="1">
      <alignment horizontal="center" vertical="center"/>
    </xf>
    <xf numFmtId="20" fontId="6" fillId="0" borderId="12" xfId="0" applyNumberFormat="1" applyFont="1" applyBorder="1"/>
    <xf numFmtId="0" fontId="46" fillId="0" borderId="0" xfId="0" applyFont="1" applyAlignment="1">
      <alignment vertical="center"/>
    </xf>
    <xf numFmtId="0" fontId="47" fillId="0" borderId="0" xfId="0" applyFont="1"/>
    <xf numFmtId="0" fontId="47" fillId="0" borderId="0" xfId="0" applyFont="1" applyAlignment="1">
      <alignment vertical="center"/>
    </xf>
    <xf numFmtId="0" fontId="48" fillId="0" borderId="0" xfId="0" applyFont="1" applyAlignment="1">
      <alignment vertical="center"/>
    </xf>
    <xf numFmtId="0" fontId="42" fillId="0" borderId="0" xfId="0" applyFont="1"/>
    <xf numFmtId="0" fontId="42" fillId="0" borderId="0" xfId="0" applyFont="1" applyAlignment="1">
      <alignment vertical="center"/>
    </xf>
    <xf numFmtId="3" fontId="6" fillId="10" borderId="21" xfId="0" applyNumberFormat="1" applyFont="1" applyFill="1" applyBorder="1" applyAlignment="1" applyProtection="1">
      <alignment horizontal="center" vertical="center"/>
      <protection hidden="1"/>
    </xf>
    <xf numFmtId="3" fontId="6" fillId="10" borderId="19" xfId="0" applyNumberFormat="1" applyFont="1" applyFill="1" applyBorder="1" applyAlignment="1" applyProtection="1">
      <alignment horizontal="center" vertical="center"/>
      <protection hidden="1"/>
    </xf>
    <xf numFmtId="3" fontId="5" fillId="10" borderId="17" xfId="0" applyNumberFormat="1" applyFont="1" applyFill="1" applyBorder="1" applyProtection="1">
      <protection hidden="1"/>
    </xf>
    <xf numFmtId="3" fontId="6" fillId="10" borderId="22" xfId="0" applyNumberFormat="1" applyFont="1" applyFill="1" applyBorder="1" applyAlignment="1" applyProtection="1">
      <alignment horizontal="center" vertical="center"/>
      <protection hidden="1"/>
    </xf>
    <xf numFmtId="166" fontId="43" fillId="7" borderId="107" xfId="0" applyNumberFormat="1" applyFont="1" applyFill="1" applyBorder="1" applyAlignment="1" applyProtection="1">
      <alignment horizontal="center" vertical="center"/>
      <protection locked="0"/>
    </xf>
    <xf numFmtId="0" fontId="38" fillId="0" borderId="0" xfId="0" applyFont="1"/>
    <xf numFmtId="9" fontId="12" fillId="0" borderId="25" xfId="0" applyNumberFormat="1" applyFont="1" applyBorder="1" applyAlignment="1" applyProtection="1">
      <alignment horizontal="left" vertical="center"/>
      <protection locked="0"/>
    </xf>
    <xf numFmtId="9" fontId="12" fillId="0" borderId="0" xfId="0" applyNumberFormat="1" applyFont="1" applyAlignment="1" applyProtection="1">
      <alignment horizontal="left" vertical="center"/>
      <protection locked="0"/>
    </xf>
    <xf numFmtId="0" fontId="7" fillId="0" borderId="0" xfId="0" applyFont="1" applyProtection="1">
      <protection hidden="1"/>
    </xf>
    <xf numFmtId="0" fontId="6" fillId="0" borderId="0" xfId="0" applyFont="1" applyProtection="1">
      <protection hidden="1"/>
    </xf>
    <xf numFmtId="3" fontId="12" fillId="7" borderId="17" xfId="0" applyNumberFormat="1" applyFont="1" applyFill="1" applyBorder="1" applyAlignment="1" applyProtection="1">
      <alignment horizontal="center" vertical="center"/>
      <protection locked="0" hidden="1"/>
    </xf>
    <xf numFmtId="0" fontId="12" fillId="0" borderId="13" xfId="0" applyFont="1" applyBorder="1" applyAlignment="1" applyProtection="1">
      <alignment vertical="center"/>
      <protection locked="0"/>
    </xf>
    <xf numFmtId="0" fontId="4" fillId="7" borderId="38" xfId="0" applyFont="1" applyFill="1" applyBorder="1" applyAlignment="1" applyProtection="1">
      <alignment vertical="center"/>
      <protection locked="0"/>
    </xf>
    <xf numFmtId="0" fontId="12" fillId="0" borderId="17" xfId="0" applyFont="1" applyBorder="1" applyAlignment="1">
      <alignment horizontal="center" vertical="center"/>
    </xf>
    <xf numFmtId="14" fontId="0" fillId="0" borderId="16" xfId="0" applyNumberForma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11" fillId="0" borderId="51" xfId="0" applyFont="1" applyBorder="1" applyAlignment="1">
      <alignment vertical="center"/>
    </xf>
    <xf numFmtId="0" fontId="12" fillId="0" borderId="62" xfId="0" applyFont="1" applyBorder="1" applyAlignment="1">
      <alignment horizontal="center" vertical="center"/>
    </xf>
    <xf numFmtId="0" fontId="11" fillId="0" borderId="38" xfId="0" applyFont="1" applyBorder="1" applyAlignment="1">
      <alignment vertical="center"/>
    </xf>
    <xf numFmtId="3" fontId="0" fillId="0" borderId="0" xfId="0" applyNumberFormat="1" applyProtection="1">
      <protection hidden="1"/>
    </xf>
    <xf numFmtId="0" fontId="49" fillId="0" borderId="0" xfId="0" applyFont="1"/>
    <xf numFmtId="166" fontId="49" fillId="0" borderId="0" xfId="0" applyNumberFormat="1" applyFont="1"/>
    <xf numFmtId="0" fontId="50" fillId="0" borderId="0" xfId="0" applyFont="1"/>
    <xf numFmtId="166" fontId="49" fillId="0" borderId="0" xfId="0" applyNumberFormat="1" applyFont="1" applyAlignment="1">
      <alignment horizontal="center"/>
    </xf>
    <xf numFmtId="3" fontId="49" fillId="0" borderId="0" xfId="0" applyNumberFormat="1" applyFont="1"/>
    <xf numFmtId="0" fontId="49" fillId="0" borderId="0" xfId="0" applyFont="1" applyAlignment="1">
      <alignment horizontal="center"/>
    </xf>
    <xf numFmtId="0" fontId="49" fillId="0" borderId="19" xfId="0" applyFont="1" applyBorder="1" applyAlignment="1">
      <alignment horizontal="center" vertical="center"/>
    </xf>
    <xf numFmtId="0" fontId="51" fillId="0" borderId="0" xfId="0" applyFont="1"/>
    <xf numFmtId="0" fontId="51" fillId="0" borderId="17" xfId="0" applyFont="1" applyBorder="1"/>
    <xf numFmtId="3" fontId="17" fillId="0" borderId="19" xfId="0" applyNumberFormat="1" applyFont="1" applyBorder="1" applyAlignment="1" applyProtection="1">
      <alignment horizontal="center" vertical="center"/>
      <protection hidden="1"/>
    </xf>
    <xf numFmtId="1" fontId="11" fillId="0" borderId="17" xfId="0" applyNumberFormat="1" applyFont="1" applyBorder="1" applyAlignment="1">
      <alignment horizontal="center" vertical="center"/>
    </xf>
    <xf numFmtId="1" fontId="12" fillId="7" borderId="17" xfId="0" applyNumberFormat="1" applyFont="1" applyFill="1" applyBorder="1" applyAlignment="1" applyProtection="1">
      <alignment horizontal="center" vertical="center"/>
      <protection locked="0"/>
    </xf>
    <xf numFmtId="0" fontId="8" fillId="7" borderId="17" xfId="0" applyFont="1" applyFill="1" applyBorder="1" applyAlignment="1" applyProtection="1">
      <alignment horizontal="center" vertical="center"/>
      <protection locked="0"/>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164" fontId="52" fillId="0" borderId="35" xfId="0" applyNumberFormat="1" applyFont="1" applyBorder="1" applyAlignment="1">
      <alignment horizontal="center" vertical="center"/>
    </xf>
    <xf numFmtId="1" fontId="11" fillId="0" borderId="32" xfId="0" applyNumberFormat="1" applyFont="1" applyBorder="1" applyAlignment="1">
      <alignment horizontal="center"/>
    </xf>
    <xf numFmtId="0" fontId="12" fillId="0" borderId="25" xfId="0" applyFont="1" applyBorder="1" applyAlignment="1">
      <alignment vertical="center"/>
    </xf>
    <xf numFmtId="16" fontId="12" fillId="0" borderId="20" xfId="0" applyNumberFormat="1" applyFont="1" applyBorder="1" applyAlignment="1">
      <alignment horizontal="left" vertical="center"/>
    </xf>
    <xf numFmtId="0" fontId="4" fillId="0" borderId="4" xfId="0" applyFont="1" applyBorder="1"/>
    <xf numFmtId="0" fontId="4" fillId="0" borderId="24" xfId="0" applyFont="1" applyBorder="1"/>
    <xf numFmtId="0" fontId="7" fillId="7" borderId="3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4" fillId="0" borderId="2" xfId="0" applyFont="1" applyBorder="1" applyAlignment="1">
      <alignment vertical="center"/>
    </xf>
    <xf numFmtId="4" fontId="4" fillId="0" borderId="2" xfId="0" applyNumberFormat="1" applyFont="1" applyBorder="1" applyAlignment="1">
      <alignment vertical="center"/>
    </xf>
    <xf numFmtId="1" fontId="7" fillId="7" borderId="32" xfId="0" applyNumberFormat="1" applyFont="1" applyFill="1" applyBorder="1" applyAlignment="1" applyProtection="1">
      <alignment horizontal="center" vertical="center"/>
      <protection locked="0"/>
    </xf>
    <xf numFmtId="1" fontId="7" fillId="7" borderId="17" xfId="0" applyNumberFormat="1" applyFont="1" applyFill="1" applyBorder="1" applyAlignment="1" applyProtection="1">
      <alignment horizontal="center" vertical="center"/>
      <protection locked="0"/>
    </xf>
    <xf numFmtId="1" fontId="7" fillId="7" borderId="85" xfId="0" applyNumberFormat="1" applyFont="1" applyFill="1" applyBorder="1" applyAlignment="1" applyProtection="1">
      <alignment horizontal="center" vertical="center"/>
      <protection locked="0"/>
    </xf>
    <xf numFmtId="1" fontId="7" fillId="7" borderId="62" xfId="0" applyNumberFormat="1" applyFont="1" applyFill="1" applyBorder="1" applyAlignment="1" applyProtection="1">
      <alignment horizontal="center" vertical="center"/>
      <protection locked="0"/>
    </xf>
    <xf numFmtId="0" fontId="4" fillId="8" borderId="55" xfId="0" applyFont="1" applyFill="1" applyBorder="1" applyAlignment="1" applyProtection="1">
      <alignment vertical="center"/>
      <protection hidden="1"/>
    </xf>
    <xf numFmtId="0" fontId="4" fillId="0" borderId="4" xfId="0" applyFont="1" applyBorder="1" applyAlignment="1">
      <alignment vertical="center"/>
    </xf>
    <xf numFmtId="3" fontId="4" fillId="0" borderId="4" xfId="0" applyNumberFormat="1" applyFont="1" applyBorder="1" applyAlignment="1" applyProtection="1">
      <alignment vertical="center"/>
      <protection hidden="1"/>
    </xf>
    <xf numFmtId="0" fontId="4" fillId="0" borderId="4" xfId="0" applyFont="1" applyBorder="1" applyAlignment="1" applyProtection="1">
      <alignment vertical="center"/>
      <protection hidden="1"/>
    </xf>
    <xf numFmtId="3" fontId="4" fillId="0" borderId="4" xfId="0" applyNumberFormat="1" applyFont="1" applyBorder="1" applyAlignment="1">
      <alignment vertical="center"/>
    </xf>
    <xf numFmtId="0" fontId="4" fillId="0" borderId="3" xfId="0" applyFont="1" applyBorder="1" applyAlignment="1">
      <alignment vertical="center"/>
    </xf>
    <xf numFmtId="167" fontId="7" fillId="0" borderId="0" xfId="0" applyNumberFormat="1" applyFont="1" applyAlignment="1">
      <alignment horizontal="center"/>
    </xf>
    <xf numFmtId="0" fontId="4" fillId="0" borderId="0" xfId="0" applyFont="1" applyAlignment="1">
      <alignment horizontal="left" vertical="center"/>
    </xf>
    <xf numFmtId="17" fontId="0" fillId="0" borderId="0" xfId="0" applyNumberFormat="1" applyAlignment="1">
      <alignment horizontal="center" vertical="center"/>
    </xf>
    <xf numFmtId="1" fontId="6" fillId="3" borderId="0" xfId="0" applyNumberFormat="1" applyFont="1" applyFill="1" applyAlignment="1">
      <alignment horizontal="center"/>
    </xf>
    <xf numFmtId="164" fontId="0" fillId="0" borderId="0" xfId="2" applyNumberFormat="1" applyFont="1"/>
    <xf numFmtId="164" fontId="12" fillId="0" borderId="0" xfId="2" applyNumberFormat="1" applyFont="1"/>
    <xf numFmtId="3" fontId="12" fillId="0" borderId="0" xfId="2" applyNumberFormat="1" applyFont="1"/>
    <xf numFmtId="9" fontId="12" fillId="0" borderId="0" xfId="2" applyFont="1"/>
    <xf numFmtId="1" fontId="6" fillId="0" borderId="0" xfId="0" applyNumberFormat="1" applyFont="1" applyAlignment="1">
      <alignment horizontal="left"/>
    </xf>
    <xf numFmtId="0" fontId="0" fillId="0" borderId="0" xfId="0" applyAlignment="1">
      <alignment horizontal="right" vertical="center"/>
    </xf>
    <xf numFmtId="3" fontId="39" fillId="0" borderId="0" xfId="0" applyNumberFormat="1" applyFont="1" applyAlignment="1">
      <alignment horizontal="right"/>
    </xf>
    <xf numFmtId="0" fontId="39" fillId="0" borderId="0" xfId="0" applyFont="1"/>
    <xf numFmtId="1" fontId="39" fillId="0" borderId="0" xfId="0" applyNumberFormat="1" applyFont="1" applyAlignment="1">
      <alignment horizontal="right"/>
    </xf>
    <xf numFmtId="164" fontId="4" fillId="7" borderId="6" xfId="0" applyNumberFormat="1" applyFont="1" applyFill="1" applyBorder="1" applyAlignment="1" applyProtection="1">
      <alignment vertical="center"/>
      <protection locked="0"/>
    </xf>
    <xf numFmtId="0" fontId="12" fillId="0" borderId="16" xfId="0" applyFont="1" applyBorder="1" applyAlignment="1">
      <alignment horizontal="left" vertical="center"/>
    </xf>
    <xf numFmtId="0" fontId="12" fillId="0" borderId="78" xfId="0" applyFont="1" applyBorder="1" applyAlignment="1">
      <alignment vertical="center"/>
    </xf>
    <xf numFmtId="0" fontId="12" fillId="0" borderId="79" xfId="0" applyFont="1" applyBorder="1" applyAlignment="1">
      <alignment horizontal="right" vertical="center"/>
    </xf>
    <xf numFmtId="0" fontId="11" fillId="0" borderId="0" xfId="0" applyFont="1" applyAlignment="1">
      <alignment horizontal="left" vertical="center"/>
    </xf>
    <xf numFmtId="0" fontId="11" fillId="0" borderId="31" xfId="0" applyFont="1" applyBorder="1" applyAlignment="1">
      <alignment vertical="center"/>
    </xf>
    <xf numFmtId="0" fontId="11" fillId="0" borderId="93" xfId="0" applyFont="1" applyBorder="1" applyAlignment="1">
      <alignment vertical="center"/>
    </xf>
    <xf numFmtId="0" fontId="11" fillId="0" borderId="94" xfId="0" applyFont="1" applyBorder="1" applyAlignment="1">
      <alignment horizontal="right" vertical="center"/>
    </xf>
    <xf numFmtId="0" fontId="11" fillId="0" borderId="93" xfId="0" applyFont="1" applyBorder="1" applyAlignment="1">
      <alignment horizontal="right" vertical="center"/>
    </xf>
    <xf numFmtId="166" fontId="11" fillId="0" borderId="94" xfId="0" applyNumberFormat="1" applyFont="1" applyBorder="1" applyAlignment="1" applyProtection="1">
      <alignment horizontal="right" vertical="center"/>
      <protection locked="0"/>
    </xf>
    <xf numFmtId="0" fontId="0" fillId="0" borderId="2" xfId="0" applyBorder="1" applyAlignment="1">
      <alignment vertical="center"/>
    </xf>
    <xf numFmtId="0" fontId="6" fillId="0" borderId="12" xfId="0" applyFont="1" applyBorder="1" applyAlignment="1">
      <alignment vertical="center"/>
    </xf>
    <xf numFmtId="3" fontId="12" fillId="0" borderId="34" xfId="0" applyNumberFormat="1" applyFont="1" applyBorder="1" applyAlignment="1" applyProtection="1">
      <alignment vertical="center"/>
      <protection hidden="1"/>
    </xf>
    <xf numFmtId="0" fontId="12" fillId="0" borderId="95" xfId="0" applyFont="1" applyBorder="1" applyAlignment="1">
      <alignment vertical="center"/>
    </xf>
    <xf numFmtId="0" fontId="6" fillId="0" borderId="96" xfId="0" applyFont="1" applyBorder="1" applyAlignment="1">
      <alignment horizontal="right" vertical="center"/>
    </xf>
    <xf numFmtId="0" fontId="6" fillId="0" borderId="12" xfId="0" applyFont="1" applyBorder="1" applyAlignment="1" applyProtection="1">
      <alignment vertical="center"/>
      <protection hidden="1"/>
    </xf>
    <xf numFmtId="0" fontId="18" fillId="0" borderId="7"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0" borderId="8" xfId="0" applyFont="1" applyBorder="1" applyAlignment="1" applyProtection="1">
      <alignment vertical="center"/>
      <protection locked="0"/>
    </xf>
    <xf numFmtId="0" fontId="12" fillId="2" borderId="0" xfId="0" applyFont="1" applyFill="1" applyAlignment="1" applyProtection="1">
      <alignment vertical="center"/>
      <protection locked="0"/>
    </xf>
    <xf numFmtId="0" fontId="12" fillId="0" borderId="31" xfId="0" applyFont="1" applyBorder="1" applyAlignment="1" applyProtection="1">
      <alignment vertical="center"/>
      <protection locked="0"/>
    </xf>
    <xf numFmtId="0" fontId="12" fillId="0" borderId="16" xfId="0" applyFont="1" applyBorder="1" applyAlignment="1" applyProtection="1">
      <alignment vertical="center"/>
      <protection locked="0"/>
    </xf>
    <xf numFmtId="0" fontId="12" fillId="2" borderId="16" xfId="0" applyFont="1" applyFill="1" applyBorder="1" applyAlignment="1" applyProtection="1">
      <alignment vertical="center"/>
      <protection locked="0"/>
    </xf>
    <xf numFmtId="0" fontId="12" fillId="0" borderId="60" xfId="0" applyFont="1" applyBorder="1" applyAlignment="1" applyProtection="1">
      <alignment vertical="center"/>
      <protection locked="0"/>
    </xf>
    <xf numFmtId="0" fontId="12" fillId="2" borderId="31" xfId="0" applyFont="1" applyFill="1" applyBorder="1" applyAlignment="1" applyProtection="1">
      <alignment vertical="center"/>
      <protection locked="0"/>
    </xf>
    <xf numFmtId="3" fontId="3" fillId="2" borderId="0" xfId="0" applyNumberFormat="1" applyFont="1" applyFill="1" applyProtection="1">
      <protection hidden="1"/>
    </xf>
    <xf numFmtId="0" fontId="3" fillId="7" borderId="27" xfId="0" applyFont="1" applyFill="1" applyBorder="1" applyAlignment="1" applyProtection="1">
      <alignment horizontal="left" vertical="center"/>
      <protection locked="0"/>
    </xf>
    <xf numFmtId="17" fontId="6" fillId="0" borderId="0" xfId="0" applyNumberFormat="1" applyFont="1"/>
    <xf numFmtId="17" fontId="11" fillId="0" borderId="0" xfId="0" applyNumberFormat="1" applyFont="1"/>
    <xf numFmtId="1" fontId="11" fillId="0" borderId="0" xfId="0" applyNumberFormat="1" applyFont="1"/>
    <xf numFmtId="3" fontId="11" fillId="0" borderId="0" xfId="0" applyNumberFormat="1" applyFont="1"/>
    <xf numFmtId="0" fontId="12" fillId="11" borderId="0" xfId="0" applyFont="1" applyFill="1"/>
    <xf numFmtId="3" fontId="12" fillId="11" borderId="0" xfId="0" applyNumberFormat="1" applyFont="1" applyFill="1"/>
    <xf numFmtId="0" fontId="3" fillId="0" borderId="0" xfId="0" applyFont="1"/>
    <xf numFmtId="0" fontId="29" fillId="0" borderId="16" xfId="0" applyFont="1" applyBorder="1" applyAlignment="1">
      <alignment horizontal="center" vertical="center"/>
    </xf>
    <xf numFmtId="0" fontId="33" fillId="0" borderId="16" xfId="0" applyFont="1" applyBorder="1" applyAlignment="1">
      <alignment horizontal="left" vertical="center"/>
    </xf>
    <xf numFmtId="0" fontId="33" fillId="0" borderId="16" xfId="0" applyFont="1" applyBorder="1" applyAlignment="1">
      <alignment horizontal="center" vertical="center"/>
    </xf>
    <xf numFmtId="0" fontId="11" fillId="0" borderId="55" xfId="0" applyFont="1" applyBorder="1" applyAlignment="1">
      <alignment vertical="center"/>
    </xf>
    <xf numFmtId="0" fontId="12" fillId="0" borderId="63" xfId="0" applyFont="1" applyBorder="1" applyAlignment="1">
      <alignment horizontal="center" vertical="center"/>
    </xf>
    <xf numFmtId="0" fontId="11" fillId="0" borderId="0" xfId="0" applyFont="1" applyAlignment="1">
      <alignment horizontal="center"/>
    </xf>
    <xf numFmtId="0" fontId="11" fillId="0" borderId="12" xfId="0" applyFont="1" applyBorder="1"/>
    <xf numFmtId="17" fontId="11" fillId="0" borderId="2" xfId="0" applyNumberFormat="1" applyFont="1" applyBorder="1"/>
    <xf numFmtId="17" fontId="11" fillId="0" borderId="1" xfId="0" applyNumberFormat="1" applyFont="1" applyBorder="1"/>
    <xf numFmtId="0" fontId="11" fillId="0" borderId="27" xfId="0" applyFont="1" applyBorder="1" applyAlignment="1">
      <alignment horizontal="center"/>
    </xf>
    <xf numFmtId="1" fontId="11" fillId="0" borderId="28" xfId="0" applyNumberFormat="1" applyFont="1" applyBorder="1"/>
    <xf numFmtId="0" fontId="11" fillId="0" borderId="28" xfId="0" applyFont="1" applyBorder="1"/>
    <xf numFmtId="0" fontId="12" fillId="0" borderId="28" xfId="0" applyFont="1" applyBorder="1"/>
    <xf numFmtId="0" fontId="12" fillId="0" borderId="13" xfId="0" applyFont="1" applyBorder="1"/>
    <xf numFmtId="0" fontId="11" fillId="0" borderId="34" xfId="0" applyFont="1" applyBorder="1" applyAlignment="1">
      <alignment horizontal="right"/>
    </xf>
    <xf numFmtId="3" fontId="11" fillId="0" borderId="34" xfId="0" applyNumberFormat="1" applyFont="1" applyBorder="1"/>
    <xf numFmtId="0" fontId="0" fillId="0" borderId="0" xfId="0" applyProtection="1">
      <protection locked="0"/>
    </xf>
    <xf numFmtId="0" fontId="12" fillId="7" borderId="20" xfId="0" applyFont="1" applyFill="1" applyBorder="1" applyAlignment="1" applyProtection="1">
      <alignment vertical="center"/>
      <protection locked="0"/>
    </xf>
    <xf numFmtId="0" fontId="3" fillId="0" borderId="0" xfId="0" applyFont="1" applyAlignment="1">
      <alignment horizontal="right"/>
    </xf>
    <xf numFmtId="0" fontId="5" fillId="0" borderId="34" xfId="0" applyFont="1" applyBorder="1"/>
    <xf numFmtId="3" fontId="5" fillId="0" borderId="16" xfId="0" applyNumberFormat="1" applyFont="1" applyBorder="1" applyAlignment="1">
      <alignment vertical="center"/>
    </xf>
    <xf numFmtId="2" fontId="5" fillId="0" borderId="16" xfId="0" applyNumberFormat="1" applyFont="1" applyBorder="1" applyAlignment="1">
      <alignment vertical="center"/>
    </xf>
    <xf numFmtId="0" fontId="5" fillId="0" borderId="16" xfId="0" applyFont="1" applyBorder="1" applyAlignment="1">
      <alignment vertical="center"/>
    </xf>
    <xf numFmtId="0" fontId="12" fillId="0" borderId="7" xfId="0" applyFont="1" applyBorder="1" applyAlignment="1" applyProtection="1">
      <alignment vertical="center"/>
      <protection locked="0"/>
    </xf>
    <xf numFmtId="0" fontId="12" fillId="0" borderId="45" xfId="0" applyFont="1" applyBorder="1" applyAlignment="1">
      <alignment horizontal="left" vertical="center"/>
    </xf>
    <xf numFmtId="0" fontId="12" fillId="0" borderId="78" xfId="0" applyFont="1" applyBorder="1" applyAlignment="1">
      <alignment horizontal="left" vertical="center"/>
    </xf>
    <xf numFmtId="0" fontId="12" fillId="0" borderId="79" xfId="0" applyFont="1" applyBorder="1" applyAlignment="1">
      <alignment horizontal="left" vertical="center"/>
    </xf>
    <xf numFmtId="0" fontId="11" fillId="0" borderId="0" xfId="0" applyFont="1" applyAlignment="1" applyProtection="1">
      <alignment horizontal="center" vertical="center"/>
      <protection hidden="1"/>
    </xf>
    <xf numFmtId="0" fontId="6" fillId="0" borderId="0" xfId="0" applyFont="1" applyAlignment="1" applyProtection="1">
      <alignment horizontal="center"/>
      <protection hidden="1"/>
    </xf>
    <xf numFmtId="0" fontId="12" fillId="0" borderId="71" xfId="0" applyFont="1" applyBorder="1" applyAlignment="1" applyProtection="1">
      <alignment horizontal="left" vertical="center"/>
      <protection hidden="1"/>
    </xf>
    <xf numFmtId="0" fontId="12" fillId="0" borderId="73" xfId="0" applyFont="1" applyBorder="1" applyAlignment="1" applyProtection="1">
      <alignment horizontal="left" vertical="center"/>
      <protection hidden="1"/>
    </xf>
    <xf numFmtId="0" fontId="12" fillId="0" borderId="73" xfId="0" applyFont="1" applyBorder="1" applyAlignment="1" applyProtection="1">
      <alignment vertical="center"/>
      <protection hidden="1"/>
    </xf>
    <xf numFmtId="3" fontId="12" fillId="0" borderId="34" xfId="0" applyNumberFormat="1" applyFont="1" applyBorder="1" applyAlignment="1">
      <alignment horizontal="right" vertical="center"/>
    </xf>
    <xf numFmtId="0" fontId="12" fillId="0" borderId="0" xfId="0" applyFont="1" applyAlignment="1">
      <alignment horizontal="right" vertical="center"/>
    </xf>
    <xf numFmtId="0" fontId="12" fillId="2" borderId="0" xfId="0" applyFont="1" applyFill="1" applyAlignment="1" applyProtection="1">
      <alignment vertical="center"/>
      <protection hidden="1"/>
    </xf>
    <xf numFmtId="0" fontId="12" fillId="0" borderId="31" xfId="0" applyFont="1" applyBorder="1" applyAlignment="1" applyProtection="1">
      <alignment vertical="center"/>
      <protection hidden="1"/>
    </xf>
    <xf numFmtId="0" fontId="39" fillId="0" borderId="0" xfId="0" applyFont="1" applyAlignment="1" applyProtection="1">
      <alignment horizontal="left" vertical="center"/>
      <protection hidden="1"/>
    </xf>
    <xf numFmtId="3" fontId="4" fillId="0" borderId="0" xfId="0" applyNumberFormat="1" applyFont="1" applyAlignment="1" applyProtection="1">
      <alignment vertical="center"/>
      <protection hidden="1"/>
    </xf>
    <xf numFmtId="1" fontId="12" fillId="3" borderId="17"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7" fillId="0" borderId="121" xfId="0" applyFont="1" applyBorder="1" applyAlignment="1" applyProtection="1">
      <alignment vertical="center"/>
      <protection hidden="1"/>
    </xf>
    <xf numFmtId="0" fontId="7" fillId="0" borderId="121" xfId="0" applyFont="1" applyBorder="1" applyAlignment="1" applyProtection="1">
      <alignment horizontal="left" vertical="center"/>
      <protection hidden="1"/>
    </xf>
    <xf numFmtId="0" fontId="7" fillId="0" borderId="121" xfId="0" applyFont="1" applyBorder="1" applyAlignment="1" applyProtection="1">
      <alignment horizontal="left"/>
      <protection hidden="1"/>
    </xf>
    <xf numFmtId="0" fontId="7" fillId="0" borderId="0" xfId="0" applyFont="1" applyAlignment="1" applyProtection="1">
      <alignment horizontal="center" vertical="center"/>
      <protection hidden="1"/>
    </xf>
    <xf numFmtId="0" fontId="4" fillId="0" borderId="0" xfId="0" applyFont="1" applyProtection="1">
      <protection hidden="1"/>
    </xf>
    <xf numFmtId="167" fontId="4" fillId="0" borderId="0" xfId="0" applyNumberFormat="1" applyFont="1" applyAlignment="1" applyProtection="1">
      <alignment horizontal="center"/>
      <protection hidden="1"/>
    </xf>
    <xf numFmtId="0" fontId="7" fillId="7" borderId="138" xfId="0" applyFont="1" applyFill="1" applyBorder="1" applyAlignment="1" applyProtection="1">
      <alignment vertical="center"/>
      <protection locked="0"/>
    </xf>
    <xf numFmtId="0" fontId="12" fillId="0" borderId="29" xfId="0" applyFont="1" applyBorder="1" applyAlignment="1" applyProtection="1">
      <alignment vertical="center"/>
      <protection hidden="1"/>
    </xf>
    <xf numFmtId="0" fontId="12" fillId="0" borderId="56" xfId="0" applyFont="1" applyBorder="1" applyAlignment="1" applyProtection="1">
      <alignment vertical="center"/>
      <protection hidden="1"/>
    </xf>
    <xf numFmtId="0" fontId="4" fillId="0" borderId="129" xfId="0" applyFont="1" applyBorder="1" applyAlignment="1" applyProtection="1">
      <alignment horizontal="center" vertical="center"/>
      <protection hidden="1"/>
    </xf>
    <xf numFmtId="0" fontId="4" fillId="0" borderId="129" xfId="0" applyFont="1" applyBorder="1" applyAlignment="1" applyProtection="1">
      <alignment vertical="center"/>
      <protection hidden="1"/>
    </xf>
    <xf numFmtId="3" fontId="4" fillId="0" borderId="129" xfId="0" applyNumberFormat="1" applyFont="1" applyBorder="1" applyAlignment="1" applyProtection="1">
      <alignment vertical="center"/>
      <protection hidden="1"/>
    </xf>
    <xf numFmtId="0" fontId="4" fillId="0" borderId="129" xfId="0" applyFont="1" applyBorder="1" applyProtection="1">
      <protection hidden="1"/>
    </xf>
    <xf numFmtId="167" fontId="7" fillId="0" borderId="129" xfId="0" applyNumberFormat="1" applyFont="1" applyBorder="1" applyAlignment="1" applyProtection="1">
      <alignment horizontal="center"/>
      <protection hidden="1"/>
    </xf>
    <xf numFmtId="3" fontId="7" fillId="0" borderId="0" xfId="0" applyNumberFormat="1" applyFont="1" applyAlignment="1" applyProtection="1">
      <alignment horizontal="center" vertical="center"/>
      <protection hidden="1"/>
    </xf>
    <xf numFmtId="167" fontId="7" fillId="0" borderId="0" xfId="0" applyNumberFormat="1" applyFont="1" applyAlignment="1" applyProtection="1">
      <alignment horizontal="right" vertical="center"/>
      <protection hidden="1"/>
    </xf>
    <xf numFmtId="0" fontId="9" fillId="0" borderId="0" xfId="0" applyFont="1" applyAlignment="1" applyProtection="1">
      <alignment horizontal="left"/>
      <protection hidden="1"/>
    </xf>
    <xf numFmtId="0" fontId="3" fillId="2" borderId="0" xfId="0" applyFont="1" applyFill="1"/>
    <xf numFmtId="0" fontId="7" fillId="0" borderId="95" xfId="0" applyFont="1" applyBorder="1" applyAlignment="1">
      <alignment vertical="center"/>
    </xf>
    <xf numFmtId="0" fontId="44" fillId="0" borderId="10" xfId="0" applyFont="1" applyBorder="1" applyAlignment="1">
      <alignment horizontal="left" vertical="center"/>
    </xf>
    <xf numFmtId="0" fontId="12" fillId="0" borderId="140" xfId="0" applyFont="1" applyBorder="1" applyAlignment="1" applyProtection="1">
      <alignment horizontal="left" vertical="center"/>
      <protection hidden="1"/>
    </xf>
    <xf numFmtId="166" fontId="43" fillId="7" borderId="141" xfId="0" applyNumberFormat="1" applyFont="1" applyFill="1" applyBorder="1" applyAlignment="1" applyProtection="1">
      <alignment horizontal="center" vertical="center"/>
      <protection locked="0"/>
    </xf>
    <xf numFmtId="166" fontId="43" fillId="7" borderId="142"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14" fontId="7" fillId="0" borderId="0" xfId="0" applyNumberFormat="1" applyFont="1" applyAlignment="1" applyProtection="1">
      <alignment horizontal="left" vertical="center"/>
      <protection hidden="1"/>
    </xf>
    <xf numFmtId="0" fontId="22" fillId="0" borderId="0" xfId="0" applyFont="1" applyAlignment="1">
      <alignment vertical="center"/>
    </xf>
    <xf numFmtId="0" fontId="3" fillId="0" borderId="65" xfId="0" applyFont="1" applyBorder="1" applyAlignment="1">
      <alignment horizontal="center" vertical="center"/>
    </xf>
    <xf numFmtId="0" fontId="3" fillId="0" borderId="2" xfId="0" applyFont="1" applyBorder="1" applyAlignment="1">
      <alignment horizontal="center" vertical="center"/>
    </xf>
    <xf numFmtId="0" fontId="12" fillId="0" borderId="32" xfId="0" applyFont="1" applyBorder="1" applyAlignment="1">
      <alignment horizontal="center" vertical="center"/>
    </xf>
    <xf numFmtId="0" fontId="7" fillId="0" borderId="114" xfId="0" applyFont="1" applyBorder="1" applyAlignment="1" applyProtection="1">
      <alignment vertical="center"/>
      <protection hidden="1"/>
    </xf>
    <xf numFmtId="0" fontId="0" fillId="0" borderId="108" xfId="0" applyBorder="1"/>
    <xf numFmtId="166" fontId="43" fillId="7" borderId="44" xfId="0" applyNumberFormat="1" applyFont="1" applyFill="1" applyBorder="1" applyAlignment="1" applyProtection="1">
      <alignment horizontal="center"/>
      <protection locked="0"/>
    </xf>
    <xf numFmtId="0" fontId="12" fillId="0" borderId="146" xfId="0" applyFont="1" applyBorder="1" applyAlignment="1">
      <alignment vertical="center"/>
    </xf>
    <xf numFmtId="0" fontId="12" fillId="0" borderId="147" xfId="0" applyFont="1" applyBorder="1" applyAlignment="1">
      <alignment horizontal="right" vertical="center"/>
    </xf>
    <xf numFmtId="0" fontId="12" fillId="0" borderId="147" xfId="0" quotePrefix="1" applyFont="1" applyBorder="1" applyAlignment="1">
      <alignment horizontal="right" vertical="center"/>
    </xf>
    <xf numFmtId="0" fontId="12" fillId="0" borderId="146" xfId="0" applyFont="1" applyBorder="1" applyAlignment="1">
      <alignment vertical="center" wrapText="1"/>
    </xf>
    <xf numFmtId="0" fontId="12" fillId="0" borderId="148" xfId="0" applyFont="1" applyBorder="1" applyAlignment="1" applyProtection="1">
      <alignment horizontal="left" vertical="center"/>
      <protection hidden="1"/>
    </xf>
    <xf numFmtId="0" fontId="12" fillId="0" borderId="148" xfId="0" applyFont="1" applyBorder="1" applyAlignment="1" applyProtection="1">
      <alignment vertical="center"/>
      <protection hidden="1"/>
    </xf>
    <xf numFmtId="0" fontId="12" fillId="0" borderId="145" xfId="0" applyFont="1" applyBorder="1" applyAlignment="1" applyProtection="1">
      <alignment vertical="center"/>
      <protection hidden="1"/>
    </xf>
    <xf numFmtId="0" fontId="12" fillId="0" borderId="27" xfId="0" applyFont="1" applyBorder="1" applyAlignment="1" applyProtection="1">
      <alignment horizontal="left" vertical="center"/>
      <protection hidden="1"/>
    </xf>
    <xf numFmtId="0" fontId="12" fillId="0" borderId="146" xfId="0" applyFont="1" applyBorder="1" applyAlignment="1" applyProtection="1">
      <alignment horizontal="left" vertical="center"/>
      <protection hidden="1"/>
    </xf>
    <xf numFmtId="0" fontId="12" fillId="0" borderId="147" xfId="0" applyFont="1" applyBorder="1" applyAlignment="1" applyProtection="1">
      <alignment horizontal="left" vertical="center"/>
      <protection hidden="1"/>
    </xf>
    <xf numFmtId="0" fontId="37" fillId="0" borderId="147" xfId="0" applyFont="1" applyBorder="1"/>
    <xf numFmtId="0" fontId="0" fillId="0" borderId="146" xfId="0" applyBorder="1"/>
    <xf numFmtId="0" fontId="37" fillId="0" borderId="145" xfId="0" applyFont="1" applyBorder="1"/>
    <xf numFmtId="0" fontId="0" fillId="0" borderId="140" xfId="0" applyBorder="1"/>
    <xf numFmtId="0" fontId="45" fillId="0" borderId="140" xfId="0" applyFont="1" applyBorder="1" applyAlignment="1" applyProtection="1">
      <alignment horizontal="left" vertical="center"/>
      <protection hidden="1"/>
    </xf>
    <xf numFmtId="0" fontId="37" fillId="0" borderId="84" xfId="0" applyFont="1" applyBorder="1"/>
    <xf numFmtId="0" fontId="12" fillId="0" borderId="41" xfId="0" applyFont="1" applyBorder="1" applyAlignment="1" applyProtection="1">
      <alignment horizontal="left" vertical="center"/>
      <protection hidden="1"/>
    </xf>
    <xf numFmtId="0" fontId="12" fillId="0" borderId="146" xfId="0" applyFont="1" applyBorder="1" applyProtection="1">
      <protection hidden="1"/>
    </xf>
    <xf numFmtId="0" fontId="12" fillId="0" borderId="147" xfId="0" applyFont="1" applyBorder="1" applyProtection="1">
      <protection hidden="1"/>
    </xf>
    <xf numFmtId="0" fontId="12" fillId="0" borderId="148" xfId="0" applyFont="1" applyBorder="1" applyProtection="1">
      <protection hidden="1"/>
    </xf>
    <xf numFmtId="0" fontId="12" fillId="0" borderId="145" xfId="0" applyFont="1" applyBorder="1" applyProtection="1">
      <protection hidden="1"/>
    </xf>
    <xf numFmtId="0" fontId="12" fillId="0" borderId="146" xfId="0" quotePrefix="1" applyFont="1" applyBorder="1" applyAlignment="1">
      <alignment horizontal="left" vertical="center"/>
    </xf>
    <xf numFmtId="3" fontId="12" fillId="0" borderId="147" xfId="0" applyNumberFormat="1" applyFont="1" applyBorder="1" applyAlignment="1" applyProtection="1">
      <alignment horizontal="right" vertical="center"/>
      <protection locked="0"/>
    </xf>
    <xf numFmtId="3" fontId="12" fillId="0" borderId="147" xfId="0" quotePrefix="1" applyNumberFormat="1" applyFont="1" applyBorder="1" applyAlignment="1" applyProtection="1">
      <alignment horizontal="right" vertical="center"/>
      <protection locked="0"/>
    </xf>
    <xf numFmtId="0" fontId="12" fillId="0" borderId="148" xfId="0" applyFont="1" applyBorder="1" applyAlignment="1">
      <alignment horizontal="left" vertical="center"/>
    </xf>
    <xf numFmtId="3" fontId="12" fillId="0" borderId="145" xfId="0" applyNumberFormat="1" applyFont="1" applyBorder="1" applyAlignment="1" applyProtection="1">
      <alignment horizontal="right" vertical="center" wrapText="1"/>
      <protection hidden="1"/>
    </xf>
    <xf numFmtId="0" fontId="12" fillId="0" borderId="146" xfId="0" applyFont="1" applyBorder="1" applyAlignment="1">
      <alignment horizontal="left" vertical="center"/>
    </xf>
    <xf numFmtId="0" fontId="12" fillId="0" borderId="149" xfId="0" applyFont="1" applyBorder="1" applyAlignment="1" applyProtection="1">
      <alignment horizontal="left" vertical="center"/>
      <protection hidden="1"/>
    </xf>
    <xf numFmtId="0" fontId="12" fillId="0" borderId="150" xfId="0" applyFont="1" applyBorder="1" applyAlignment="1" applyProtection="1">
      <alignment vertical="center"/>
      <protection hidden="1"/>
    </xf>
    <xf numFmtId="0" fontId="12" fillId="0" borderId="149" xfId="0" applyFont="1" applyBorder="1"/>
    <xf numFmtId="0" fontId="0" fillId="0" borderId="149" xfId="0" applyBorder="1"/>
    <xf numFmtId="0" fontId="0" fillId="0" borderId="150" xfId="0" applyBorder="1"/>
    <xf numFmtId="0" fontId="12" fillId="0" borderId="150" xfId="0" applyFont="1" applyBorder="1" applyAlignment="1" applyProtection="1">
      <alignment horizontal="left" vertical="center"/>
      <protection hidden="1"/>
    </xf>
    <xf numFmtId="14" fontId="7" fillId="0" borderId="0" xfId="0" applyNumberFormat="1" applyFont="1" applyProtection="1">
      <protection hidden="1"/>
    </xf>
    <xf numFmtId="0" fontId="11" fillId="0" borderId="0" xfId="0" applyFont="1" applyAlignment="1">
      <alignment horizontal="right"/>
    </xf>
    <xf numFmtId="0" fontId="12" fillId="0" borderId="46" xfId="0" applyFont="1" applyBorder="1" applyAlignment="1">
      <alignment horizontal="left" vertical="center"/>
    </xf>
    <xf numFmtId="0" fontId="6" fillId="0" borderId="31" xfId="0" applyFont="1" applyBorder="1" applyAlignment="1">
      <alignment vertical="center"/>
    </xf>
    <xf numFmtId="167" fontId="6" fillId="0" borderId="0" xfId="0" applyNumberFormat="1" applyFont="1" applyAlignment="1">
      <alignment horizontal="center"/>
    </xf>
    <xf numFmtId="167" fontId="0" fillId="0" borderId="17" xfId="0" applyNumberFormat="1" applyBorder="1"/>
    <xf numFmtId="0" fontId="5" fillId="0" borderId="2" xfId="0" applyFont="1" applyBorder="1"/>
    <xf numFmtId="0" fontId="5" fillId="0" borderId="1" xfId="0" applyFont="1" applyBorder="1"/>
    <xf numFmtId="0" fontId="42" fillId="0" borderId="0" xfId="0" applyFont="1" applyAlignment="1" applyProtection="1">
      <alignment vertical="center"/>
      <protection locked="0"/>
    </xf>
    <xf numFmtId="0" fontId="12" fillId="0" borderId="11" xfId="0" applyFont="1" applyBorder="1" applyAlignment="1" applyProtection="1">
      <alignment vertical="center"/>
      <protection locked="0"/>
    </xf>
    <xf numFmtId="0" fontId="12" fillId="8" borderId="10" xfId="0" applyFont="1" applyFill="1" applyBorder="1" applyAlignment="1">
      <alignment horizontal="left"/>
    </xf>
    <xf numFmtId="3" fontId="12" fillId="0" borderId="17" xfId="0" applyNumberFormat="1" applyFont="1" applyBorder="1"/>
    <xf numFmtId="0" fontId="12" fillId="0" borderId="43" xfId="0" applyFont="1" applyBorder="1" applyAlignment="1" applyProtection="1">
      <alignment vertical="center"/>
      <protection hidden="1"/>
    </xf>
    <xf numFmtId="0" fontId="11" fillId="0" borderId="0" xfId="0" applyFont="1" applyAlignment="1">
      <alignment horizontal="right" vertical="top"/>
    </xf>
    <xf numFmtId="0" fontId="41" fillId="0" borderId="7" xfId="0" applyFont="1" applyBorder="1" applyAlignment="1" applyProtection="1">
      <alignment horizontal="center" vertical="center"/>
      <protection locked="0" hidden="1"/>
    </xf>
    <xf numFmtId="0" fontId="12" fillId="0" borderId="34" xfId="0" applyFont="1" applyBorder="1" applyAlignment="1">
      <alignment horizontal="left" vertical="center"/>
    </xf>
    <xf numFmtId="0" fontId="7" fillId="3" borderId="65" xfId="0" applyFont="1" applyFill="1" applyBorder="1" applyAlignment="1">
      <alignment horizontal="center" vertical="center"/>
    </xf>
    <xf numFmtId="0" fontId="7" fillId="3" borderId="65" xfId="0" applyFont="1" applyFill="1" applyBorder="1" applyAlignment="1">
      <alignment horizontal="center" vertical="center" wrapText="1"/>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4" fillId="0" borderId="55" xfId="0" applyFont="1" applyBorder="1" applyAlignment="1">
      <alignment horizontal="center" vertical="center"/>
    </xf>
    <xf numFmtId="0" fontId="12" fillId="7" borderId="10" xfId="0" applyFont="1" applyFill="1" applyBorder="1" applyAlignment="1" applyProtection="1">
      <alignment vertical="center"/>
      <protection locked="0"/>
    </xf>
    <xf numFmtId="0" fontId="12" fillId="7" borderId="44" xfId="0" applyFont="1" applyFill="1" applyBorder="1" applyAlignment="1" applyProtection="1">
      <alignment vertical="center"/>
      <protection locked="0"/>
    </xf>
    <xf numFmtId="0" fontId="12" fillId="0" borderId="44" xfId="0" applyFont="1" applyBorder="1" applyAlignment="1">
      <alignment vertical="center"/>
    </xf>
    <xf numFmtId="0" fontId="4" fillId="0" borderId="53" xfId="0" applyFont="1" applyBorder="1" applyAlignment="1">
      <alignment vertical="center"/>
    </xf>
    <xf numFmtId="0" fontId="7" fillId="7" borderId="85" xfId="0" applyFont="1" applyFill="1" applyBorder="1" applyAlignment="1" applyProtection="1">
      <alignment horizontal="center" vertical="center"/>
      <protection locked="0"/>
    </xf>
    <xf numFmtId="0" fontId="4" fillId="0" borderId="15" xfId="0" applyFont="1" applyBorder="1" applyAlignment="1">
      <alignment vertical="center"/>
    </xf>
    <xf numFmtId="0" fontId="4" fillId="0" borderId="13" xfId="0" applyFont="1" applyBorder="1" applyAlignment="1">
      <alignment vertical="center"/>
    </xf>
    <xf numFmtId="0" fontId="4" fillId="3" borderId="82" xfId="0" applyFont="1" applyFill="1" applyBorder="1" applyAlignment="1">
      <alignment horizontal="left" vertical="center"/>
    </xf>
    <xf numFmtId="0" fontId="7" fillId="0" borderId="4" xfId="0" applyFont="1" applyBorder="1" applyAlignment="1">
      <alignment horizontal="left" vertical="center"/>
    </xf>
    <xf numFmtId="3" fontId="7" fillId="0" borderId="4" xfId="0" applyNumberFormat="1" applyFont="1" applyBorder="1" applyAlignment="1">
      <alignment vertical="center"/>
    </xf>
    <xf numFmtId="1" fontId="7" fillId="0" borderId="4" xfId="0" applyNumberFormat="1" applyFont="1" applyBorder="1" applyAlignment="1">
      <alignment horizontal="center" vertical="center"/>
    </xf>
    <xf numFmtId="164" fontId="7" fillId="0" borderId="4" xfId="0" applyNumberFormat="1" applyFont="1" applyBorder="1" applyAlignment="1">
      <alignment vertical="center"/>
    </xf>
    <xf numFmtId="3" fontId="7" fillId="0" borderId="4" xfId="0" applyNumberFormat="1" applyFont="1" applyBorder="1" applyAlignment="1">
      <alignment horizontal="right" vertical="center"/>
    </xf>
    <xf numFmtId="3" fontId="7" fillId="0" borderId="4" xfId="0" applyNumberFormat="1" applyFont="1" applyBorder="1" applyAlignment="1" applyProtection="1">
      <alignment horizontal="right" vertical="center"/>
      <protection hidden="1"/>
    </xf>
    <xf numFmtId="3" fontId="7" fillId="0" borderId="4" xfId="0" applyNumberFormat="1" applyFont="1" applyBorder="1" applyAlignment="1" applyProtection="1">
      <alignment vertical="center"/>
      <protection hidden="1"/>
    </xf>
    <xf numFmtId="3" fontId="12" fillId="0" borderId="23" xfId="0" applyNumberFormat="1" applyFont="1" applyBorder="1" applyAlignment="1" applyProtection="1">
      <alignment horizontal="center" vertical="center"/>
      <protection hidden="1"/>
    </xf>
    <xf numFmtId="3" fontId="12" fillId="0" borderId="60" xfId="0" applyNumberFormat="1" applyFont="1" applyBorder="1" applyAlignment="1" applyProtection="1">
      <alignment horizontal="center" vertical="center"/>
      <protection hidden="1"/>
    </xf>
    <xf numFmtId="49" fontId="11" fillId="0" borderId="6" xfId="0" applyNumberFormat="1" applyFont="1" applyBorder="1" applyAlignment="1" applyProtection="1">
      <alignment horizontal="left" vertical="center"/>
      <protection hidden="1"/>
    </xf>
    <xf numFmtId="0" fontId="0" fillId="0" borderId="73" xfId="0" applyBorder="1"/>
    <xf numFmtId="0" fontId="12" fillId="0" borderId="159" xfId="0" applyFont="1" applyBorder="1" applyAlignment="1" applyProtection="1">
      <alignment horizontal="left" vertical="center"/>
      <protection hidden="1"/>
    </xf>
    <xf numFmtId="0" fontId="12" fillId="0" borderId="160" xfId="0" applyFont="1" applyBorder="1" applyAlignment="1" applyProtection="1">
      <alignment horizontal="left" vertical="center"/>
      <protection hidden="1"/>
    </xf>
    <xf numFmtId="0" fontId="12" fillId="0" borderId="161" xfId="0" applyFont="1" applyBorder="1" applyAlignment="1" applyProtection="1">
      <alignment horizontal="left" vertical="center"/>
      <protection hidden="1"/>
    </xf>
    <xf numFmtId="0" fontId="6" fillId="0" borderId="158" xfId="0" applyFont="1" applyBorder="1" applyProtection="1">
      <protection hidden="1"/>
    </xf>
    <xf numFmtId="0" fontId="5" fillId="0" borderId="162" xfId="0" applyFont="1" applyBorder="1" applyProtection="1">
      <protection hidden="1"/>
    </xf>
    <xf numFmtId="0" fontId="6" fillId="0" borderId="163" xfId="0" applyFont="1" applyBorder="1" applyAlignment="1" applyProtection="1">
      <alignment vertical="center"/>
      <protection hidden="1"/>
    </xf>
    <xf numFmtId="0" fontId="0" fillId="0" borderId="164" xfId="0" applyBorder="1" applyProtection="1">
      <protection hidden="1"/>
    </xf>
    <xf numFmtId="0" fontId="0" fillId="0" borderId="165" xfId="0" applyBorder="1" applyProtection="1">
      <protection hidden="1"/>
    </xf>
    <xf numFmtId="0" fontId="45" fillId="0" borderId="150" xfId="0" applyFont="1" applyBorder="1" applyAlignment="1" applyProtection="1">
      <alignment horizontal="left" vertical="center"/>
      <protection hidden="1"/>
    </xf>
    <xf numFmtId="0" fontId="12" fillId="0" borderId="20" xfId="0" applyFont="1" applyBorder="1" applyAlignment="1" applyProtection="1">
      <alignment horizontal="center" vertical="center"/>
      <protection hidden="1"/>
    </xf>
    <xf numFmtId="0" fontId="12" fillId="3" borderId="20" xfId="0" applyFont="1" applyFill="1" applyBorder="1" applyAlignment="1" applyProtection="1">
      <alignment horizontal="center" vertical="center"/>
      <protection hidden="1"/>
    </xf>
    <xf numFmtId="0" fontId="5" fillId="0" borderId="52" xfId="0" applyFont="1" applyBorder="1" applyAlignment="1" applyProtection="1">
      <alignment horizontal="left" vertical="center"/>
      <protection hidden="1"/>
    </xf>
    <xf numFmtId="0" fontId="12" fillId="0" borderId="168" xfId="0" applyFont="1" applyBorder="1" applyAlignment="1" applyProtection="1">
      <alignment horizontal="left" vertical="center"/>
      <protection hidden="1"/>
    </xf>
    <xf numFmtId="0" fontId="12" fillId="0" borderId="17" xfId="0" applyFont="1" applyBorder="1" applyAlignment="1">
      <alignment horizontal="center" vertical="center" wrapText="1"/>
    </xf>
    <xf numFmtId="4" fontId="3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41" fillId="0" borderId="25" xfId="0" applyFont="1" applyBorder="1" applyAlignment="1" applyProtection="1">
      <alignment vertical="center"/>
      <protection hidden="1"/>
    </xf>
    <xf numFmtId="164" fontId="12" fillId="0" borderId="10" xfId="0" applyNumberFormat="1" applyFont="1" applyBorder="1" applyAlignment="1" applyProtection="1">
      <alignment horizontal="center" vertical="center"/>
      <protection hidden="1"/>
    </xf>
    <xf numFmtId="0" fontId="3" fillId="0" borderId="147" xfId="0" applyFont="1" applyBorder="1"/>
    <xf numFmtId="49" fontId="7" fillId="7" borderId="54" xfId="0" applyNumberFormat="1" applyFont="1" applyFill="1" applyBorder="1" applyAlignment="1" applyProtection="1">
      <alignment horizontal="left" vertical="center"/>
      <protection locked="0"/>
    </xf>
    <xf numFmtId="49" fontId="7" fillId="7" borderId="53" xfId="0" applyNumberFormat="1" applyFont="1" applyFill="1" applyBorder="1" applyAlignment="1" applyProtection="1">
      <alignment horizontal="left" vertical="center"/>
      <protection locked="0"/>
    </xf>
    <xf numFmtId="49" fontId="7" fillId="7" borderId="87" xfId="0" applyNumberFormat="1" applyFont="1" applyFill="1" applyBorder="1" applyAlignment="1" applyProtection="1">
      <alignment horizontal="left" vertical="center"/>
      <protection locked="0"/>
    </xf>
    <xf numFmtId="49" fontId="7" fillId="7" borderId="38" xfId="0" applyNumberFormat="1" applyFont="1" applyFill="1" applyBorder="1" applyAlignment="1" applyProtection="1">
      <alignment horizontal="left" vertical="center"/>
      <protection locked="0"/>
    </xf>
    <xf numFmtId="0" fontId="12" fillId="0" borderId="23" xfId="0" applyFont="1" applyBorder="1" applyAlignment="1" applyProtection="1">
      <alignment vertical="center"/>
      <protection locked="0"/>
    </xf>
    <xf numFmtId="0" fontId="0" fillId="0" borderId="0" xfId="0"/>
    <xf numFmtId="0" fontId="11" fillId="0" borderId="0" xfId="0" applyFont="1" applyAlignment="1" applyProtection="1">
      <alignment horizontal="right" vertical="top" wrapText="1"/>
      <protection hidden="1"/>
    </xf>
    <xf numFmtId="0" fontId="0" fillId="0" borderId="0" xfId="0"/>
    <xf numFmtId="0" fontId="12" fillId="0" borderId="0" xfId="0" applyFont="1" applyAlignment="1">
      <alignment horizontal="left" vertical="center"/>
    </xf>
    <xf numFmtId="3" fontId="7" fillId="7" borderId="44" xfId="0" applyNumberFormat="1" applyFont="1" applyFill="1" applyBorder="1" applyAlignment="1" applyProtection="1">
      <alignment horizontal="center" vertical="center"/>
      <protection locked="0"/>
    </xf>
    <xf numFmtId="0" fontId="12" fillId="0" borderId="146" xfId="0" applyFont="1" applyBorder="1" applyAlignment="1">
      <alignment horizontal="left" vertical="center" wrapText="1"/>
    </xf>
    <xf numFmtId="0" fontId="12" fillId="0" borderId="146" xfId="0" applyFont="1" applyBorder="1" applyAlignment="1">
      <alignment horizontal="left" vertical="center"/>
    </xf>
    <xf numFmtId="0" fontId="12" fillId="0" borderId="0" xfId="0" applyFont="1" applyAlignment="1">
      <alignment horizontal="left" vertical="center" wrapText="1"/>
    </xf>
    <xf numFmtId="14" fontId="7" fillId="0" borderId="0" xfId="0" applyNumberFormat="1" applyFont="1" applyAlignment="1" applyProtection="1">
      <alignment horizontal="left" vertical="center"/>
      <protection hidden="1"/>
    </xf>
    <xf numFmtId="0" fontId="12" fillId="0" borderId="0" xfId="0" applyFont="1" applyAlignment="1">
      <alignment shrinkToFit="1"/>
    </xf>
    <xf numFmtId="0" fontId="0" fillId="0" borderId="0" xfId="0"/>
    <xf numFmtId="0" fontId="4" fillId="3" borderId="16" xfId="0" applyFont="1" applyFill="1" applyBorder="1" applyAlignment="1">
      <alignment horizontal="center" vertical="center"/>
    </xf>
    <xf numFmtId="3" fontId="12" fillId="7" borderId="17" xfId="0" applyNumberFormat="1"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3" fontId="12" fillId="7" borderId="17" xfId="0" applyNumberFormat="1" applyFont="1" applyFill="1" applyBorder="1" applyAlignment="1" applyProtection="1">
      <alignment horizontal="center"/>
      <protection locked="0"/>
    </xf>
    <xf numFmtId="3" fontId="6" fillId="0" borderId="36" xfId="0" applyNumberFormat="1" applyFont="1" applyBorder="1" applyAlignment="1" applyProtection="1">
      <alignment horizontal="center" vertical="center"/>
      <protection hidden="1"/>
    </xf>
    <xf numFmtId="3" fontId="12" fillId="7" borderId="32" xfId="0" applyNumberFormat="1" applyFont="1" applyFill="1" applyBorder="1" applyAlignment="1" applyProtection="1">
      <alignment horizontal="center" vertical="center"/>
      <protection locked="0"/>
    </xf>
    <xf numFmtId="3" fontId="12" fillId="7" borderId="23"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protection hidden="1"/>
    </xf>
    <xf numFmtId="3" fontId="12" fillId="7" borderId="32" xfId="0" applyNumberFormat="1" applyFont="1" applyFill="1" applyBorder="1" applyAlignment="1" applyProtection="1">
      <alignment horizontal="center"/>
      <protection locked="0"/>
    </xf>
    <xf numFmtId="3" fontId="12" fillId="7" borderId="23" xfId="0" applyNumberFormat="1" applyFont="1" applyFill="1" applyBorder="1" applyAlignment="1" applyProtection="1">
      <alignment horizontal="center"/>
      <protection locked="0"/>
    </xf>
    <xf numFmtId="0" fontId="12" fillId="0" borderId="19" xfId="0" applyFont="1" applyBorder="1" applyAlignment="1" applyProtection="1">
      <alignment horizontal="center"/>
      <protection hidden="1"/>
    </xf>
    <xf numFmtId="0" fontId="12" fillId="0" borderId="18" xfId="0" applyFont="1" applyBorder="1" applyAlignment="1" applyProtection="1">
      <alignment horizontal="center"/>
      <protection hidden="1"/>
    </xf>
    <xf numFmtId="0" fontId="12" fillId="0" borderId="61" xfId="0" applyFont="1" applyBorder="1" applyAlignment="1" applyProtection="1">
      <alignment horizontal="center"/>
      <protection hidden="1"/>
    </xf>
    <xf numFmtId="0" fontId="12" fillId="0" borderId="25" xfId="0" applyFont="1" applyBorder="1" applyAlignment="1" applyProtection="1">
      <alignment horizontal="center"/>
      <protection hidden="1"/>
    </xf>
    <xf numFmtId="3" fontId="12" fillId="0" borderId="17" xfId="0" applyNumberFormat="1" applyFont="1" applyBorder="1" applyAlignment="1" applyProtection="1">
      <alignment horizontal="center"/>
      <protection hidden="1"/>
    </xf>
    <xf numFmtId="3" fontId="6" fillId="0" borderId="36" xfId="0" applyNumberFormat="1" applyFont="1" applyBorder="1" applyAlignment="1" applyProtection="1">
      <alignment horizontal="center"/>
      <protection hidden="1"/>
    </xf>
    <xf numFmtId="3" fontId="5" fillId="7" borderId="17" xfId="0" applyNumberFormat="1" applyFont="1" applyFill="1" applyBorder="1" applyAlignment="1" applyProtection="1">
      <alignment horizontal="center" vertical="center"/>
      <protection locked="0"/>
    </xf>
    <xf numFmtId="4" fontId="41" fillId="0" borderId="27" xfId="0" applyNumberFormat="1" applyFont="1" applyBorder="1" applyAlignment="1" applyProtection="1">
      <alignment vertical="center"/>
      <protection hidden="1"/>
    </xf>
    <xf numFmtId="4" fontId="41" fillId="0" borderId="0" xfId="0" applyNumberFormat="1" applyFont="1" applyAlignment="1" applyProtection="1">
      <alignment vertical="center"/>
      <protection hidden="1"/>
    </xf>
    <xf numFmtId="4" fontId="41" fillId="0" borderId="4" xfId="0" applyNumberFormat="1" applyFont="1" applyBorder="1" applyAlignment="1" applyProtection="1">
      <alignment vertical="center"/>
      <protection hidden="1"/>
    </xf>
    <xf numFmtId="3" fontId="7" fillId="7" borderId="32" xfId="0" applyNumberFormat="1" applyFont="1" applyFill="1" applyBorder="1" applyAlignment="1" applyProtection="1">
      <alignment horizontal="center" vertical="center"/>
      <protection locked="0"/>
    </xf>
    <xf numFmtId="164" fontId="7" fillId="7" borderId="33" xfId="2" applyNumberFormat="1" applyFont="1" applyFill="1" applyBorder="1" applyAlignment="1" applyProtection="1">
      <alignment horizontal="center" vertical="center"/>
      <protection locked="0"/>
    </xf>
    <xf numFmtId="3" fontId="7" fillId="0" borderId="30" xfId="0" applyNumberFormat="1" applyFont="1" applyBorder="1" applyAlignment="1" applyProtection="1">
      <alignment horizontal="center" vertical="center"/>
      <protection hidden="1"/>
    </xf>
    <xf numFmtId="3" fontId="7" fillId="0" borderId="58" xfId="0" applyNumberFormat="1" applyFont="1" applyBorder="1" applyAlignment="1" applyProtection="1">
      <alignment horizontal="center" vertical="center"/>
      <protection hidden="1"/>
    </xf>
    <xf numFmtId="3" fontId="7" fillId="7" borderId="17" xfId="0" applyNumberFormat="1" applyFont="1" applyFill="1" applyBorder="1" applyAlignment="1" applyProtection="1">
      <alignment horizontal="center" vertical="center"/>
      <protection locked="0"/>
    </xf>
    <xf numFmtId="164" fontId="7" fillId="7" borderId="35" xfId="2" applyNumberFormat="1" applyFont="1" applyFill="1" applyBorder="1" applyAlignment="1" applyProtection="1">
      <alignment horizontal="center" vertical="center"/>
      <protection locked="0"/>
    </xf>
    <xf numFmtId="3" fontId="7" fillId="0" borderId="35" xfId="0" applyNumberFormat="1" applyFont="1" applyBorder="1" applyAlignment="1" applyProtection="1">
      <alignment horizontal="center" vertical="center"/>
      <protection hidden="1"/>
    </xf>
    <xf numFmtId="3" fontId="7" fillId="7" borderId="85" xfId="0" applyNumberFormat="1" applyFont="1" applyFill="1" applyBorder="1" applyAlignment="1" applyProtection="1">
      <alignment horizontal="center" vertical="center"/>
      <protection locked="0"/>
    </xf>
    <xf numFmtId="164" fontId="7" fillId="7" borderId="88" xfId="2" applyNumberFormat="1" applyFont="1" applyFill="1" applyBorder="1" applyAlignment="1" applyProtection="1">
      <alignment horizontal="center" vertical="center"/>
      <protection locked="0"/>
    </xf>
    <xf numFmtId="3" fontId="7" fillId="0" borderId="88" xfId="0" applyNumberFormat="1" applyFont="1" applyBorder="1" applyAlignment="1" applyProtection="1">
      <alignment horizontal="center" vertical="center"/>
      <protection hidden="1"/>
    </xf>
    <xf numFmtId="3" fontId="4" fillId="0" borderId="61" xfId="0" applyNumberFormat="1" applyFont="1" applyBorder="1" applyAlignment="1" applyProtection="1">
      <alignment horizontal="center" vertical="center"/>
      <protection hidden="1"/>
    </xf>
    <xf numFmtId="3" fontId="4" fillId="0" borderId="58" xfId="0" applyNumberFormat="1" applyFont="1" applyBorder="1" applyAlignment="1" applyProtection="1">
      <alignment horizontal="center" vertical="center"/>
      <protection hidden="1"/>
    </xf>
    <xf numFmtId="3" fontId="4" fillId="0" borderId="4" xfId="0" applyNumberFormat="1" applyFont="1" applyBorder="1" applyAlignment="1" applyProtection="1">
      <alignment horizontal="center" vertical="center"/>
      <protection hidden="1"/>
    </xf>
    <xf numFmtId="0" fontId="4" fillId="5" borderId="4" xfId="0" applyFont="1" applyFill="1" applyBorder="1" applyAlignment="1">
      <alignment horizontal="center" vertical="center"/>
    </xf>
    <xf numFmtId="164" fontId="4" fillId="7" borderId="67" xfId="2" applyNumberFormat="1" applyFont="1" applyFill="1" applyBorder="1" applyAlignment="1" applyProtection="1">
      <alignment horizontal="center" vertical="center"/>
      <protection locked="0"/>
    </xf>
    <xf numFmtId="3" fontId="4" fillId="0" borderId="67" xfId="0" applyNumberFormat="1" applyFont="1" applyBorder="1" applyAlignment="1" applyProtection="1">
      <alignment horizontal="center" vertical="center"/>
      <protection hidden="1"/>
    </xf>
    <xf numFmtId="164" fontId="7" fillId="7" borderId="23" xfId="0" applyNumberFormat="1" applyFont="1" applyFill="1" applyBorder="1" applyAlignment="1" applyProtection="1">
      <alignment horizontal="center" vertical="center"/>
      <protection locked="0"/>
    </xf>
    <xf numFmtId="3" fontId="7" fillId="7" borderId="54" xfId="0" applyNumberFormat="1" applyFont="1" applyFill="1" applyBorder="1" applyAlignment="1" applyProtection="1">
      <alignment horizontal="center" vertical="center"/>
      <protection locked="0"/>
    </xf>
    <xf numFmtId="3" fontId="7" fillId="7" borderId="16" xfId="0" applyNumberFormat="1" applyFont="1" applyFill="1" applyBorder="1" applyAlignment="1" applyProtection="1">
      <alignment horizontal="center" vertical="center"/>
      <protection locked="0"/>
    </xf>
    <xf numFmtId="3" fontId="7" fillId="0" borderId="23" xfId="0" applyNumberFormat="1" applyFont="1" applyBorder="1" applyAlignment="1" applyProtection="1">
      <alignment horizontal="center" vertical="center"/>
      <protection hidden="1"/>
    </xf>
    <xf numFmtId="3" fontId="7" fillId="0" borderId="54" xfId="0" applyNumberFormat="1" applyFont="1" applyBorder="1" applyAlignment="1" applyProtection="1">
      <alignment horizontal="center" vertical="center"/>
      <protection hidden="1"/>
    </xf>
    <xf numFmtId="3" fontId="7" fillId="0" borderId="33" xfId="0" applyNumberFormat="1" applyFont="1" applyBorder="1" applyAlignment="1" applyProtection="1">
      <alignment horizontal="center" vertical="center"/>
      <protection hidden="1"/>
    </xf>
    <xf numFmtId="3" fontId="7" fillId="0" borderId="16" xfId="0" applyNumberFormat="1" applyFont="1" applyBorder="1" applyAlignment="1" applyProtection="1">
      <alignment horizontal="center" vertical="center"/>
      <protection hidden="1"/>
    </xf>
    <xf numFmtId="3" fontId="7" fillId="0" borderId="16" xfId="0" applyNumberFormat="1" applyFont="1" applyBorder="1" applyAlignment="1">
      <alignment horizontal="center" vertical="center"/>
    </xf>
    <xf numFmtId="3" fontId="7" fillId="0" borderId="23" xfId="0" applyNumberFormat="1" applyFont="1" applyBorder="1" applyAlignment="1">
      <alignment horizontal="center" vertical="center"/>
    </xf>
    <xf numFmtId="164" fontId="7" fillId="7" borderId="20" xfId="0" applyNumberFormat="1" applyFont="1" applyFill="1" applyBorder="1" applyAlignment="1" applyProtection="1">
      <alignment horizontal="center" vertical="center"/>
      <protection locked="0"/>
    </xf>
    <xf numFmtId="3" fontId="7" fillId="7" borderId="38" xfId="0" applyNumberFormat="1" applyFont="1" applyFill="1" applyBorder="1" applyAlignment="1" applyProtection="1">
      <alignment horizontal="center" vertical="center"/>
      <protection locked="0"/>
    </xf>
    <xf numFmtId="3" fontId="7" fillId="0" borderId="53" xfId="0" applyNumberFormat="1" applyFont="1" applyBorder="1" applyAlignment="1" applyProtection="1">
      <alignment horizontal="center" vertical="center"/>
      <protection hidden="1"/>
    </xf>
    <xf numFmtId="3" fontId="7" fillId="0" borderId="0" xfId="0" applyNumberFormat="1" applyFont="1" applyAlignment="1">
      <alignment horizontal="center" vertical="center"/>
    </xf>
    <xf numFmtId="3" fontId="7" fillId="0" borderId="25" xfId="0" applyNumberFormat="1" applyFont="1" applyBorder="1" applyAlignment="1">
      <alignment horizontal="center" vertical="center"/>
    </xf>
    <xf numFmtId="3" fontId="7" fillId="0" borderId="25" xfId="0" applyNumberFormat="1" applyFont="1" applyBorder="1" applyAlignment="1" applyProtection="1">
      <alignment horizontal="center" vertical="center"/>
      <protection hidden="1"/>
    </xf>
    <xf numFmtId="164" fontId="7" fillId="7" borderId="89" xfId="0" applyNumberFormat="1" applyFont="1" applyFill="1" applyBorder="1" applyAlignment="1" applyProtection="1">
      <alignment horizontal="center" vertical="center"/>
      <protection locked="0"/>
    </xf>
    <xf numFmtId="3" fontId="7" fillId="0" borderId="87" xfId="0" applyNumberFormat="1" applyFont="1" applyBorder="1" applyAlignment="1" applyProtection="1">
      <alignment horizontal="center" vertical="center"/>
      <protection hidden="1"/>
    </xf>
    <xf numFmtId="3" fontId="7" fillId="0" borderId="90" xfId="0" applyNumberFormat="1" applyFont="1" applyBorder="1" applyAlignment="1">
      <alignment horizontal="center" vertical="center"/>
    </xf>
    <xf numFmtId="3" fontId="7" fillId="0" borderId="89" xfId="0" applyNumberFormat="1" applyFont="1" applyBorder="1" applyAlignment="1">
      <alignment horizontal="center" vertical="center"/>
    </xf>
    <xf numFmtId="3" fontId="7" fillId="0" borderId="89" xfId="0" applyNumberFormat="1" applyFont="1" applyBorder="1" applyAlignment="1" applyProtection="1">
      <alignment horizontal="center" vertical="center"/>
      <protection hidden="1"/>
    </xf>
    <xf numFmtId="3" fontId="7" fillId="7" borderId="87" xfId="0" applyNumberFormat="1" applyFont="1" applyFill="1" applyBorder="1" applyAlignment="1" applyProtection="1">
      <alignment horizontal="center" vertical="center"/>
      <protection locked="0"/>
    </xf>
    <xf numFmtId="3" fontId="7" fillId="7" borderId="90" xfId="0" applyNumberFormat="1" applyFont="1" applyFill="1" applyBorder="1" applyAlignment="1" applyProtection="1">
      <alignment horizontal="center" vertical="center"/>
      <protection locked="0"/>
    </xf>
    <xf numFmtId="3" fontId="4" fillId="0" borderId="48" xfId="0" applyNumberFormat="1" applyFont="1" applyBorder="1" applyAlignment="1" applyProtection="1">
      <alignment horizontal="center" vertical="center"/>
      <protection hidden="1"/>
    </xf>
    <xf numFmtId="3" fontId="4" fillId="0" borderId="3"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5" xfId="0" applyNumberFormat="1" applyFont="1" applyBorder="1" applyAlignment="1" applyProtection="1">
      <alignment horizontal="center" vertical="center"/>
      <protection hidden="1"/>
    </xf>
    <xf numFmtId="3" fontId="4" fillId="0" borderId="105" xfId="0" applyNumberFormat="1" applyFont="1" applyBorder="1" applyAlignment="1" applyProtection="1">
      <alignment horizontal="center" vertical="center"/>
      <protection hidden="1"/>
    </xf>
    <xf numFmtId="3" fontId="7" fillId="7" borderId="62" xfId="0" applyNumberFormat="1" applyFont="1" applyFill="1" applyBorder="1" applyAlignment="1" applyProtection="1">
      <alignment horizontal="center" vertical="center"/>
      <protection locked="0"/>
    </xf>
    <xf numFmtId="3" fontId="7" fillId="8" borderId="65" xfId="0" applyNumberFormat="1" applyFont="1" applyFill="1" applyBorder="1" applyAlignment="1" applyProtection="1">
      <alignment horizontal="center" vertical="center"/>
      <protection hidden="1"/>
    </xf>
    <xf numFmtId="3" fontId="7" fillId="0" borderId="50" xfId="0" applyNumberFormat="1" applyFont="1" applyBorder="1" applyAlignment="1" applyProtection="1">
      <alignment horizontal="center" vertical="center"/>
      <protection hidden="1"/>
    </xf>
    <xf numFmtId="3" fontId="7" fillId="8" borderId="51" xfId="0" applyNumberFormat="1" applyFont="1" applyFill="1" applyBorder="1" applyAlignment="1" applyProtection="1">
      <alignment horizontal="center" vertical="center"/>
      <protection locked="0"/>
    </xf>
    <xf numFmtId="3" fontId="7" fillId="8" borderId="52" xfId="0" applyNumberFormat="1" applyFont="1" applyFill="1" applyBorder="1" applyAlignment="1" applyProtection="1">
      <alignment horizontal="center" vertical="center"/>
      <protection hidden="1"/>
    </xf>
    <xf numFmtId="3" fontId="7" fillId="8" borderId="91" xfId="0" applyNumberFormat="1" applyFont="1" applyFill="1" applyBorder="1" applyAlignment="1" applyProtection="1">
      <alignment horizontal="center" vertical="center"/>
      <protection hidden="1"/>
    </xf>
    <xf numFmtId="3" fontId="7" fillId="0" borderId="52" xfId="0" applyNumberFormat="1" applyFont="1" applyBorder="1" applyAlignment="1" applyProtection="1">
      <alignment horizontal="center" vertical="center"/>
      <protection hidden="1"/>
    </xf>
    <xf numFmtId="3" fontId="7" fillId="8" borderId="51" xfId="0" applyNumberFormat="1" applyFont="1" applyFill="1" applyBorder="1" applyAlignment="1" applyProtection="1">
      <alignment horizontal="center" vertical="center"/>
      <protection hidden="1"/>
    </xf>
    <xf numFmtId="3" fontId="7" fillId="8" borderId="16" xfId="0" applyNumberFormat="1" applyFont="1" applyFill="1" applyBorder="1" applyAlignment="1" applyProtection="1">
      <alignment horizontal="center" vertical="center"/>
      <protection hidden="1"/>
    </xf>
    <xf numFmtId="3" fontId="7" fillId="8" borderId="60" xfId="0" applyNumberFormat="1" applyFont="1" applyFill="1" applyBorder="1" applyAlignment="1" applyProtection="1">
      <alignment horizontal="center" vertical="center"/>
      <protection hidden="1"/>
    </xf>
    <xf numFmtId="3" fontId="7" fillId="8" borderId="54" xfId="0" applyNumberFormat="1" applyFont="1" applyFill="1" applyBorder="1" applyAlignment="1" applyProtection="1">
      <alignment horizontal="center" vertical="center"/>
      <protection hidden="1"/>
    </xf>
    <xf numFmtId="3" fontId="7" fillId="8" borderId="10" xfId="0" applyNumberFormat="1" applyFont="1" applyFill="1" applyBorder="1" applyAlignment="1" applyProtection="1">
      <alignment horizontal="center" vertical="center"/>
      <protection hidden="1"/>
    </xf>
    <xf numFmtId="3" fontId="7" fillId="0" borderId="38" xfId="0" applyNumberFormat="1" applyFont="1" applyBorder="1" applyAlignment="1">
      <alignment horizontal="center" vertical="center"/>
    </xf>
    <xf numFmtId="3" fontId="7" fillId="0" borderId="92" xfId="0" applyNumberFormat="1" applyFont="1" applyBorder="1" applyAlignment="1">
      <alignment horizontal="center" vertical="center"/>
    </xf>
    <xf numFmtId="3" fontId="7" fillId="8" borderId="90" xfId="0" applyNumberFormat="1" applyFont="1" applyFill="1" applyBorder="1" applyAlignment="1" applyProtection="1">
      <alignment horizontal="center" vertical="center"/>
      <protection hidden="1"/>
    </xf>
    <xf numFmtId="3" fontId="4" fillId="8" borderId="63" xfId="0" applyNumberFormat="1" applyFont="1" applyFill="1" applyBorder="1" applyAlignment="1" applyProtection="1">
      <alignment horizontal="center" vertical="center"/>
      <protection hidden="1"/>
    </xf>
    <xf numFmtId="3" fontId="4" fillId="8" borderId="55" xfId="0" applyNumberFormat="1" applyFont="1" applyFill="1" applyBorder="1" applyAlignment="1" applyProtection="1">
      <alignment horizontal="center" vertical="center"/>
      <protection hidden="1"/>
    </xf>
    <xf numFmtId="3" fontId="4" fillId="8" borderId="67" xfId="0" applyNumberFormat="1" applyFont="1" applyFill="1" applyBorder="1" applyAlignment="1" applyProtection="1">
      <alignment horizontal="center" vertical="center"/>
      <protection hidden="1"/>
    </xf>
    <xf numFmtId="3" fontId="4" fillId="8" borderId="43" xfId="0" applyNumberFormat="1" applyFont="1" applyFill="1" applyBorder="1" applyAlignment="1" applyProtection="1">
      <alignment horizontal="center" vertical="center"/>
      <protection hidden="1"/>
    </xf>
    <xf numFmtId="3" fontId="4" fillId="8" borderId="26" xfId="0" applyNumberFormat="1" applyFont="1" applyFill="1" applyBorder="1" applyAlignment="1" applyProtection="1">
      <alignment horizontal="center" vertical="center"/>
      <protection hidden="1"/>
    </xf>
    <xf numFmtId="3" fontId="4" fillId="7" borderId="5"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3" fontId="4" fillId="0" borderId="4" xfId="0" applyNumberFormat="1" applyFont="1" applyBorder="1" applyAlignment="1">
      <alignment horizontal="center" vertical="center"/>
    </xf>
    <xf numFmtId="167" fontId="4" fillId="0" borderId="131" xfId="0" applyNumberFormat="1" applyFont="1" applyBorder="1" applyAlignment="1" applyProtection="1">
      <alignment horizontal="center" vertical="center"/>
      <protection hidden="1"/>
    </xf>
    <xf numFmtId="3" fontId="6" fillId="14" borderId="21" xfId="0" applyNumberFormat="1" applyFont="1" applyFill="1" applyBorder="1" applyAlignment="1" applyProtection="1">
      <alignment horizontal="center" vertical="center"/>
      <protection hidden="1"/>
    </xf>
    <xf numFmtId="3" fontId="6" fillId="14" borderId="0" xfId="0" applyNumberFormat="1" applyFont="1" applyFill="1" applyAlignment="1">
      <alignment horizontal="right"/>
    </xf>
    <xf numFmtId="3" fontId="6" fillId="14" borderId="19" xfId="0" applyNumberFormat="1" applyFont="1" applyFill="1" applyBorder="1" applyAlignment="1" applyProtection="1">
      <alignment horizontal="right"/>
      <protection hidden="1"/>
    </xf>
    <xf numFmtId="3" fontId="6" fillId="14" borderId="22" xfId="0" applyNumberFormat="1" applyFont="1" applyFill="1" applyBorder="1" applyAlignment="1" applyProtection="1">
      <alignment horizontal="center" vertical="center"/>
      <protection hidden="1"/>
    </xf>
    <xf numFmtId="0" fontId="6" fillId="14" borderId="21" xfId="0" applyFont="1" applyFill="1" applyBorder="1" applyAlignment="1">
      <alignment horizontal="center" vertical="center"/>
    </xf>
    <xf numFmtId="0" fontId="6" fillId="14" borderId="19" xfId="0" applyFont="1" applyFill="1" applyBorder="1" applyAlignment="1">
      <alignment horizontal="center" vertical="center"/>
    </xf>
    <xf numFmtId="0" fontId="6" fillId="14" borderId="22" xfId="0" applyFont="1" applyFill="1" applyBorder="1" applyAlignment="1">
      <alignment horizontal="center" vertical="center"/>
    </xf>
    <xf numFmtId="3" fontId="0" fillId="14" borderId="38" xfId="2" applyNumberFormat="1" applyFont="1" applyFill="1" applyBorder="1"/>
    <xf numFmtId="3" fontId="0" fillId="14" borderId="17" xfId="0" applyNumberFormat="1" applyFill="1" applyBorder="1"/>
    <xf numFmtId="3" fontId="0" fillId="14" borderId="35" xfId="0" applyNumberFormat="1" applyFill="1" applyBorder="1"/>
    <xf numFmtId="3" fontId="7" fillId="7" borderId="91" xfId="0" applyNumberFormat="1" applyFont="1" applyFill="1" applyBorder="1" applyAlignment="1" applyProtection="1">
      <alignment horizontal="center" vertical="center"/>
      <protection locked="0"/>
    </xf>
    <xf numFmtId="164" fontId="7" fillId="7" borderId="35" xfId="0" applyNumberFormat="1" applyFont="1" applyFill="1" applyBorder="1" applyAlignment="1" applyProtection="1">
      <alignment horizontal="center" vertical="center"/>
      <protection locked="0"/>
    </xf>
    <xf numFmtId="164" fontId="7" fillId="7" borderId="88" xfId="0" applyNumberFormat="1" applyFont="1" applyFill="1" applyBorder="1" applyAlignment="1" applyProtection="1">
      <alignment horizontal="center" vertical="center"/>
      <protection locked="0"/>
    </xf>
    <xf numFmtId="3" fontId="7" fillId="0" borderId="169" xfId="0" applyNumberFormat="1" applyFont="1" applyBorder="1" applyAlignment="1">
      <alignment horizontal="center" vertical="center"/>
    </xf>
    <xf numFmtId="3" fontId="4" fillId="0" borderId="0" xfId="0" applyNumberFormat="1" applyFont="1" applyBorder="1" applyAlignment="1" applyProtection="1">
      <alignment vertical="center"/>
      <protection hidden="1"/>
    </xf>
    <xf numFmtId="0" fontId="4" fillId="0" borderId="0" xfId="0" applyFont="1" applyBorder="1" applyAlignment="1">
      <alignment vertical="center"/>
    </xf>
    <xf numFmtId="164" fontId="4" fillId="7" borderId="6"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hidden="1"/>
    </xf>
    <xf numFmtId="3" fontId="4" fillId="0" borderId="0" xfId="0" applyNumberFormat="1" applyFont="1" applyBorder="1" applyAlignment="1">
      <alignment horizontal="center" vertical="center"/>
    </xf>
    <xf numFmtId="0" fontId="7" fillId="0" borderId="0" xfId="0" applyFont="1" applyBorder="1" applyAlignment="1">
      <alignment horizontal="left" vertical="center"/>
    </xf>
    <xf numFmtId="3" fontId="7" fillId="0" borderId="0" xfId="0" applyNumberFormat="1" applyFont="1" applyBorder="1" applyAlignment="1">
      <alignment vertical="center"/>
    </xf>
    <xf numFmtId="1" fontId="7" fillId="0" borderId="0" xfId="0" applyNumberFormat="1" applyFont="1" applyBorder="1" applyAlignment="1">
      <alignment horizontal="center" vertical="center"/>
    </xf>
    <xf numFmtId="164" fontId="7" fillId="0" borderId="0" xfId="0" applyNumberFormat="1" applyFont="1" applyBorder="1" applyAlignment="1">
      <alignment vertical="center"/>
    </xf>
    <xf numFmtId="3" fontId="7" fillId="0" borderId="0" xfId="0" applyNumberFormat="1" applyFont="1" applyBorder="1" applyAlignment="1" applyProtection="1">
      <alignment horizontal="right" vertical="center"/>
      <protection hidden="1"/>
    </xf>
    <xf numFmtId="3" fontId="7" fillId="0" borderId="0" xfId="0" applyNumberFormat="1" applyFont="1" applyBorder="1" applyAlignment="1">
      <alignment horizontal="right" vertical="center"/>
    </xf>
    <xf numFmtId="3" fontId="7" fillId="0" borderId="0" xfId="0" applyNumberFormat="1" applyFont="1" applyBorder="1" applyAlignment="1" applyProtection="1">
      <alignment vertical="center"/>
      <protection hidden="1"/>
    </xf>
    <xf numFmtId="4" fontId="4" fillId="0" borderId="120" xfId="0" applyNumberFormat="1" applyFont="1" applyBorder="1" applyAlignment="1" applyProtection="1">
      <alignment horizontal="center" vertical="center"/>
      <protection hidden="1"/>
    </xf>
    <xf numFmtId="4" fontId="59" fillId="0" borderId="120" xfId="0" applyNumberFormat="1" applyFont="1" applyBorder="1" applyAlignment="1" applyProtection="1">
      <alignment horizontal="center" vertical="center"/>
      <protection hidden="1"/>
    </xf>
    <xf numFmtId="164" fontId="4" fillId="0" borderId="120" xfId="2" applyNumberFormat="1" applyFont="1" applyBorder="1" applyAlignment="1" applyProtection="1">
      <alignment horizontal="center"/>
      <protection hidden="1"/>
    </xf>
    <xf numFmtId="0" fontId="4" fillId="0" borderId="171" xfId="0" applyFont="1" applyBorder="1" applyAlignment="1" applyProtection="1">
      <alignment horizontal="left" vertical="center"/>
      <protection hidden="1"/>
    </xf>
    <xf numFmtId="0" fontId="60" fillId="0" borderId="0" xfId="0" applyFont="1" applyAlignment="1">
      <alignment horizontal="right"/>
    </xf>
    <xf numFmtId="3" fontId="4" fillId="0" borderId="63" xfId="0" applyNumberFormat="1" applyFont="1" applyFill="1" applyBorder="1" applyAlignment="1" applyProtection="1">
      <alignment horizontal="center" vertical="center"/>
    </xf>
    <xf numFmtId="0" fontId="7" fillId="7" borderId="54" xfId="0" applyNumberFormat="1" applyFont="1" applyFill="1" applyBorder="1" applyAlignment="1" applyProtection="1">
      <alignment vertical="center"/>
      <protection locked="0"/>
    </xf>
    <xf numFmtId="0" fontId="7" fillId="7" borderId="38" xfId="0" applyNumberFormat="1" applyFont="1" applyFill="1" applyBorder="1" applyAlignment="1" applyProtection="1">
      <alignment vertical="center"/>
      <protection locked="0"/>
    </xf>
    <xf numFmtId="0" fontId="7" fillId="7" borderId="87" xfId="0" applyNumberFormat="1" applyFont="1" applyFill="1" applyBorder="1" applyAlignment="1" applyProtection="1">
      <alignment vertical="center"/>
      <protection locked="0"/>
    </xf>
    <xf numFmtId="1" fontId="4" fillId="7" borderId="63" xfId="0" applyNumberFormat="1" applyFont="1" applyFill="1" applyBorder="1" applyAlignment="1" applyProtection="1">
      <alignment horizontal="center" vertical="center"/>
      <protection locked="0"/>
    </xf>
    <xf numFmtId="3" fontId="4" fillId="0" borderId="48" xfId="0" applyNumberFormat="1" applyFont="1" applyFill="1" applyBorder="1" applyAlignment="1" applyProtection="1">
      <alignment horizontal="center" vertical="center"/>
    </xf>
    <xf numFmtId="3" fontId="4" fillId="0" borderId="172" xfId="0" applyNumberFormat="1" applyFont="1" applyBorder="1" applyAlignment="1" applyProtection="1">
      <alignment horizontal="center" vertical="center"/>
      <protection hidden="1"/>
    </xf>
    <xf numFmtId="3" fontId="4" fillId="0" borderId="173" xfId="0" applyNumberFormat="1" applyFont="1" applyBorder="1" applyAlignment="1" applyProtection="1">
      <alignment horizontal="center" vertical="center"/>
      <protection hidden="1"/>
    </xf>
    <xf numFmtId="0" fontId="9" fillId="0" borderId="0" xfId="0" applyFont="1" applyAlignment="1">
      <alignment horizontal="left"/>
    </xf>
    <xf numFmtId="3" fontId="12" fillId="0" borderId="35" xfId="0" applyNumberFormat="1" applyFont="1" applyBorder="1" applyAlignment="1" applyProtection="1">
      <alignment horizontal="center" vertical="center"/>
      <protection hidden="1"/>
    </xf>
    <xf numFmtId="3" fontId="6" fillId="0" borderId="35" xfId="0" applyNumberFormat="1" applyFont="1" applyBorder="1" applyAlignment="1" applyProtection="1">
      <alignment horizontal="center" vertical="center"/>
      <protection hidden="1"/>
    </xf>
    <xf numFmtId="167" fontId="0" fillId="0" borderId="4" xfId="0" applyNumberFormat="1" applyBorder="1" applyAlignment="1">
      <alignment horizontal="center"/>
    </xf>
    <xf numFmtId="167" fontId="12" fillId="0" borderId="30" xfId="0" applyNumberFormat="1" applyFont="1" applyBorder="1" applyAlignment="1" applyProtection="1">
      <alignment horizontal="center" vertical="center"/>
      <protection hidden="1"/>
    </xf>
    <xf numFmtId="167" fontId="12" fillId="0" borderId="58" xfId="0" applyNumberFormat="1" applyFont="1" applyBorder="1" applyAlignment="1" applyProtection="1">
      <alignment horizontal="center"/>
      <protection hidden="1"/>
    </xf>
    <xf numFmtId="3" fontId="12" fillId="0" borderId="33" xfId="0" applyNumberFormat="1" applyFont="1" applyBorder="1" applyAlignment="1" applyProtection="1">
      <alignment horizontal="center"/>
      <protection hidden="1"/>
    </xf>
    <xf numFmtId="167" fontId="12" fillId="0" borderId="22" xfId="0" applyNumberFormat="1" applyFont="1" applyBorder="1" applyAlignment="1" applyProtection="1">
      <alignment horizontal="center"/>
      <protection hidden="1"/>
    </xf>
    <xf numFmtId="3" fontId="6" fillId="0" borderId="37" xfId="0" applyNumberFormat="1" applyFont="1" applyBorder="1" applyAlignment="1" applyProtection="1">
      <alignment horizontal="center"/>
      <protection hidden="1"/>
    </xf>
    <xf numFmtId="0" fontId="9" fillId="0" borderId="0" xfId="0" applyFont="1" applyBorder="1" applyAlignment="1" applyProtection="1">
      <alignment horizontal="left" vertical="center" shrinkToFit="1"/>
      <protection hidden="1"/>
    </xf>
    <xf numFmtId="0" fontId="9" fillId="0" borderId="0" xfId="0" applyFont="1" applyBorder="1" applyAlignment="1" applyProtection="1">
      <alignment horizontal="left" vertical="center"/>
      <protection hidden="1"/>
    </xf>
    <xf numFmtId="0" fontId="0" fillId="0" borderId="0" xfId="0" applyBorder="1"/>
    <xf numFmtId="4" fontId="4" fillId="6" borderId="120" xfId="0" applyNumberFormat="1" applyFont="1" applyFill="1" applyBorder="1" applyAlignment="1" applyProtection="1">
      <alignment horizontal="center" vertical="center"/>
      <protection hidden="1"/>
    </xf>
    <xf numFmtId="0" fontId="9" fillId="0" borderId="0" xfId="0" applyFont="1" applyAlignment="1" applyProtection="1">
      <protection hidden="1"/>
    </xf>
    <xf numFmtId="0" fontId="9" fillId="0" borderId="0" xfId="0" applyFont="1" applyAlignment="1" applyProtection="1">
      <alignment horizontal="left" shrinkToFit="1"/>
      <protection hidden="1"/>
    </xf>
    <xf numFmtId="0" fontId="0" fillId="0" borderId="0" xfId="0" applyAlignment="1" applyProtection="1">
      <protection hidden="1"/>
    </xf>
    <xf numFmtId="0" fontId="0" fillId="0" borderId="0" xfId="0" applyAlignment="1"/>
    <xf numFmtId="0" fontId="7" fillId="7" borderId="0" xfId="0" applyFont="1" applyFill="1" applyBorder="1" applyAlignment="1" applyProtection="1">
      <alignment vertical="center"/>
      <protection locked="0"/>
    </xf>
    <xf numFmtId="0" fontId="9" fillId="0" borderId="0" xfId="0" applyFont="1" applyBorder="1" applyAlignment="1" applyProtection="1">
      <alignment horizontal="left"/>
      <protection hidden="1"/>
    </xf>
    <xf numFmtId="0" fontId="4" fillId="6" borderId="61" xfId="0" applyFont="1" applyFill="1" applyBorder="1" applyAlignment="1">
      <alignment horizontal="center" vertical="center"/>
    </xf>
    <xf numFmtId="0" fontId="4" fillId="6" borderId="58" xfId="0" applyFont="1" applyFill="1" applyBorder="1" applyAlignment="1">
      <alignment horizontal="center" vertical="center"/>
    </xf>
    <xf numFmtId="0" fontId="4" fillId="6" borderId="4" xfId="0" applyFont="1" applyFill="1" applyBorder="1" applyAlignment="1" applyProtection="1">
      <alignment horizontal="center" vertical="center"/>
      <protection hidden="1"/>
    </xf>
    <xf numFmtId="0" fontId="4" fillId="6" borderId="4" xfId="0" applyFont="1" applyFill="1" applyBorder="1" applyAlignment="1" applyProtection="1">
      <alignment vertical="center"/>
      <protection hidden="1"/>
    </xf>
    <xf numFmtId="3" fontId="7" fillId="6" borderId="60" xfId="0" applyNumberFormat="1" applyFont="1" applyFill="1" applyBorder="1" applyAlignment="1" applyProtection="1">
      <alignment horizontal="center" vertical="center"/>
      <protection hidden="1"/>
    </xf>
    <xf numFmtId="3" fontId="7" fillId="6" borderId="16" xfId="0" applyNumberFormat="1" applyFont="1" applyFill="1" applyBorder="1" applyAlignment="1" applyProtection="1">
      <alignment horizontal="center" vertical="center"/>
      <protection hidden="1"/>
    </xf>
    <xf numFmtId="3" fontId="7" fillId="6" borderId="23" xfId="0" applyNumberFormat="1" applyFont="1" applyFill="1" applyBorder="1" applyAlignment="1" applyProtection="1">
      <alignment horizontal="center" vertical="center"/>
      <protection hidden="1"/>
    </xf>
    <xf numFmtId="3" fontId="7" fillId="6" borderId="44" xfId="0" applyNumberFormat="1" applyFont="1" applyFill="1" applyBorder="1" applyAlignment="1">
      <alignment horizontal="center" vertical="center"/>
    </xf>
    <xf numFmtId="3" fontId="7" fillId="6" borderId="10" xfId="0" applyNumberFormat="1" applyFont="1" applyFill="1" applyBorder="1" applyAlignment="1">
      <alignment horizontal="center" vertical="center"/>
    </xf>
    <xf numFmtId="3" fontId="7" fillId="6" borderId="20" xfId="0" applyNumberFormat="1" applyFont="1" applyFill="1" applyBorder="1" applyAlignment="1">
      <alignment horizontal="center" vertical="center"/>
    </xf>
    <xf numFmtId="3" fontId="7" fillId="6" borderId="92" xfId="0" applyNumberFormat="1" applyFont="1" applyFill="1" applyBorder="1" applyAlignment="1">
      <alignment horizontal="center" vertical="center"/>
    </xf>
    <xf numFmtId="3" fontId="7" fillId="6" borderId="90" xfId="0" applyNumberFormat="1" applyFont="1" applyFill="1" applyBorder="1" applyAlignment="1">
      <alignment horizontal="center" vertical="center"/>
    </xf>
    <xf numFmtId="3" fontId="7" fillId="6" borderId="89" xfId="0" applyNumberFormat="1" applyFont="1" applyFill="1" applyBorder="1" applyAlignment="1">
      <alignment horizontal="center" vertical="center"/>
    </xf>
    <xf numFmtId="3" fontId="7" fillId="6" borderId="38" xfId="0" applyNumberFormat="1" applyFont="1" applyFill="1" applyBorder="1" applyAlignment="1">
      <alignment horizontal="center" vertical="center"/>
    </xf>
    <xf numFmtId="3" fontId="7" fillId="6" borderId="10" xfId="0" applyNumberFormat="1" applyFont="1" applyFill="1" applyBorder="1" applyAlignment="1" applyProtection="1">
      <alignment horizontal="center" vertical="center"/>
      <protection hidden="1"/>
    </xf>
    <xf numFmtId="3" fontId="7" fillId="6" borderId="35" xfId="0" applyNumberFormat="1" applyFont="1" applyFill="1" applyBorder="1" applyAlignment="1" applyProtection="1">
      <alignment horizontal="center" vertical="center"/>
      <protection hidden="1"/>
    </xf>
    <xf numFmtId="3" fontId="7" fillId="6" borderId="87" xfId="0" applyNumberFormat="1" applyFont="1" applyFill="1" applyBorder="1" applyAlignment="1">
      <alignment horizontal="center" vertical="center"/>
    </xf>
    <xf numFmtId="3" fontId="7" fillId="6" borderId="90" xfId="0" applyNumberFormat="1" applyFont="1" applyFill="1" applyBorder="1" applyAlignment="1" applyProtection="1">
      <alignment horizontal="center" vertical="center"/>
      <protection hidden="1"/>
    </xf>
    <xf numFmtId="3" fontId="7" fillId="6" borderId="88" xfId="0" applyNumberFormat="1" applyFont="1" applyFill="1" applyBorder="1" applyAlignment="1" applyProtection="1">
      <alignment horizontal="center" vertical="center"/>
      <protection hidden="1"/>
    </xf>
    <xf numFmtId="3" fontId="4" fillId="6" borderId="3" xfId="0" applyNumberFormat="1" applyFont="1" applyFill="1" applyBorder="1" applyAlignment="1">
      <alignment vertical="center"/>
    </xf>
    <xf numFmtId="3" fontId="4" fillId="6" borderId="48" xfId="0" applyNumberFormat="1" applyFont="1" applyFill="1" applyBorder="1" applyAlignment="1">
      <alignment vertical="center"/>
    </xf>
    <xf numFmtId="3" fontId="4" fillId="6" borderId="3" xfId="0" applyNumberFormat="1" applyFont="1" applyFill="1" applyBorder="1" applyAlignment="1">
      <alignment horizontal="center" vertical="center"/>
    </xf>
    <xf numFmtId="3" fontId="4" fillId="6" borderId="48" xfId="0" applyNumberFormat="1" applyFont="1" applyFill="1" applyBorder="1" applyAlignment="1">
      <alignment horizontal="center" vertical="center"/>
    </xf>
    <xf numFmtId="0" fontId="4" fillId="6" borderId="25" xfId="0" applyFont="1" applyFill="1" applyBorder="1" applyAlignment="1" applyProtection="1">
      <alignment horizontal="center" vertical="center"/>
      <protection hidden="1"/>
    </xf>
    <xf numFmtId="1" fontId="4" fillId="6" borderId="63" xfId="0" applyNumberFormat="1" applyFont="1" applyFill="1" applyBorder="1" applyAlignment="1" applyProtection="1">
      <alignment horizontal="center" vertical="center"/>
      <protection hidden="1"/>
    </xf>
    <xf numFmtId="164" fontId="4" fillId="6" borderId="64" xfId="0" applyNumberFormat="1" applyFont="1" applyFill="1" applyBorder="1" applyAlignment="1" applyProtection="1">
      <alignment horizontal="center" vertical="center"/>
      <protection hidden="1"/>
    </xf>
    <xf numFmtId="0" fontId="4" fillId="6" borderId="48"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1" fontId="11" fillId="6" borderId="33" xfId="0" applyNumberFormat="1" applyFont="1" applyFill="1" applyBorder="1" applyAlignment="1" applyProtection="1">
      <alignment horizontal="center" vertical="center"/>
      <protection hidden="1"/>
    </xf>
    <xf numFmtId="166" fontId="12" fillId="6" borderId="35" xfId="0" applyNumberFormat="1" applyFont="1" applyFill="1" applyBorder="1" applyAlignment="1" applyProtection="1">
      <alignment horizontal="center" vertical="center"/>
      <protection hidden="1"/>
    </xf>
    <xf numFmtId="167" fontId="12" fillId="6" borderId="35" xfId="0" applyNumberFormat="1" applyFont="1" applyFill="1" applyBorder="1" applyAlignment="1">
      <alignment horizontal="center" vertical="center"/>
    </xf>
    <xf numFmtId="0" fontId="0" fillId="0" borderId="0" xfId="0"/>
    <xf numFmtId="0" fontId="7" fillId="0" borderId="0" xfId="0" applyFont="1" applyAlignment="1">
      <alignment horizontal="right" vertical="center"/>
    </xf>
    <xf numFmtId="0" fontId="0" fillId="0" borderId="0" xfId="0" applyAlignment="1">
      <alignment horizontal="center"/>
    </xf>
    <xf numFmtId="0" fontId="11" fillId="0" borderId="0" xfId="0" applyFont="1" applyAlignment="1">
      <alignment horizontal="right"/>
    </xf>
    <xf numFmtId="0" fontId="12" fillId="0" borderId="0" xfId="0" applyFont="1" applyBorder="1" applyAlignment="1" applyProtection="1">
      <alignment vertical="center"/>
      <protection locked="0"/>
    </xf>
    <xf numFmtId="0" fontId="11" fillId="0" borderId="0" xfId="0" applyFont="1" applyAlignment="1">
      <alignment horizontal="right" vertical="center"/>
    </xf>
    <xf numFmtId="0" fontId="12" fillId="0" borderId="109" xfId="0" applyFont="1" applyBorder="1" applyAlignment="1" applyProtection="1">
      <alignment vertical="center"/>
      <protection locked="0"/>
    </xf>
    <xf numFmtId="0" fontId="12" fillId="0" borderId="110" xfId="0" applyFont="1" applyBorder="1" applyAlignment="1" applyProtection="1">
      <alignment vertical="center"/>
      <protection locked="0"/>
    </xf>
    <xf numFmtId="0" fontId="12" fillId="0" borderId="112" xfId="0" applyFont="1" applyBorder="1" applyAlignment="1" applyProtection="1">
      <alignment vertical="center"/>
      <protection locked="0"/>
    </xf>
    <xf numFmtId="0" fontId="0" fillId="0" borderId="0" xfId="0" applyAlignment="1" applyProtection="1">
      <alignment horizontal="center"/>
      <protection hidden="1"/>
    </xf>
    <xf numFmtId="0" fontId="12" fillId="0" borderId="73" xfId="0" applyFont="1" applyBorder="1" applyAlignment="1" applyProtection="1">
      <alignment horizontal="left" vertical="center"/>
      <protection hidden="1"/>
    </xf>
    <xf numFmtId="0" fontId="12" fillId="0" borderId="74" xfId="0" applyFont="1" applyBorder="1" applyAlignment="1" applyProtection="1">
      <alignment horizontal="left" vertical="center"/>
      <protection hidden="1"/>
    </xf>
    <xf numFmtId="0" fontId="12" fillId="0" borderId="157" xfId="0" applyFont="1" applyBorder="1" applyAlignment="1" applyProtection="1">
      <alignment horizontal="left" vertical="center"/>
      <protection hidden="1"/>
    </xf>
    <xf numFmtId="0" fontId="11" fillId="0" borderId="178" xfId="0" applyFont="1" applyBorder="1" applyAlignment="1" applyProtection="1">
      <alignment horizontal="right" vertical="center"/>
      <protection hidden="1"/>
    </xf>
    <xf numFmtId="0" fontId="0" fillId="0" borderId="0" xfId="0" applyAlignment="1">
      <alignment horizontal="center"/>
    </xf>
    <xf numFmtId="0" fontId="0" fillId="0" borderId="0" xfId="0" applyAlignment="1" applyProtection="1">
      <alignment horizontal="center"/>
      <protection hidden="1"/>
    </xf>
    <xf numFmtId="0" fontId="0" fillId="0" borderId="16" xfId="0" applyBorder="1" applyAlignment="1" applyProtection="1">
      <alignment horizontal="left" vertical="center"/>
      <protection hidden="1"/>
    </xf>
    <xf numFmtId="0" fontId="12" fillId="0" borderId="0" xfId="0" applyFont="1" applyAlignment="1">
      <alignment horizontal="center" vertical="center"/>
    </xf>
    <xf numFmtId="0" fontId="4" fillId="0" borderId="0" xfId="0" applyFont="1" applyBorder="1" applyAlignment="1" applyProtection="1">
      <alignment horizontal="left" vertical="center"/>
      <protection hidden="1"/>
    </xf>
    <xf numFmtId="0" fontId="8" fillId="0" borderId="0" xfId="0" applyFont="1" applyAlignment="1" applyProtection="1">
      <alignment horizontal="left"/>
      <protection hidden="1"/>
    </xf>
    <xf numFmtId="0" fontId="8" fillId="0" borderId="0" xfId="0" applyFont="1" applyProtection="1">
      <protection hidden="1"/>
    </xf>
    <xf numFmtId="0" fontId="22" fillId="0" borderId="0" xfId="0" applyFont="1" applyAlignment="1" applyProtection="1">
      <alignment horizontal="right"/>
      <protection hidden="1"/>
    </xf>
    <xf numFmtId="14" fontId="0" fillId="0" borderId="16" xfId="0" applyNumberFormat="1" applyBorder="1" applyAlignment="1" applyProtection="1">
      <alignment horizontal="left" vertical="center"/>
      <protection hidden="1"/>
    </xf>
    <xf numFmtId="14" fontId="6" fillId="0" borderId="0" xfId="0" applyNumberFormat="1" applyFont="1" applyProtection="1">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7" fillId="0" borderId="16" xfId="0" applyFont="1" applyBorder="1" applyAlignment="1" applyProtection="1">
      <alignment vertical="center"/>
      <protection hidden="1"/>
    </xf>
    <xf numFmtId="0" fontId="18" fillId="0" borderId="16" xfId="0" applyFont="1" applyBorder="1" applyAlignment="1" applyProtection="1">
      <alignment vertical="center"/>
      <protection hidden="1"/>
    </xf>
    <xf numFmtId="0" fontId="18" fillId="0" borderId="0" xfId="0" applyFont="1" applyAlignment="1" applyProtection="1">
      <alignment vertical="center"/>
      <protection hidden="1"/>
    </xf>
    <xf numFmtId="2" fontId="5" fillId="0" borderId="16" xfId="0" applyNumberFormat="1" applyFont="1" applyBorder="1" applyAlignment="1" applyProtection="1">
      <alignment horizontal="left" vertical="center"/>
      <protection hidden="1"/>
    </xf>
    <xf numFmtId="0" fontId="0" fillId="0" borderId="0" xfId="0" applyAlignment="1" applyProtection="1">
      <alignment horizontal="left" vertical="center"/>
      <protection hidden="1"/>
    </xf>
    <xf numFmtId="2" fontId="5" fillId="0" borderId="0" xfId="0" applyNumberFormat="1" applyFont="1" applyAlignment="1" applyProtection="1">
      <alignment horizontal="left" vertical="center"/>
      <protection hidden="1"/>
    </xf>
    <xf numFmtId="1" fontId="5" fillId="0" borderId="16" xfId="0" applyNumberFormat="1" applyFont="1" applyBorder="1" applyAlignment="1" applyProtection="1">
      <alignment vertical="center"/>
      <protection hidden="1"/>
    </xf>
    <xf numFmtId="0" fontId="0" fillId="0" borderId="16" xfId="0" applyBorder="1" applyAlignment="1" applyProtection="1">
      <alignment vertical="center"/>
      <protection hidden="1"/>
    </xf>
    <xf numFmtId="0" fontId="4" fillId="0" borderId="0" xfId="0" applyFont="1" applyAlignment="1" applyProtection="1">
      <alignment horizontal="left" vertical="center"/>
      <protection hidden="1"/>
    </xf>
    <xf numFmtId="0" fontId="0" fillId="0" borderId="72" xfId="0" applyBorder="1" applyProtection="1">
      <protection hidden="1"/>
    </xf>
    <xf numFmtId="3" fontId="7" fillId="0" borderId="0" xfId="0" applyNumberFormat="1" applyFont="1" applyBorder="1" applyAlignment="1">
      <alignment horizontal="center" vertical="center"/>
    </xf>
    <xf numFmtId="14" fontId="9" fillId="0" borderId="0" xfId="0" applyNumberFormat="1" applyFont="1" applyBorder="1" applyAlignment="1" applyProtection="1">
      <alignment horizontal="left" shrinkToFit="1"/>
      <protection hidden="1"/>
    </xf>
    <xf numFmtId="0" fontId="0" fillId="0" borderId="0" xfId="0" applyBorder="1" applyAlignment="1"/>
    <xf numFmtId="0" fontId="9" fillId="0" borderId="0" xfId="0" applyFont="1" applyBorder="1" applyAlignment="1" applyProtection="1">
      <protection hidden="1"/>
    </xf>
    <xf numFmtId="0" fontId="0" fillId="0" borderId="0" xfId="0" applyBorder="1" applyAlignment="1" applyProtection="1">
      <protection hidden="1"/>
    </xf>
    <xf numFmtId="14" fontId="9" fillId="0" borderId="0" xfId="0" applyNumberFormat="1" applyFont="1" applyBorder="1" applyAlignment="1" applyProtection="1">
      <alignment horizontal="left"/>
      <protection hidden="1"/>
    </xf>
    <xf numFmtId="0" fontId="0" fillId="0" borderId="0" xfId="0"/>
    <xf numFmtId="3" fontId="7" fillId="0" borderId="115" xfId="0" applyNumberFormat="1" applyFont="1" applyFill="1" applyBorder="1" applyAlignment="1" applyProtection="1">
      <alignment horizontal="center" vertical="center"/>
      <protection hidden="1"/>
    </xf>
    <xf numFmtId="167" fontId="4" fillId="0" borderId="0" xfId="0" applyNumberFormat="1"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7" fillId="7" borderId="175" xfId="0" applyFont="1" applyFill="1" applyBorder="1" applyAlignment="1" applyProtection="1">
      <alignment vertical="center"/>
      <protection locked="0"/>
    </xf>
    <xf numFmtId="0" fontId="0" fillId="0" borderId="0" xfId="0" applyBorder="1" applyProtection="1">
      <protection hidden="1"/>
    </xf>
    <xf numFmtId="0" fontId="4" fillId="0" borderId="138" xfId="0" applyFont="1" applyBorder="1" applyAlignment="1" applyProtection="1">
      <alignment horizontal="left" vertical="center"/>
      <protection hidden="1"/>
    </xf>
    <xf numFmtId="0" fontId="4" fillId="0" borderId="184" xfId="0" applyFont="1" applyBorder="1" applyAlignment="1" applyProtection="1">
      <alignment horizontal="left" vertical="center"/>
      <protection hidden="1"/>
    </xf>
    <xf numFmtId="0" fontId="11" fillId="0" borderId="138" xfId="0" applyFont="1" applyBorder="1" applyAlignment="1" applyProtection="1">
      <alignment horizontal="left" vertical="center"/>
      <protection hidden="1"/>
    </xf>
    <xf numFmtId="0" fontId="7" fillId="0" borderId="0" xfId="0" applyFont="1" applyBorder="1" applyProtection="1">
      <protection hidden="1"/>
    </xf>
    <xf numFmtId="3" fontId="44" fillId="7" borderId="61" xfId="0" applyNumberFormat="1" applyFont="1" applyFill="1" applyBorder="1" applyAlignment="1" applyProtection="1">
      <alignment horizontal="center" vertical="center"/>
      <protection locked="0" hidden="1"/>
    </xf>
    <xf numFmtId="3" fontId="44" fillId="6" borderId="61" xfId="0" applyNumberFormat="1" applyFont="1" applyFill="1" applyBorder="1" applyAlignment="1" applyProtection="1">
      <alignment horizontal="center" vertical="center"/>
      <protection hidden="1"/>
    </xf>
    <xf numFmtId="3" fontId="44" fillId="0" borderId="17" xfId="0" applyNumberFormat="1" applyFont="1" applyBorder="1" applyAlignment="1" applyProtection="1">
      <alignment horizontal="center" vertical="center"/>
      <protection hidden="1"/>
    </xf>
    <xf numFmtId="164" fontId="44" fillId="7" borderId="17" xfId="0" applyNumberFormat="1" applyFont="1" applyFill="1" applyBorder="1" applyAlignment="1" applyProtection="1">
      <alignment horizontal="center" vertical="center"/>
      <protection locked="0"/>
    </xf>
    <xf numFmtId="164" fontId="44" fillId="7" borderId="17" xfId="0" applyNumberFormat="1" applyFont="1" applyFill="1" applyBorder="1" applyAlignment="1" applyProtection="1">
      <alignment horizontal="center"/>
      <protection locked="0"/>
    </xf>
    <xf numFmtId="3" fontId="44" fillId="7" borderId="17" xfId="0" applyNumberFormat="1" applyFont="1" applyFill="1" applyBorder="1" applyAlignment="1" applyProtection="1">
      <alignment horizontal="center" vertical="center"/>
      <protection locked="0"/>
    </xf>
    <xf numFmtId="3" fontId="44" fillId="7" borderId="86" xfId="0" applyNumberFormat="1" applyFont="1" applyFill="1" applyBorder="1" applyAlignment="1" applyProtection="1">
      <alignment horizontal="center" vertical="center"/>
      <protection locked="0" hidden="1"/>
    </xf>
    <xf numFmtId="3" fontId="5" fillId="2" borderId="0" xfId="0" applyNumberFormat="1" applyFont="1" applyFill="1" applyAlignment="1">
      <alignment horizontal="center" vertical="center"/>
    </xf>
    <xf numFmtId="3" fontId="43" fillId="7" borderId="61" xfId="0" applyNumberFormat="1" applyFont="1" applyFill="1" applyBorder="1" applyAlignment="1" applyProtection="1">
      <alignment horizontal="center" vertical="center"/>
      <protection locked="0" hidden="1"/>
    </xf>
    <xf numFmtId="3" fontId="43" fillId="7" borderId="17" xfId="0" applyNumberFormat="1" applyFont="1" applyFill="1" applyBorder="1" applyAlignment="1" applyProtection="1">
      <alignment horizontal="center" vertical="center"/>
      <protection locked="0" hidden="1"/>
    </xf>
    <xf numFmtId="3" fontId="43" fillId="7" borderId="17" xfId="0" applyNumberFormat="1" applyFont="1" applyFill="1" applyBorder="1" applyAlignment="1" applyProtection="1">
      <alignment horizontal="center" vertical="center"/>
      <protection locked="0"/>
    </xf>
    <xf numFmtId="3" fontId="43" fillId="0" borderId="17" xfId="0" applyNumberFormat="1" applyFont="1" applyBorder="1" applyAlignment="1" applyProtection="1">
      <alignment horizontal="center" vertical="center"/>
      <protection hidden="1"/>
    </xf>
    <xf numFmtId="3" fontId="55" fillId="0" borderId="99" xfId="0" applyNumberFormat="1" applyFont="1" applyBorder="1" applyAlignment="1" applyProtection="1">
      <alignment horizontal="center" vertical="center"/>
      <protection hidden="1"/>
    </xf>
    <xf numFmtId="167" fontId="55" fillId="0" borderId="16" xfId="0" applyNumberFormat="1" applyFont="1" applyBorder="1" applyAlignment="1" applyProtection="1">
      <alignment horizontal="center" vertical="center"/>
      <protection hidden="1"/>
    </xf>
    <xf numFmtId="3" fontId="43" fillId="7" borderId="32" xfId="0" applyNumberFormat="1" applyFont="1" applyFill="1" applyBorder="1" applyAlignment="1" applyProtection="1">
      <alignment horizontal="center" vertical="center"/>
      <protection locked="0"/>
    </xf>
    <xf numFmtId="3" fontId="43" fillId="0" borderId="99" xfId="0" applyNumberFormat="1" applyFont="1" applyBorder="1" applyAlignment="1" applyProtection="1">
      <alignment horizontal="center" vertical="center"/>
      <protection hidden="1"/>
    </xf>
    <xf numFmtId="0" fontId="7" fillId="0" borderId="128" xfId="0" applyFont="1" applyBorder="1" applyAlignment="1" applyProtection="1">
      <alignment horizontal="center" vertical="center"/>
      <protection hidden="1"/>
    </xf>
    <xf numFmtId="167" fontId="4" fillId="0" borderId="186" xfId="0" applyNumberFormat="1" applyFont="1" applyBorder="1" applyAlignment="1" applyProtection="1">
      <alignment horizontal="center" vertical="center"/>
      <protection hidden="1"/>
    </xf>
    <xf numFmtId="0" fontId="4" fillId="0" borderId="186" xfId="0" applyFont="1" applyBorder="1" applyAlignment="1" applyProtection="1">
      <alignment vertical="center"/>
      <protection hidden="1"/>
    </xf>
    <xf numFmtId="0" fontId="7" fillId="6" borderId="186" xfId="0" applyFont="1" applyFill="1" applyBorder="1" applyAlignment="1" applyProtection="1">
      <alignment horizontal="center"/>
      <protection hidden="1"/>
    </xf>
    <xf numFmtId="1" fontId="12" fillId="0" borderId="17" xfId="2" applyNumberFormat="1" applyFont="1" applyBorder="1" applyProtection="1">
      <protection hidden="1"/>
    </xf>
    <xf numFmtId="1" fontId="12" fillId="0" borderId="17" xfId="2" applyNumberFormat="1" applyFont="1" applyBorder="1" applyAlignment="1" applyProtection="1">
      <alignment horizontal="right" vertical="center"/>
      <protection hidden="1"/>
    </xf>
    <xf numFmtId="0" fontId="68" fillId="0" borderId="17" xfId="0" applyFont="1" applyBorder="1" applyAlignment="1" applyProtection="1">
      <alignment horizontal="center" vertical="center"/>
      <protection hidden="1"/>
    </xf>
    <xf numFmtId="0" fontId="68" fillId="0" borderId="20" xfId="0" applyFont="1" applyBorder="1" applyAlignment="1" applyProtection="1">
      <alignment horizontal="center" vertical="center"/>
      <protection hidden="1"/>
    </xf>
    <xf numFmtId="0" fontId="68" fillId="0" borderId="35" xfId="0" applyFont="1" applyBorder="1" applyAlignment="1" applyProtection="1">
      <alignment horizontal="center" vertical="center"/>
      <protection hidden="1"/>
    </xf>
    <xf numFmtId="3" fontId="6" fillId="0" borderId="51" xfId="0" applyNumberFormat="1" applyFont="1" applyBorder="1" applyAlignment="1" applyProtection="1">
      <alignment horizontal="center" vertical="center"/>
      <protection hidden="1"/>
    </xf>
    <xf numFmtId="167" fontId="6" fillId="0" borderId="52" xfId="0" applyNumberFormat="1" applyFont="1" applyBorder="1" applyAlignment="1" applyProtection="1">
      <alignment horizontal="center" vertical="center"/>
      <protection hidden="1"/>
    </xf>
    <xf numFmtId="167" fontId="7" fillId="3" borderId="38" xfId="0" applyNumberFormat="1" applyFont="1" applyFill="1" applyBorder="1" applyAlignment="1" applyProtection="1">
      <alignment horizontal="center" vertical="center"/>
      <protection hidden="1"/>
    </xf>
    <xf numFmtId="167" fontId="7" fillId="3" borderId="44" xfId="0" applyNumberFormat="1" applyFont="1" applyFill="1" applyBorder="1" applyAlignment="1" applyProtection="1">
      <alignment horizontal="center" vertical="center"/>
      <protection hidden="1"/>
    </xf>
    <xf numFmtId="3" fontId="12" fillId="2" borderId="38" xfId="0" applyNumberFormat="1" applyFont="1" applyFill="1" applyBorder="1" applyAlignment="1" applyProtection="1">
      <alignment horizontal="center" vertical="center"/>
      <protection hidden="1"/>
    </xf>
    <xf numFmtId="167" fontId="12" fillId="0" borderId="35" xfId="0" applyNumberFormat="1" applyFont="1" applyBorder="1" applyAlignment="1" applyProtection="1">
      <alignment horizontal="center" vertical="center"/>
      <protection hidden="1"/>
    </xf>
    <xf numFmtId="167" fontId="7" fillId="3" borderId="68" xfId="0" applyNumberFormat="1" applyFont="1" applyFill="1" applyBorder="1" applyAlignment="1" applyProtection="1">
      <alignment horizontal="center" vertical="center"/>
      <protection hidden="1"/>
    </xf>
    <xf numFmtId="167" fontId="7" fillId="3" borderId="35" xfId="0" applyNumberFormat="1" applyFont="1" applyFill="1" applyBorder="1" applyAlignment="1" applyProtection="1">
      <alignment horizontal="center" vertical="center"/>
      <protection hidden="1"/>
    </xf>
    <xf numFmtId="167" fontId="7" fillId="7" borderId="38" xfId="0" applyNumberFormat="1" applyFont="1" applyFill="1" applyBorder="1" applyAlignment="1" applyProtection="1">
      <alignment horizontal="center" vertical="center"/>
      <protection locked="0"/>
    </xf>
    <xf numFmtId="3" fontId="12" fillId="0" borderId="38" xfId="0" applyNumberFormat="1" applyFont="1" applyBorder="1" applyAlignment="1" applyProtection="1">
      <alignment horizontal="center" vertical="center"/>
      <protection hidden="1"/>
    </xf>
    <xf numFmtId="3" fontId="7" fillId="3" borderId="38" xfId="0" applyNumberFormat="1" applyFont="1" applyFill="1" applyBorder="1" applyAlignment="1" applyProtection="1">
      <alignment horizontal="center" vertical="center"/>
      <protection hidden="1"/>
    </xf>
    <xf numFmtId="4" fontId="7" fillId="7" borderId="38" xfId="0" applyNumberFormat="1" applyFont="1" applyFill="1" applyBorder="1" applyAlignment="1" applyProtection="1">
      <alignment horizontal="center" vertical="center"/>
      <protection locked="0"/>
    </xf>
    <xf numFmtId="4" fontId="7" fillId="3" borderId="35" xfId="0" applyNumberFormat="1" applyFont="1" applyFill="1" applyBorder="1" applyAlignment="1" applyProtection="1">
      <alignment horizontal="center" vertical="center"/>
      <protection hidden="1"/>
    </xf>
    <xf numFmtId="167" fontId="7" fillId="3" borderId="35" xfId="0" applyNumberFormat="1" applyFont="1" applyFill="1" applyBorder="1" applyAlignment="1">
      <alignment horizontal="center" vertical="center"/>
    </xf>
    <xf numFmtId="167" fontId="7" fillId="3" borderId="33" xfId="0" applyNumberFormat="1" applyFont="1" applyFill="1" applyBorder="1" applyAlignment="1" applyProtection="1">
      <alignment horizontal="center" vertical="center"/>
      <protection hidden="1"/>
    </xf>
    <xf numFmtId="3" fontId="12" fillId="7" borderId="53" xfId="0" applyNumberFormat="1" applyFont="1" applyFill="1" applyBorder="1" applyAlignment="1" applyProtection="1">
      <alignment horizontal="center" vertical="center"/>
      <protection locked="0"/>
    </xf>
    <xf numFmtId="167" fontId="12" fillId="3" borderId="33" xfId="0" applyNumberFormat="1" applyFont="1" applyFill="1" applyBorder="1" applyAlignment="1">
      <alignment horizontal="center" vertical="center"/>
    </xf>
    <xf numFmtId="167" fontId="12" fillId="3" borderId="33" xfId="0" applyNumberFormat="1" applyFont="1" applyFill="1" applyBorder="1" applyAlignment="1" applyProtection="1">
      <alignment horizontal="center" vertical="center"/>
      <protection hidden="1"/>
    </xf>
    <xf numFmtId="3" fontId="6" fillId="0" borderId="49" xfId="0" applyNumberFormat="1" applyFont="1" applyBorder="1" applyAlignment="1" applyProtection="1">
      <alignment horizontal="center" vertical="center"/>
      <protection hidden="1"/>
    </xf>
    <xf numFmtId="9" fontId="7" fillId="3" borderId="38" xfId="0" applyNumberFormat="1" applyFont="1" applyFill="1" applyBorder="1" applyAlignment="1" applyProtection="1">
      <alignment horizontal="center" vertical="center"/>
      <protection hidden="1"/>
    </xf>
    <xf numFmtId="167" fontId="12" fillId="3" borderId="35" xfId="0" applyNumberFormat="1" applyFont="1" applyFill="1" applyBorder="1" applyAlignment="1" applyProtection="1">
      <alignment horizontal="center" vertical="center"/>
      <protection hidden="1"/>
    </xf>
    <xf numFmtId="164" fontId="7" fillId="3" borderId="35" xfId="0" applyNumberFormat="1" applyFont="1" applyFill="1" applyBorder="1" applyAlignment="1" applyProtection="1">
      <alignment horizontal="center" vertical="center"/>
      <protection hidden="1"/>
    </xf>
    <xf numFmtId="10" fontId="7" fillId="7" borderId="38" xfId="0" applyNumberFormat="1" applyFont="1" applyFill="1" applyBorder="1" applyAlignment="1" applyProtection="1">
      <alignment horizontal="center" vertical="center"/>
      <protection locked="0" hidden="1"/>
    </xf>
    <xf numFmtId="10" fontId="7" fillId="7" borderId="38" xfId="0" applyNumberFormat="1" applyFont="1" applyFill="1" applyBorder="1" applyAlignment="1" applyProtection="1">
      <alignment horizontal="center" vertical="center"/>
      <protection locked="0"/>
    </xf>
    <xf numFmtId="164" fontId="7" fillId="3" borderId="17" xfId="0" applyNumberFormat="1" applyFont="1" applyFill="1" applyBorder="1" applyAlignment="1" applyProtection="1">
      <alignment horizontal="center" vertical="center"/>
      <protection hidden="1"/>
    </xf>
    <xf numFmtId="9" fontId="7" fillId="3" borderId="38" xfId="0" applyNumberFormat="1" applyFont="1" applyFill="1" applyBorder="1" applyAlignment="1" applyProtection="1">
      <alignment horizontal="center" vertical="center"/>
      <protection locked="0" hidden="1"/>
    </xf>
    <xf numFmtId="3" fontId="7" fillId="0" borderId="38" xfId="0" applyNumberFormat="1" applyFont="1" applyBorder="1" applyAlignment="1" applyProtection="1">
      <alignment horizontal="center" vertical="center"/>
      <protection hidden="1"/>
    </xf>
    <xf numFmtId="167" fontId="7" fillId="3" borderId="17" xfId="0" applyNumberFormat="1" applyFont="1" applyFill="1" applyBorder="1" applyAlignment="1" applyProtection="1">
      <alignment horizontal="center" vertical="center"/>
      <protection hidden="1"/>
    </xf>
    <xf numFmtId="3" fontId="58" fillId="7" borderId="38" xfId="0" applyNumberFormat="1" applyFont="1" applyFill="1" applyBorder="1" applyAlignment="1" applyProtection="1">
      <alignment horizontal="center" vertical="center"/>
      <protection locked="0"/>
    </xf>
    <xf numFmtId="9" fontId="12" fillId="3" borderId="38" xfId="0" applyNumberFormat="1" applyFont="1" applyFill="1" applyBorder="1" applyAlignment="1" applyProtection="1">
      <alignment horizontal="center" vertical="center"/>
      <protection hidden="1"/>
    </xf>
    <xf numFmtId="167" fontId="12" fillId="3" borderId="17" xfId="0" applyNumberFormat="1" applyFont="1" applyFill="1" applyBorder="1" applyAlignment="1" applyProtection="1">
      <alignment horizontal="center" vertical="center"/>
      <protection hidden="1"/>
    </xf>
    <xf numFmtId="164" fontId="7" fillId="3" borderId="38" xfId="0" applyNumberFormat="1" applyFont="1" applyFill="1" applyBorder="1" applyAlignment="1" applyProtection="1">
      <alignment horizontal="center" vertical="center"/>
      <protection hidden="1"/>
    </xf>
    <xf numFmtId="167" fontId="12" fillId="3" borderId="20" xfId="0" applyNumberFormat="1" applyFont="1" applyFill="1" applyBorder="1" applyAlignment="1" applyProtection="1">
      <alignment horizontal="center" vertical="center"/>
      <protection hidden="1"/>
    </xf>
    <xf numFmtId="3" fontId="42" fillId="7" borderId="38" xfId="0" applyNumberFormat="1" applyFont="1" applyFill="1" applyBorder="1" applyAlignment="1" applyProtection="1">
      <alignment horizontal="center" vertical="center"/>
      <protection locked="0"/>
    </xf>
    <xf numFmtId="3" fontId="12" fillId="7" borderId="38" xfId="0" applyNumberFormat="1" applyFont="1" applyFill="1" applyBorder="1" applyAlignment="1" applyProtection="1">
      <alignment horizontal="center" vertical="center"/>
      <protection locked="0"/>
    </xf>
    <xf numFmtId="3" fontId="7" fillId="0" borderId="39" xfId="0" applyNumberFormat="1" applyFont="1" applyBorder="1" applyAlignment="1" applyProtection="1">
      <alignment horizontal="center" vertical="center"/>
      <protection hidden="1"/>
    </xf>
    <xf numFmtId="167" fontId="7" fillId="0" borderId="37" xfId="0" applyNumberFormat="1" applyFont="1" applyBorder="1" applyAlignment="1" applyProtection="1">
      <alignment horizontal="center" vertical="center"/>
      <protection hidden="1"/>
    </xf>
    <xf numFmtId="3" fontId="6" fillId="0" borderId="3" xfId="0" applyNumberFormat="1" applyFont="1" applyBorder="1" applyAlignment="1" applyProtection="1">
      <alignment horizontal="center" vertical="center"/>
      <protection hidden="1"/>
    </xf>
    <xf numFmtId="167" fontId="6" fillId="0" borderId="30" xfId="0" applyNumberFormat="1" applyFont="1" applyBorder="1" applyAlignment="1" applyProtection="1">
      <alignment horizontal="center" vertical="center"/>
      <protection hidden="1"/>
    </xf>
    <xf numFmtId="3" fontId="12" fillId="0" borderId="51" xfId="0" applyNumberFormat="1" applyFont="1" applyBorder="1" applyAlignment="1" applyProtection="1">
      <alignment horizontal="center" vertical="center"/>
      <protection hidden="1"/>
    </xf>
    <xf numFmtId="167" fontId="12" fillId="0" borderId="52" xfId="0" applyNumberFormat="1" applyFont="1" applyBorder="1" applyAlignment="1" applyProtection="1">
      <alignment horizontal="center" vertical="center"/>
      <protection hidden="1"/>
    </xf>
    <xf numFmtId="3" fontId="7" fillId="7" borderId="21" xfId="0" applyNumberFormat="1" applyFont="1" applyFill="1" applyBorder="1" applyAlignment="1" applyProtection="1">
      <alignment horizontal="center" vertical="center"/>
      <protection locked="0"/>
    </xf>
    <xf numFmtId="167" fontId="7" fillId="3" borderId="22" xfId="0" applyNumberFormat="1" applyFont="1" applyFill="1" applyBorder="1" applyAlignment="1" applyProtection="1">
      <alignment horizontal="center" vertical="center"/>
      <protection hidden="1"/>
    </xf>
    <xf numFmtId="3" fontId="7" fillId="7" borderId="39" xfId="0" applyNumberFormat="1" applyFont="1" applyFill="1" applyBorder="1" applyAlignment="1" applyProtection="1">
      <alignment horizontal="center" vertical="center"/>
      <protection locked="0"/>
    </xf>
    <xf numFmtId="167" fontId="7" fillId="3" borderId="37" xfId="0" applyNumberFormat="1" applyFont="1" applyFill="1" applyBorder="1" applyAlignment="1" applyProtection="1">
      <alignment horizontal="center" vertical="center"/>
      <protection hidden="1"/>
    </xf>
    <xf numFmtId="167" fontId="12" fillId="0" borderId="70" xfId="0" applyNumberFormat="1" applyFont="1" applyBorder="1" applyAlignment="1" applyProtection="1">
      <alignment horizontal="center" vertical="center"/>
      <protection hidden="1"/>
    </xf>
    <xf numFmtId="3" fontId="12" fillId="7" borderId="49" xfId="0" applyNumberFormat="1" applyFont="1" applyFill="1" applyBorder="1" applyAlignment="1" applyProtection="1">
      <alignment horizontal="center" vertical="center"/>
      <protection locked="0"/>
    </xf>
    <xf numFmtId="3" fontId="12" fillId="7" borderId="3" xfId="0" applyNumberFormat="1" applyFont="1" applyFill="1" applyBorder="1" applyAlignment="1" applyProtection="1">
      <alignment horizontal="center" vertical="center"/>
      <protection locked="0"/>
    </xf>
    <xf numFmtId="167" fontId="12" fillId="0" borderId="5" xfId="0" applyNumberFormat="1" applyFont="1" applyBorder="1" applyAlignment="1" applyProtection="1">
      <alignment horizontal="center" vertical="center"/>
      <protection hidden="1"/>
    </xf>
    <xf numFmtId="3" fontId="12" fillId="0" borderId="54" xfId="0" applyNumberFormat="1" applyFont="1" applyBorder="1" applyAlignment="1" applyProtection="1">
      <alignment horizontal="center" vertical="center"/>
      <protection hidden="1"/>
    </xf>
    <xf numFmtId="167" fontId="12" fillId="0" borderId="33" xfId="0" applyNumberFormat="1" applyFont="1" applyBorder="1" applyAlignment="1" applyProtection="1">
      <alignment horizontal="center" vertical="center"/>
      <protection hidden="1"/>
    </xf>
    <xf numFmtId="3" fontId="7" fillId="7" borderId="53" xfId="0" applyNumberFormat="1" applyFont="1" applyFill="1" applyBorder="1" applyAlignment="1" applyProtection="1">
      <alignment horizontal="center" vertical="center"/>
      <protection locked="0"/>
    </xf>
    <xf numFmtId="167" fontId="7" fillId="3" borderId="58" xfId="0" applyNumberFormat="1" applyFont="1" applyFill="1" applyBorder="1" applyAlignment="1" applyProtection="1">
      <alignment horizontal="center" vertical="center"/>
      <protection hidden="1"/>
    </xf>
    <xf numFmtId="167" fontId="12" fillId="0" borderId="6" xfId="0" applyNumberFormat="1" applyFont="1" applyBorder="1" applyAlignment="1" applyProtection="1">
      <alignment horizontal="center" vertical="center"/>
      <protection hidden="1"/>
    </xf>
    <xf numFmtId="3" fontId="11" fillId="4" borderId="3" xfId="0" applyNumberFormat="1" applyFont="1" applyFill="1" applyBorder="1" applyAlignment="1" applyProtection="1">
      <alignment horizontal="center" vertical="center"/>
      <protection hidden="1"/>
    </xf>
    <xf numFmtId="3" fontId="11" fillId="4" borderId="5" xfId="0" applyNumberFormat="1" applyFont="1" applyFill="1" applyBorder="1" applyAlignment="1" applyProtection="1">
      <alignment horizontal="center" vertical="center"/>
      <protection hidden="1"/>
    </xf>
    <xf numFmtId="167" fontId="11" fillId="3" borderId="5" xfId="0" applyNumberFormat="1" applyFont="1" applyFill="1" applyBorder="1" applyAlignment="1" applyProtection="1">
      <alignment horizontal="center" vertical="center"/>
      <protection hidden="1"/>
    </xf>
    <xf numFmtId="167" fontId="11" fillId="3" borderId="6" xfId="0" applyNumberFormat="1" applyFont="1" applyFill="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3" fontId="12" fillId="0" borderId="32"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32" xfId="0" applyNumberFormat="1" applyFont="1" applyBorder="1" applyAlignment="1" applyProtection="1">
      <alignment horizontal="center" vertical="center"/>
      <protection hidden="1"/>
    </xf>
    <xf numFmtId="3" fontId="12" fillId="0" borderId="33" xfId="0" applyNumberFormat="1" applyFont="1" applyBorder="1" applyAlignment="1" applyProtection="1">
      <alignment horizontal="center" vertical="center"/>
      <protection hidden="1"/>
    </xf>
    <xf numFmtId="3" fontId="12" fillId="0" borderId="17" xfId="0" applyNumberFormat="1" applyFont="1" applyBorder="1" applyAlignment="1" applyProtection="1">
      <alignment horizontal="center" vertical="center"/>
      <protection hidden="1"/>
    </xf>
    <xf numFmtId="3" fontId="11" fillId="0" borderId="36" xfId="0" applyNumberFormat="1" applyFont="1" applyBorder="1" applyAlignment="1" applyProtection="1">
      <alignment horizontal="center" vertical="center"/>
      <protection hidden="1"/>
    </xf>
    <xf numFmtId="3" fontId="11" fillId="0" borderId="37" xfId="0" applyNumberFormat="1" applyFont="1" applyBorder="1" applyAlignment="1" applyProtection="1">
      <alignment horizontal="center" vertical="center"/>
      <protection hidden="1"/>
    </xf>
    <xf numFmtId="3" fontId="6" fillId="0" borderId="4" xfId="0" applyNumberFormat="1" applyFont="1" applyBorder="1" applyAlignment="1">
      <alignment horizontal="center" vertical="center"/>
    </xf>
    <xf numFmtId="3" fontId="6" fillId="0" borderId="4" xfId="0" applyNumberFormat="1" applyFont="1" applyBorder="1" applyAlignment="1" applyProtection="1">
      <alignment horizontal="center" vertical="center"/>
      <protection hidden="1"/>
    </xf>
    <xf numFmtId="3" fontId="6" fillId="0" borderId="2" xfId="0" applyNumberFormat="1" applyFont="1" applyBorder="1" applyAlignment="1" applyProtection="1">
      <alignment horizontal="center" vertical="center"/>
      <protection hidden="1"/>
    </xf>
    <xf numFmtId="3" fontId="6" fillId="0" borderId="56" xfId="0" applyNumberFormat="1" applyFont="1" applyBorder="1" applyAlignment="1" applyProtection="1">
      <alignment horizontal="center" vertical="center"/>
      <protection hidden="1"/>
    </xf>
    <xf numFmtId="3" fontId="6" fillId="0" borderId="29" xfId="0" applyNumberFormat="1" applyFont="1" applyBorder="1" applyAlignment="1" applyProtection="1">
      <alignment horizontal="center" vertical="center"/>
      <protection hidden="1"/>
    </xf>
    <xf numFmtId="3" fontId="6" fillId="0" borderId="30" xfId="0" applyNumberFormat="1" applyFont="1" applyBorder="1" applyAlignment="1" applyProtection="1">
      <alignment horizontal="center" vertical="center"/>
      <protection hidden="1"/>
    </xf>
    <xf numFmtId="3" fontId="12" fillId="0" borderId="20" xfId="0" applyNumberFormat="1" applyFont="1" applyBorder="1" applyAlignment="1" applyProtection="1">
      <alignment horizontal="center" vertical="center"/>
      <protection hidden="1"/>
    </xf>
    <xf numFmtId="3" fontId="12" fillId="7" borderId="35" xfId="0" applyNumberFormat="1" applyFont="1" applyFill="1" applyBorder="1" applyAlignment="1" applyProtection="1">
      <alignment horizontal="center" vertical="center"/>
      <protection locked="0" hidden="1"/>
    </xf>
    <xf numFmtId="3" fontId="12" fillId="0" borderId="36" xfId="0" applyNumberFormat="1" applyFont="1" applyBorder="1" applyAlignment="1" applyProtection="1">
      <alignment horizontal="center" vertical="center"/>
      <protection hidden="1"/>
    </xf>
    <xf numFmtId="3" fontId="12" fillId="0" borderId="37" xfId="0" applyNumberFormat="1" applyFont="1" applyBorder="1" applyAlignment="1" applyProtection="1">
      <alignment horizontal="center" vertical="center"/>
      <protection hidden="1"/>
    </xf>
    <xf numFmtId="3" fontId="11" fillId="0" borderId="63" xfId="0" applyNumberFormat="1" applyFont="1" applyBorder="1" applyAlignment="1" applyProtection="1">
      <alignment horizontal="center" vertical="center"/>
      <protection hidden="1"/>
    </xf>
    <xf numFmtId="3" fontId="11" fillId="0" borderId="67" xfId="0" applyNumberFormat="1" applyFont="1" applyBorder="1" applyAlignment="1" applyProtection="1">
      <alignment horizontal="center" vertical="center"/>
      <protection hidden="1"/>
    </xf>
    <xf numFmtId="167" fontId="52" fillId="0" borderId="48" xfId="0" applyNumberFormat="1" applyFont="1" applyBorder="1" applyAlignment="1" applyProtection="1">
      <alignment horizontal="center" vertical="center"/>
      <protection hidden="1"/>
    </xf>
    <xf numFmtId="167" fontId="52" fillId="0" borderId="5" xfId="0" applyNumberFormat="1" applyFont="1" applyBorder="1" applyAlignment="1" applyProtection="1">
      <alignment horizontal="center" vertical="center"/>
      <protection hidden="1"/>
    </xf>
    <xf numFmtId="3" fontId="12" fillId="0" borderId="19"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3" fontId="12" fillId="0" borderId="23" xfId="0" applyNumberFormat="1" applyFont="1" applyBorder="1" applyAlignment="1" applyProtection="1">
      <alignment horizontal="center" vertical="center"/>
      <protection hidden="1"/>
    </xf>
    <xf numFmtId="164" fontId="59" fillId="7" borderId="17" xfId="2" applyNumberFormat="1" applyFont="1" applyFill="1" applyBorder="1" applyAlignment="1" applyProtection="1">
      <alignment horizontal="center" vertical="center"/>
      <protection locked="0"/>
    </xf>
    <xf numFmtId="164" fontId="59" fillId="7" borderId="35" xfId="2" applyNumberFormat="1" applyFont="1" applyFill="1" applyBorder="1" applyAlignment="1" applyProtection="1">
      <alignment horizontal="center" vertical="center"/>
      <protection locked="0"/>
    </xf>
    <xf numFmtId="0" fontId="59" fillId="0" borderId="147" xfId="0" applyFont="1" applyBorder="1" applyAlignment="1" applyProtection="1">
      <alignment horizontal="right" vertical="center"/>
      <protection hidden="1"/>
    </xf>
    <xf numFmtId="164" fontId="59" fillId="0" borderId="17" xfId="2" applyNumberFormat="1" applyFont="1" applyBorder="1" applyAlignment="1" applyProtection="1">
      <alignment horizontal="center" vertical="center"/>
      <protection hidden="1"/>
    </xf>
    <xf numFmtId="166" fontId="59" fillId="0" borderId="17" xfId="0" applyNumberFormat="1" applyFont="1" applyBorder="1" applyAlignment="1" applyProtection="1">
      <alignment horizontal="center" vertical="center"/>
      <protection hidden="1"/>
    </xf>
    <xf numFmtId="167" fontId="59" fillId="7" borderId="17" xfId="0" applyNumberFormat="1" applyFont="1" applyFill="1" applyBorder="1" applyAlignment="1" applyProtection="1">
      <alignment horizontal="center" vertical="center"/>
      <protection locked="0"/>
    </xf>
    <xf numFmtId="167" fontId="59" fillId="7" borderId="35" xfId="0" applyNumberFormat="1" applyFont="1" applyFill="1" applyBorder="1" applyAlignment="1" applyProtection="1">
      <alignment horizontal="center" vertical="center"/>
      <protection locked="0"/>
    </xf>
    <xf numFmtId="164" fontId="59" fillId="0" borderId="19" xfId="2" applyNumberFormat="1" applyFont="1" applyBorder="1" applyAlignment="1" applyProtection="1">
      <alignment horizontal="center" vertical="center"/>
      <protection hidden="1"/>
    </xf>
    <xf numFmtId="164" fontId="59" fillId="7" borderId="19" xfId="2" applyNumberFormat="1" applyFont="1" applyFill="1" applyBorder="1" applyAlignment="1" applyProtection="1">
      <alignment horizontal="center" vertical="center"/>
      <protection locked="0"/>
    </xf>
    <xf numFmtId="164" fontId="59" fillId="7" borderId="22" xfId="2" applyNumberFormat="1" applyFont="1" applyFill="1" applyBorder="1" applyAlignment="1" applyProtection="1">
      <alignment horizontal="center" vertical="center"/>
      <protection locked="0"/>
    </xf>
    <xf numFmtId="167" fontId="59" fillId="0" borderId="17" xfId="0" applyNumberFormat="1" applyFont="1" applyBorder="1" applyAlignment="1" applyProtection="1">
      <alignment horizontal="center" vertical="center"/>
      <protection hidden="1"/>
    </xf>
    <xf numFmtId="167" fontId="59" fillId="0" borderId="35" xfId="0" applyNumberFormat="1" applyFont="1" applyBorder="1" applyAlignment="1" applyProtection="1">
      <alignment horizontal="center" vertical="center"/>
      <protection hidden="1"/>
    </xf>
    <xf numFmtId="164" fontId="59" fillId="0" borderId="17" xfId="0" applyNumberFormat="1" applyFont="1" applyBorder="1" applyAlignment="1" applyProtection="1">
      <alignment horizontal="center" vertical="center"/>
      <protection hidden="1"/>
    </xf>
    <xf numFmtId="164" fontId="59" fillId="0" borderId="35" xfId="0" applyNumberFormat="1" applyFont="1" applyBorder="1" applyAlignment="1" applyProtection="1">
      <alignment horizontal="center" vertical="center"/>
      <protection hidden="1"/>
    </xf>
    <xf numFmtId="164" fontId="59" fillId="7" borderId="17" xfId="2" applyNumberFormat="1" applyFont="1" applyFill="1" applyBorder="1" applyAlignment="1" applyProtection="1">
      <alignment horizontal="center" vertical="center"/>
      <protection locked="0" hidden="1"/>
    </xf>
    <xf numFmtId="164" fontId="59" fillId="7" borderId="35" xfId="2" applyNumberFormat="1" applyFont="1" applyFill="1" applyBorder="1" applyAlignment="1" applyProtection="1">
      <alignment horizontal="center" vertical="center"/>
      <protection locked="0" hidden="1"/>
    </xf>
    <xf numFmtId="0" fontId="0" fillId="0" borderId="0" xfId="0"/>
    <xf numFmtId="16" fontId="12" fillId="0" borderId="20" xfId="0" applyNumberFormat="1" applyFont="1" applyBorder="1" applyAlignment="1">
      <alignment horizontal="left" vertical="center"/>
    </xf>
    <xf numFmtId="0" fontId="4" fillId="0" borderId="117" xfId="0" applyFont="1" applyBorder="1" applyAlignment="1" applyProtection="1">
      <alignment horizontal="left" vertical="center"/>
      <protection hidden="1"/>
    </xf>
    <xf numFmtId="3" fontId="7" fillId="0" borderId="32" xfId="0" applyNumberFormat="1" applyFont="1" applyBorder="1" applyAlignment="1" applyProtection="1">
      <alignment horizontal="center" vertical="center"/>
      <protection hidden="1"/>
    </xf>
    <xf numFmtId="3" fontId="7" fillId="7" borderId="35" xfId="0" applyNumberFormat="1" applyFont="1" applyFill="1" applyBorder="1" applyAlignment="1" applyProtection="1">
      <alignment horizontal="center" vertical="center"/>
      <protection locked="0"/>
    </xf>
    <xf numFmtId="4" fontId="7" fillId="0" borderId="17" xfId="0" applyNumberFormat="1" applyFont="1" applyBorder="1" applyAlignment="1" applyProtection="1">
      <alignment horizontal="center" vertical="center"/>
      <protection hidden="1"/>
    </xf>
    <xf numFmtId="4" fontId="7" fillId="7" borderId="17" xfId="0" applyNumberFormat="1" applyFont="1" applyFill="1" applyBorder="1" applyAlignment="1" applyProtection="1">
      <alignment horizontal="center" vertical="center"/>
      <protection locked="0"/>
    </xf>
    <xf numFmtId="4" fontId="7" fillId="7" borderId="35" xfId="0" applyNumberFormat="1" applyFont="1" applyFill="1" applyBorder="1" applyAlignment="1" applyProtection="1">
      <alignment horizontal="center" vertical="center"/>
      <protection locked="0"/>
    </xf>
    <xf numFmtId="164" fontId="7" fillId="0" borderId="17" xfId="0" applyNumberFormat="1" applyFont="1" applyBorder="1" applyAlignment="1" applyProtection="1">
      <alignment horizontal="center" vertical="center"/>
      <protection hidden="1"/>
    </xf>
    <xf numFmtId="164" fontId="7" fillId="7" borderId="17" xfId="0" applyNumberFormat="1" applyFont="1" applyFill="1" applyBorder="1" applyAlignment="1" applyProtection="1">
      <alignment horizontal="center" vertical="center"/>
      <protection locked="0"/>
    </xf>
    <xf numFmtId="3" fontId="7" fillId="7" borderId="36" xfId="0" applyNumberFormat="1" applyFont="1" applyFill="1" applyBorder="1" applyAlignment="1" applyProtection="1">
      <alignment horizontal="center" vertical="center"/>
      <protection locked="0"/>
    </xf>
    <xf numFmtId="3" fontId="7" fillId="0" borderId="36" xfId="0" applyNumberFormat="1" applyFont="1" applyBorder="1" applyAlignment="1" applyProtection="1">
      <alignment horizontal="center" vertical="center"/>
      <protection hidden="1"/>
    </xf>
    <xf numFmtId="3" fontId="7" fillId="0" borderId="37" xfId="0" applyNumberFormat="1" applyFont="1" applyBorder="1" applyAlignment="1" applyProtection="1">
      <alignment horizontal="center" vertical="center"/>
      <protection hidden="1"/>
    </xf>
    <xf numFmtId="4" fontId="7" fillId="7" borderId="20" xfId="0" applyNumberFormat="1" applyFont="1" applyFill="1" applyBorder="1" applyAlignment="1" applyProtection="1">
      <alignment horizontal="center" vertical="center"/>
      <protection locked="0"/>
    </xf>
    <xf numFmtId="3" fontId="7" fillId="0" borderId="57" xfId="0" applyNumberFormat="1" applyFont="1" applyBorder="1" applyAlignment="1" applyProtection="1">
      <alignment horizontal="center" vertical="center"/>
      <protection hidden="1"/>
    </xf>
    <xf numFmtId="3" fontId="7" fillId="7" borderId="20" xfId="0" applyNumberFormat="1" applyFont="1" applyFill="1" applyBorder="1" applyAlignment="1" applyProtection="1">
      <alignment horizontal="center" vertical="center"/>
      <protection locked="0"/>
    </xf>
    <xf numFmtId="3" fontId="7" fillId="7" borderId="33" xfId="0" applyNumberFormat="1" applyFont="1" applyFill="1" applyBorder="1" applyAlignment="1" applyProtection="1">
      <alignment horizontal="center" vertical="center"/>
      <protection locked="0"/>
    </xf>
    <xf numFmtId="3" fontId="7" fillId="0" borderId="20" xfId="0" applyNumberFormat="1" applyFont="1" applyBorder="1" applyAlignment="1" applyProtection="1">
      <alignment horizontal="center" vertical="center"/>
      <protection hidden="1"/>
    </xf>
    <xf numFmtId="4" fontId="7" fillId="7" borderId="68" xfId="0" applyNumberFormat="1" applyFont="1" applyFill="1" applyBorder="1" applyAlignment="1" applyProtection="1">
      <alignment horizontal="center" vertical="center"/>
      <protection locked="0"/>
    </xf>
    <xf numFmtId="3" fontId="7" fillId="0" borderId="32" xfId="0" applyNumberFormat="1" applyFont="1" applyBorder="1" applyAlignment="1" applyProtection="1">
      <alignment horizontal="center"/>
      <protection hidden="1"/>
    </xf>
    <xf numFmtId="3" fontId="7" fillId="0" borderId="23" xfId="0" applyNumberFormat="1" applyFont="1" applyBorder="1" applyAlignment="1" applyProtection="1">
      <alignment horizontal="center"/>
      <protection hidden="1"/>
    </xf>
    <xf numFmtId="3" fontId="7" fillId="0" borderId="33" xfId="0" applyNumberFormat="1" applyFont="1" applyBorder="1" applyAlignment="1" applyProtection="1">
      <alignment horizontal="center"/>
      <protection hidden="1"/>
    </xf>
    <xf numFmtId="3" fontId="7" fillId="0" borderId="36" xfId="0" applyNumberFormat="1" applyFont="1" applyBorder="1" applyAlignment="1" applyProtection="1">
      <alignment horizontal="center"/>
      <protection hidden="1"/>
    </xf>
    <xf numFmtId="3" fontId="7" fillId="0" borderId="57" xfId="0" applyNumberFormat="1" applyFont="1" applyBorder="1" applyAlignment="1" applyProtection="1">
      <alignment horizontal="center"/>
      <protection hidden="1"/>
    </xf>
    <xf numFmtId="3" fontId="7" fillId="0" borderId="37" xfId="0" applyNumberFormat="1" applyFont="1" applyBorder="1" applyAlignment="1" applyProtection="1">
      <alignment horizontal="center"/>
      <protection hidden="1"/>
    </xf>
    <xf numFmtId="3" fontId="11" fillId="0" borderId="62" xfId="0" applyNumberFormat="1" applyFont="1" applyBorder="1" applyAlignment="1" applyProtection="1">
      <alignment horizontal="center" vertical="center"/>
      <protection hidden="1"/>
    </xf>
    <xf numFmtId="3" fontId="11" fillId="0" borderId="62" xfId="0" applyNumberFormat="1" applyFont="1" applyBorder="1" applyAlignment="1" applyProtection="1">
      <alignment horizontal="center"/>
      <protection hidden="1"/>
    </xf>
    <xf numFmtId="3" fontId="11" fillId="0" borderId="52" xfId="0" applyNumberFormat="1" applyFont="1" applyBorder="1" applyAlignment="1" applyProtection="1">
      <alignment horizontal="center"/>
      <protection hidden="1"/>
    </xf>
    <xf numFmtId="3" fontId="11" fillId="0" borderId="17" xfId="0" applyNumberFormat="1" applyFont="1" applyBorder="1" applyAlignment="1" applyProtection="1">
      <alignment horizontal="center" vertical="center"/>
      <protection hidden="1"/>
    </xf>
    <xf numFmtId="3" fontId="11" fillId="0" borderId="17" xfId="0" applyNumberFormat="1" applyFont="1" applyBorder="1" applyAlignment="1" applyProtection="1">
      <alignment horizontal="center"/>
      <protection hidden="1"/>
    </xf>
    <xf numFmtId="3" fontId="11" fillId="0" borderId="35" xfId="0" applyNumberFormat="1" applyFont="1" applyBorder="1" applyAlignment="1" applyProtection="1">
      <alignment horizontal="center"/>
      <protection hidden="1"/>
    </xf>
    <xf numFmtId="164" fontId="11" fillId="0" borderId="17" xfId="2" applyNumberFormat="1" applyFont="1" applyBorder="1" applyAlignment="1" applyProtection="1">
      <alignment horizontal="center" vertical="center"/>
      <protection hidden="1"/>
    </xf>
    <xf numFmtId="164" fontId="11" fillId="0" borderId="17" xfId="2" applyNumberFormat="1" applyFont="1" applyBorder="1" applyAlignment="1" applyProtection="1">
      <alignment horizontal="center"/>
      <protection hidden="1"/>
    </xf>
    <xf numFmtId="164" fontId="11" fillId="0" borderId="35" xfId="2" applyNumberFormat="1" applyFont="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3" fontId="11" fillId="6" borderId="63" xfId="0" applyNumberFormat="1" applyFont="1" applyFill="1" applyBorder="1" applyAlignment="1" applyProtection="1">
      <alignment horizontal="center" vertical="center"/>
      <protection hidden="1"/>
    </xf>
    <xf numFmtId="3" fontId="11" fillId="0" borderId="63" xfId="0" applyNumberFormat="1" applyFont="1" applyBorder="1" applyAlignment="1" applyProtection="1">
      <alignment horizontal="center"/>
      <protection hidden="1"/>
    </xf>
    <xf numFmtId="3" fontId="11" fillId="0" borderId="37" xfId="0" applyNumberFormat="1" applyFont="1" applyBorder="1" applyAlignment="1" applyProtection="1">
      <alignment horizontal="center"/>
      <protection hidden="1"/>
    </xf>
    <xf numFmtId="3" fontId="6" fillId="0" borderId="62" xfId="0" applyNumberFormat="1" applyFont="1" applyBorder="1" applyAlignment="1" applyProtection="1">
      <alignment horizontal="center" vertical="center"/>
      <protection hidden="1"/>
    </xf>
    <xf numFmtId="3" fontId="11" fillId="7" borderId="17" xfId="0" applyNumberFormat="1" applyFont="1" applyFill="1" applyBorder="1" applyAlignment="1" applyProtection="1">
      <alignment horizontal="center" vertical="center"/>
      <protection locked="0"/>
    </xf>
    <xf numFmtId="3" fontId="11" fillId="0" borderId="20" xfId="0" applyNumberFormat="1" applyFont="1" applyBorder="1" applyAlignment="1" applyProtection="1">
      <alignment horizontal="center" vertical="center"/>
      <protection hidden="1"/>
    </xf>
    <xf numFmtId="3" fontId="12" fillId="15" borderId="17" xfId="0" applyNumberFormat="1" applyFont="1" applyFill="1" applyBorder="1" applyAlignment="1" applyProtection="1">
      <alignment horizontal="center" vertical="center"/>
      <protection hidden="1"/>
    </xf>
    <xf numFmtId="3" fontId="12" fillId="7" borderId="20" xfId="0" applyNumberFormat="1" applyFont="1" applyFill="1" applyBorder="1" applyAlignment="1" applyProtection="1">
      <alignment horizontal="center" vertical="center"/>
      <protection locked="0"/>
    </xf>
    <xf numFmtId="3" fontId="12" fillId="7" borderId="35" xfId="0" applyNumberFormat="1" applyFont="1" applyFill="1" applyBorder="1" applyAlignment="1" applyProtection="1">
      <alignment horizontal="center" vertical="center"/>
      <protection locked="0"/>
    </xf>
    <xf numFmtId="3" fontId="11" fillId="0" borderId="61" xfId="0" applyNumberFormat="1" applyFont="1" applyBorder="1" applyAlignment="1" applyProtection="1">
      <alignment horizontal="center" vertical="center"/>
      <protection hidden="1"/>
    </xf>
    <xf numFmtId="3" fontId="11" fillId="0" borderId="25" xfId="0" applyNumberFormat="1" applyFont="1" applyBorder="1" applyAlignment="1" applyProtection="1">
      <alignment horizontal="center" vertical="center"/>
      <protection hidden="1"/>
    </xf>
    <xf numFmtId="3" fontId="11" fillId="0" borderId="58" xfId="0" applyNumberFormat="1" applyFont="1" applyBorder="1" applyAlignment="1" applyProtection="1">
      <alignment horizontal="center" vertical="center"/>
      <protection hidden="1"/>
    </xf>
    <xf numFmtId="3" fontId="11" fillId="7" borderId="32" xfId="0" applyNumberFormat="1" applyFont="1" applyFill="1" applyBorder="1" applyAlignment="1" applyProtection="1">
      <alignment horizontal="center" vertical="center"/>
      <protection locked="0"/>
    </xf>
    <xf numFmtId="3" fontId="12" fillId="15" borderId="19" xfId="0" applyNumberFormat="1" applyFont="1" applyFill="1" applyBorder="1" applyAlignment="1" applyProtection="1">
      <alignment horizontal="center" vertical="center"/>
      <protection hidden="1"/>
    </xf>
    <xf numFmtId="3" fontId="11" fillId="7" borderId="61" xfId="0" applyNumberFormat="1" applyFont="1" applyFill="1" applyBorder="1" applyAlignment="1" applyProtection="1">
      <alignment horizontal="center" vertical="center"/>
      <protection locked="0"/>
    </xf>
    <xf numFmtId="3" fontId="11" fillId="0" borderId="61" xfId="0" applyNumberFormat="1" applyFont="1" applyBorder="1" applyAlignment="1" applyProtection="1">
      <alignment horizontal="center" vertical="center"/>
      <protection locked="0" hidden="1"/>
    </xf>
    <xf numFmtId="3" fontId="11" fillId="0" borderId="22" xfId="0" applyNumberFormat="1" applyFont="1" applyBorder="1" applyAlignment="1" applyProtection="1">
      <alignment horizontal="center" vertical="center"/>
      <protection locked="0" hidden="1"/>
    </xf>
    <xf numFmtId="3" fontId="11" fillId="15" borderId="17" xfId="0" applyNumberFormat="1" applyFont="1" applyFill="1" applyBorder="1" applyAlignment="1">
      <alignment horizontal="center" vertical="center"/>
    </xf>
    <xf numFmtId="3" fontId="11" fillId="15" borderId="36" xfId="0" applyNumberFormat="1" applyFont="1" applyFill="1" applyBorder="1" applyAlignment="1">
      <alignment horizontal="center" vertical="center"/>
    </xf>
    <xf numFmtId="3" fontId="12" fillId="7" borderId="36" xfId="0" applyNumberFormat="1" applyFont="1" applyFill="1" applyBorder="1" applyAlignment="1" applyProtection="1">
      <alignment horizontal="center" vertical="center"/>
      <protection locked="0" hidden="1"/>
    </xf>
    <xf numFmtId="3" fontId="12" fillId="7" borderId="37" xfId="0" applyNumberFormat="1" applyFont="1" applyFill="1" applyBorder="1" applyAlignment="1" applyProtection="1">
      <alignment horizontal="center" vertical="center"/>
      <protection locked="0" hidden="1"/>
    </xf>
    <xf numFmtId="3" fontId="6" fillId="0" borderId="50" xfId="0" applyNumberFormat="1" applyFont="1" applyBorder="1" applyAlignment="1" applyProtection="1">
      <alignment horizontal="center" vertical="center"/>
      <protection hidden="1"/>
    </xf>
    <xf numFmtId="3" fontId="6" fillId="0" borderId="52" xfId="0" applyNumberFormat="1" applyFont="1" applyBorder="1" applyAlignment="1" applyProtection="1">
      <alignment horizontal="center" vertical="center"/>
      <protection hidden="1"/>
    </xf>
    <xf numFmtId="3" fontId="11" fillId="7" borderId="36" xfId="0" applyNumberFormat="1" applyFont="1" applyFill="1" applyBorder="1" applyAlignment="1" applyProtection="1">
      <alignment horizontal="center" vertical="center"/>
      <protection locked="0"/>
    </xf>
    <xf numFmtId="3" fontId="11" fillId="0" borderId="57" xfId="0" applyNumberFormat="1" applyFont="1" applyBorder="1" applyAlignment="1" applyProtection="1">
      <alignment horizontal="center" vertical="center"/>
      <protection hidden="1"/>
    </xf>
    <xf numFmtId="3" fontId="11" fillId="0" borderId="4" xfId="0" applyNumberFormat="1" applyFont="1" applyBorder="1" applyAlignment="1">
      <alignment horizontal="center" vertical="center"/>
    </xf>
    <xf numFmtId="3" fontId="11" fillId="0" borderId="4" xfId="0" applyNumberFormat="1" applyFont="1" applyBorder="1" applyAlignment="1" applyProtection="1">
      <alignment horizontal="center" vertical="center"/>
      <protection hidden="1"/>
    </xf>
    <xf numFmtId="3" fontId="6" fillId="0" borderId="63" xfId="0" applyNumberFormat="1" applyFont="1" applyBorder="1" applyAlignment="1" applyProtection="1">
      <alignment horizontal="center" vertical="center"/>
      <protection hidden="1"/>
    </xf>
    <xf numFmtId="3" fontId="6" fillId="0" borderId="64" xfId="0" applyNumberFormat="1" applyFont="1" applyBorder="1" applyAlignment="1" applyProtection="1">
      <alignment horizontal="center" vertical="center"/>
      <protection hidden="1"/>
    </xf>
    <xf numFmtId="3" fontId="6" fillId="0" borderId="5" xfId="0" applyNumberFormat="1" applyFont="1" applyBorder="1" applyAlignment="1" applyProtection="1">
      <alignment horizontal="center" vertical="center"/>
      <protection hidden="1"/>
    </xf>
    <xf numFmtId="3" fontId="6" fillId="0" borderId="48" xfId="0" applyNumberFormat="1" applyFont="1" applyBorder="1" applyAlignment="1" applyProtection="1">
      <alignment horizontal="center" vertical="center"/>
      <protection hidden="1"/>
    </xf>
    <xf numFmtId="3" fontId="6" fillId="0" borderId="24" xfId="0" applyNumberFormat="1" applyFont="1" applyBorder="1" applyAlignment="1" applyProtection="1">
      <alignment horizontal="center" vertical="center"/>
      <protection hidden="1"/>
    </xf>
    <xf numFmtId="3" fontId="6" fillId="0" borderId="32" xfId="0" applyNumberFormat="1" applyFont="1" applyBorder="1" applyAlignment="1" applyProtection="1">
      <alignment horizontal="center" vertical="center"/>
      <protection hidden="1"/>
    </xf>
    <xf numFmtId="3" fontId="6" fillId="0" borderId="166" xfId="0" applyNumberFormat="1" applyFont="1" applyBorder="1" applyAlignment="1" applyProtection="1">
      <alignment horizontal="center" vertical="center"/>
      <protection hidden="1"/>
    </xf>
    <xf numFmtId="3" fontId="12" fillId="9" borderId="32" xfId="0" applyNumberFormat="1" applyFont="1" applyFill="1" applyBorder="1" applyAlignment="1" applyProtection="1">
      <alignment horizontal="center" vertical="center"/>
      <protection hidden="1"/>
    </xf>
    <xf numFmtId="3" fontId="12" fillId="9" borderId="35" xfId="0" applyNumberFormat="1" applyFont="1" applyFill="1" applyBorder="1" applyAlignment="1" applyProtection="1">
      <alignment horizontal="center" vertical="center"/>
      <protection hidden="1"/>
    </xf>
    <xf numFmtId="3" fontId="6" fillId="0" borderId="17" xfId="0" applyNumberFormat="1" applyFont="1" applyBorder="1" applyAlignment="1" applyProtection="1">
      <alignment horizontal="center" vertical="center"/>
      <protection hidden="1"/>
    </xf>
    <xf numFmtId="3" fontId="6" fillId="0" borderId="20" xfId="0" applyNumberFormat="1" applyFont="1" applyBorder="1" applyAlignment="1" applyProtection="1">
      <alignment horizontal="center" vertical="center"/>
      <protection hidden="1"/>
    </xf>
    <xf numFmtId="3" fontId="12" fillId="0" borderId="17" xfId="0" applyNumberFormat="1" applyFont="1" applyFill="1" applyBorder="1" applyAlignment="1" applyProtection="1">
      <alignment horizontal="center" vertical="center"/>
      <protection hidden="1"/>
    </xf>
    <xf numFmtId="3" fontId="12" fillId="7" borderId="20" xfId="0" applyNumberFormat="1" applyFont="1" applyFill="1" applyBorder="1" applyAlignment="1" applyProtection="1">
      <alignment horizontal="center" vertical="center"/>
      <protection locked="0" hidden="1"/>
    </xf>
    <xf numFmtId="3" fontId="12" fillId="7" borderId="0" xfId="0" applyNumberFormat="1" applyFont="1" applyFill="1" applyAlignment="1" applyProtection="1">
      <alignment horizontal="center"/>
      <protection locked="0"/>
    </xf>
    <xf numFmtId="3" fontId="12" fillId="0" borderId="17" xfId="0" applyNumberFormat="1" applyFont="1" applyBorder="1" applyAlignment="1">
      <alignment horizontal="center"/>
    </xf>
    <xf numFmtId="3" fontId="12" fillId="0" borderId="35" xfId="0" applyNumberFormat="1" applyFont="1" applyBorder="1" applyAlignment="1">
      <alignment horizontal="center"/>
    </xf>
    <xf numFmtId="3" fontId="12" fillId="0" borderId="35" xfId="0" applyNumberFormat="1" applyFont="1" applyBorder="1" applyAlignment="1" applyProtection="1">
      <alignment horizontal="center"/>
      <protection hidden="1"/>
    </xf>
    <xf numFmtId="3" fontId="12" fillId="7" borderId="32" xfId="0" applyNumberFormat="1" applyFont="1" applyFill="1" applyBorder="1" applyAlignment="1" applyProtection="1">
      <alignment horizontal="center" vertical="center"/>
      <protection locked="0" hidden="1"/>
    </xf>
    <xf numFmtId="3" fontId="12" fillId="8" borderId="32" xfId="0" applyNumberFormat="1" applyFont="1" applyFill="1" applyBorder="1" applyAlignment="1" applyProtection="1">
      <alignment horizontal="center" vertical="center"/>
      <protection hidden="1"/>
    </xf>
    <xf numFmtId="3" fontId="12" fillId="8" borderId="35" xfId="0" applyNumberFormat="1" applyFont="1" applyFill="1" applyBorder="1" applyAlignment="1" applyProtection="1">
      <alignment horizontal="center" vertical="center"/>
      <protection hidden="1"/>
    </xf>
    <xf numFmtId="3" fontId="5" fillId="0" borderId="4" xfId="0" applyNumberFormat="1" applyFont="1" applyBorder="1" applyAlignment="1" applyProtection="1">
      <alignment horizontal="center" vertical="center"/>
      <protection hidden="1"/>
    </xf>
    <xf numFmtId="3" fontId="4" fillId="0" borderId="120" xfId="0" applyNumberFormat="1" applyFont="1" applyBorder="1" applyAlignment="1" applyProtection="1">
      <alignment horizontal="center" vertical="center"/>
      <protection hidden="1"/>
    </xf>
    <xf numFmtId="0" fontId="45" fillId="0" borderId="17" xfId="0" applyFont="1" applyBorder="1" applyAlignment="1" applyProtection="1">
      <alignment horizontal="center" vertical="center"/>
      <protection hidden="1"/>
    </xf>
    <xf numFmtId="0" fontId="45" fillId="0" borderId="35" xfId="0" applyFont="1" applyBorder="1" applyAlignment="1" applyProtection="1">
      <alignment horizontal="center" vertical="center"/>
      <protection hidden="1"/>
    </xf>
    <xf numFmtId="0" fontId="70" fillId="0" borderId="17"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164" fontId="12" fillId="0" borderId="17" xfId="2" applyNumberFormat="1" applyFont="1" applyBorder="1" applyAlignment="1" applyProtection="1">
      <alignment horizontal="center" vertical="center"/>
      <protection hidden="1"/>
    </xf>
    <xf numFmtId="164" fontId="12" fillId="0" borderId="20" xfId="2" applyNumberFormat="1" applyFont="1" applyBorder="1" applyAlignment="1" applyProtection="1">
      <alignment horizontal="center" vertical="center"/>
      <protection hidden="1"/>
    </xf>
    <xf numFmtId="164" fontId="12" fillId="0" borderId="35" xfId="2" applyNumberFormat="1" applyFont="1" applyBorder="1" applyAlignment="1" applyProtection="1">
      <alignment horizontal="center" vertical="center"/>
      <protection hidden="1"/>
    </xf>
    <xf numFmtId="164" fontId="12" fillId="0" borderId="17" xfId="2" applyNumberFormat="1" applyFont="1" applyBorder="1" applyAlignment="1" applyProtection="1">
      <alignment horizontal="center"/>
      <protection hidden="1"/>
    </xf>
    <xf numFmtId="164" fontId="12" fillId="0" borderId="35" xfId="2" applyNumberFormat="1" applyFont="1" applyBorder="1" applyAlignment="1" applyProtection="1">
      <alignment horizontal="center"/>
      <protection hidden="1"/>
    </xf>
    <xf numFmtId="4" fontId="12" fillId="0" borderId="17" xfId="0" applyNumberFormat="1" applyFont="1" applyBorder="1" applyAlignment="1" applyProtection="1">
      <alignment horizontal="center"/>
      <protection hidden="1"/>
    </xf>
    <xf numFmtId="4" fontId="12" fillId="0" borderId="20" xfId="0" applyNumberFormat="1" applyFont="1" applyBorder="1" applyAlignment="1" applyProtection="1">
      <alignment horizontal="center"/>
      <protection hidden="1"/>
    </xf>
    <xf numFmtId="4" fontId="12" fillId="0" borderId="35" xfId="0" applyNumberFormat="1" applyFont="1" applyBorder="1" applyAlignment="1" applyProtection="1">
      <alignment horizontal="center"/>
      <protection hidden="1"/>
    </xf>
    <xf numFmtId="4" fontId="12" fillId="0" borderId="17" xfId="0" applyNumberFormat="1" applyFont="1" applyBorder="1" applyAlignment="1" applyProtection="1">
      <alignment horizontal="center" vertical="center"/>
      <protection hidden="1"/>
    </xf>
    <xf numFmtId="4" fontId="12" fillId="0" borderId="35" xfId="0" applyNumberFormat="1" applyFont="1" applyBorder="1" applyAlignment="1" applyProtection="1">
      <alignment horizontal="center" vertical="center"/>
      <protection hidden="1"/>
    </xf>
    <xf numFmtId="4" fontId="12" fillId="0" borderId="20" xfId="0" applyNumberFormat="1"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2" fontId="12" fillId="0" borderId="17" xfId="2" applyNumberFormat="1" applyFont="1" applyBorder="1" applyAlignment="1" applyProtection="1">
      <alignment horizontal="center" vertical="center"/>
      <protection hidden="1"/>
    </xf>
    <xf numFmtId="0" fontId="0" fillId="0" borderId="58" xfId="0" applyBorder="1" applyAlignment="1" applyProtection="1">
      <alignment horizontal="center"/>
      <protection hidden="1"/>
    </xf>
    <xf numFmtId="3" fontId="12" fillId="0" borderId="20" xfId="0" applyNumberFormat="1" applyFont="1" applyBorder="1" applyAlignment="1" applyProtection="1">
      <alignment horizontal="center"/>
      <protection hidden="1"/>
    </xf>
    <xf numFmtId="166" fontId="12" fillId="0" borderId="44" xfId="0" applyNumberFormat="1" applyFont="1" applyBorder="1" applyAlignment="1" applyProtection="1">
      <alignment horizontal="center"/>
      <protection hidden="1"/>
    </xf>
    <xf numFmtId="166" fontId="12" fillId="0" borderId="35" xfId="0" applyNumberFormat="1" applyFont="1" applyBorder="1" applyAlignment="1" applyProtection="1">
      <alignment horizontal="center"/>
      <protection hidden="1"/>
    </xf>
    <xf numFmtId="3" fontId="12" fillId="0" borderId="18" xfId="0" applyNumberFormat="1" applyFont="1" applyBorder="1" applyAlignment="1" applyProtection="1">
      <alignment horizontal="center" vertical="center"/>
      <protection hidden="1"/>
    </xf>
    <xf numFmtId="3" fontId="12" fillId="0" borderId="22" xfId="0" applyNumberFormat="1" applyFont="1" applyBorder="1" applyAlignment="1" applyProtection="1">
      <alignment horizontal="center" vertical="center"/>
      <protection hidden="1"/>
    </xf>
    <xf numFmtId="0" fontId="37" fillId="0" borderId="74" xfId="0" applyFont="1" applyBorder="1" applyAlignment="1">
      <alignment horizontal="left"/>
    </xf>
    <xf numFmtId="3" fontId="12" fillId="7" borderId="54" xfId="0" applyNumberFormat="1" applyFont="1" applyFill="1" applyBorder="1" applyAlignment="1" applyProtection="1">
      <alignment horizontal="center" vertical="center"/>
      <protection locked="0"/>
    </xf>
    <xf numFmtId="3" fontId="11" fillId="0" borderId="38" xfId="0" applyNumberFormat="1" applyFont="1" applyBorder="1" applyAlignment="1" applyProtection="1">
      <alignment horizontal="center" vertical="center"/>
      <protection hidden="1"/>
    </xf>
    <xf numFmtId="3" fontId="12" fillId="0" borderId="21" xfId="0" applyNumberFormat="1" applyFont="1" applyBorder="1" applyAlignment="1" applyProtection="1">
      <alignment horizontal="center" vertical="center"/>
      <protection hidden="1"/>
    </xf>
    <xf numFmtId="3" fontId="12" fillId="7" borderId="21" xfId="0" applyNumberFormat="1" applyFont="1" applyFill="1" applyBorder="1" applyAlignment="1" applyProtection="1">
      <alignment horizontal="center" vertical="center"/>
      <protection locked="0"/>
    </xf>
    <xf numFmtId="3" fontId="12" fillId="7" borderId="21" xfId="0" applyNumberFormat="1" applyFont="1" applyFill="1" applyBorder="1" applyAlignment="1" applyProtection="1">
      <alignment horizontal="center" vertical="center"/>
      <protection locked="0" hidden="1"/>
    </xf>
    <xf numFmtId="3" fontId="12" fillId="6" borderId="21" xfId="0" applyNumberFormat="1" applyFont="1" applyFill="1" applyBorder="1" applyAlignment="1">
      <alignment horizontal="center" vertical="center"/>
    </xf>
    <xf numFmtId="164" fontId="52" fillId="7" borderId="21" xfId="0" applyNumberFormat="1" applyFont="1" applyFill="1" applyBorder="1" applyAlignment="1" applyProtection="1">
      <alignment horizontal="center" vertical="center"/>
      <protection locked="0"/>
    </xf>
    <xf numFmtId="3" fontId="11" fillId="0" borderId="39" xfId="0" applyNumberFormat="1" applyFont="1" applyBorder="1" applyAlignment="1" applyProtection="1">
      <alignment horizontal="center" vertical="center"/>
      <protection hidden="1"/>
    </xf>
    <xf numFmtId="0" fontId="7" fillId="6" borderId="186" xfId="0" applyFont="1" applyFill="1" applyBorder="1" applyAlignment="1" applyProtection="1">
      <alignment vertical="center"/>
      <protection hidden="1"/>
    </xf>
    <xf numFmtId="0" fontId="7" fillId="6" borderId="186" xfId="0" applyFont="1" applyFill="1" applyBorder="1" applyProtection="1">
      <protection hidden="1"/>
    </xf>
    <xf numFmtId="0" fontId="7" fillId="6" borderId="185" xfId="0" applyFont="1" applyFill="1" applyBorder="1" applyAlignment="1" applyProtection="1">
      <alignment horizontal="center" vertical="center"/>
      <protection hidden="1"/>
    </xf>
    <xf numFmtId="0" fontId="7" fillId="6" borderId="185" xfId="0" applyFont="1" applyFill="1" applyBorder="1" applyAlignment="1" applyProtection="1">
      <alignment horizontal="left" vertical="center"/>
      <protection hidden="1"/>
    </xf>
    <xf numFmtId="0" fontId="7" fillId="6" borderId="185" xfId="0" applyFont="1" applyFill="1" applyBorder="1" applyAlignment="1" applyProtection="1">
      <alignment vertical="center"/>
      <protection hidden="1"/>
    </xf>
    <xf numFmtId="0" fontId="4" fillId="6" borderId="139" xfId="0" applyFont="1" applyFill="1" applyBorder="1" applyAlignment="1" applyProtection="1">
      <alignment horizontal="right" vertical="center"/>
      <protection hidden="1"/>
    </xf>
    <xf numFmtId="0" fontId="4" fillId="6" borderId="139" xfId="0" applyFont="1" applyFill="1" applyBorder="1" applyAlignment="1" applyProtection="1">
      <alignment vertical="center"/>
      <protection hidden="1"/>
    </xf>
    <xf numFmtId="0" fontId="7" fillId="6" borderId="185" xfId="0" applyFont="1" applyFill="1" applyBorder="1" applyAlignment="1" applyProtection="1">
      <alignment horizontal="left"/>
      <protection hidden="1"/>
    </xf>
    <xf numFmtId="0" fontId="7" fillId="6" borderId="185" xfId="0" applyFont="1" applyFill="1" applyBorder="1" applyProtection="1">
      <protection hidden="1"/>
    </xf>
    <xf numFmtId="0" fontId="7" fillId="6" borderId="185" xfId="0" applyFont="1" applyFill="1" applyBorder="1" applyAlignment="1" applyProtection="1">
      <alignment horizontal="left" wrapText="1"/>
      <protection hidden="1"/>
    </xf>
    <xf numFmtId="0" fontId="0" fillId="0" borderId="0" xfId="0" applyBorder="1" applyAlignment="1">
      <alignment horizontal="center"/>
    </xf>
    <xf numFmtId="0" fontId="7" fillId="0" borderId="0" xfId="0" applyFont="1" applyBorder="1" applyAlignment="1" applyProtection="1">
      <alignment horizontal="center" vertical="center"/>
      <protection hidden="1"/>
    </xf>
    <xf numFmtId="0" fontId="7" fillId="0" borderId="0" xfId="0" applyFont="1" applyBorder="1" applyAlignment="1" applyProtection="1">
      <alignment horizontal="center"/>
      <protection hidden="1"/>
    </xf>
    <xf numFmtId="0" fontId="7" fillId="0" borderId="192" xfId="0" applyFont="1" applyBorder="1" applyAlignment="1" applyProtection="1">
      <alignment horizontal="center" vertical="center"/>
      <protection hidden="1"/>
    </xf>
    <xf numFmtId="0" fontId="4" fillId="3" borderId="193" xfId="0" applyFont="1" applyFill="1" applyBorder="1" applyAlignment="1" applyProtection="1">
      <alignment horizontal="center" vertical="center"/>
      <protection hidden="1"/>
    </xf>
    <xf numFmtId="0" fontId="7" fillId="0" borderId="191" xfId="0" applyFont="1" applyBorder="1" applyAlignment="1" applyProtection="1">
      <alignment vertical="center"/>
      <protection hidden="1"/>
    </xf>
    <xf numFmtId="0" fontId="4" fillId="0" borderId="191" xfId="0" applyFont="1" applyBorder="1" applyAlignment="1" applyProtection="1">
      <alignment horizontal="left" vertical="center" wrapText="1"/>
      <protection hidden="1"/>
    </xf>
    <xf numFmtId="0" fontId="7" fillId="0" borderId="117" xfId="0" applyFont="1" applyBorder="1" applyAlignment="1" applyProtection="1">
      <alignment horizontal="center" vertical="center"/>
      <protection hidden="1"/>
    </xf>
    <xf numFmtId="0" fontId="7" fillId="0" borderId="195" xfId="0" applyFont="1" applyBorder="1" applyAlignment="1" applyProtection="1">
      <alignment horizontal="center" vertical="center"/>
      <protection hidden="1"/>
    </xf>
    <xf numFmtId="0" fontId="4" fillId="0" borderId="114" xfId="0" applyFont="1" applyBorder="1" applyAlignment="1" applyProtection="1">
      <alignment vertical="center"/>
      <protection hidden="1"/>
    </xf>
    <xf numFmtId="0" fontId="7" fillId="0" borderId="133" xfId="0" applyFont="1" applyBorder="1" applyAlignment="1" applyProtection="1">
      <alignment horizontal="center"/>
      <protection hidden="1"/>
    </xf>
    <xf numFmtId="0" fontId="7" fillId="0" borderId="133" xfId="0" applyFont="1" applyBorder="1" applyProtection="1">
      <protection hidden="1"/>
    </xf>
    <xf numFmtId="167" fontId="7" fillId="0" borderId="133" xfId="0" applyNumberFormat="1" applyFont="1" applyBorder="1" applyAlignment="1" applyProtection="1">
      <alignment horizontal="right"/>
      <protection hidden="1"/>
    </xf>
    <xf numFmtId="0" fontId="0" fillId="0" borderId="133" xfId="0" applyBorder="1" applyProtection="1">
      <protection hidden="1"/>
    </xf>
    <xf numFmtId="0" fontId="7" fillId="0" borderId="193" xfId="0" applyFont="1" applyBorder="1" applyAlignment="1" applyProtection="1">
      <alignment horizontal="center" vertical="center"/>
      <protection hidden="1"/>
    </xf>
    <xf numFmtId="0" fontId="7" fillId="0" borderId="144" xfId="0" applyFont="1" applyBorder="1" applyAlignment="1" applyProtection="1">
      <alignment vertical="center"/>
      <protection hidden="1"/>
    </xf>
    <xf numFmtId="167" fontId="7" fillId="0" borderId="138" xfId="0" applyNumberFormat="1" applyFont="1" applyBorder="1" applyAlignment="1" applyProtection="1">
      <alignment horizontal="center" vertical="center"/>
      <protection hidden="1"/>
    </xf>
    <xf numFmtId="0" fontId="7" fillId="0" borderId="196" xfId="0" applyFont="1" applyBorder="1" applyAlignment="1" applyProtection="1">
      <alignment vertical="center"/>
      <protection hidden="1"/>
    </xf>
    <xf numFmtId="0" fontId="7" fillId="0" borderId="13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91" xfId="0" applyFont="1" applyBorder="1" applyAlignment="1" applyProtection="1">
      <alignment vertical="center"/>
      <protection hidden="1"/>
    </xf>
    <xf numFmtId="0" fontId="7" fillId="0" borderId="191" xfId="0" applyFont="1" applyBorder="1" applyAlignment="1" applyProtection="1">
      <alignment horizontal="left" vertical="center"/>
      <protection hidden="1"/>
    </xf>
    <xf numFmtId="0" fontId="4" fillId="0" borderId="191" xfId="0" applyFont="1" applyBorder="1" applyAlignment="1" applyProtection="1">
      <alignment horizontal="left" vertical="center"/>
      <protection hidden="1"/>
    </xf>
    <xf numFmtId="0" fontId="4" fillId="0" borderId="209" xfId="0" applyFont="1" applyBorder="1" applyAlignment="1" applyProtection="1">
      <alignment vertical="center"/>
      <protection hidden="1"/>
    </xf>
    <xf numFmtId="0" fontId="4" fillId="0" borderId="121" xfId="0" applyFont="1" applyBorder="1" applyAlignment="1" applyProtection="1">
      <alignment vertical="center"/>
      <protection hidden="1"/>
    </xf>
    <xf numFmtId="0" fontId="4" fillId="0" borderId="121" xfId="0" applyFont="1" applyBorder="1" applyAlignment="1" applyProtection="1">
      <alignment horizontal="left" vertical="center"/>
      <protection hidden="1"/>
    </xf>
    <xf numFmtId="0" fontId="4" fillId="0" borderId="129"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4" fillId="0" borderId="144" xfId="0" applyFont="1" applyBorder="1" applyAlignment="1" applyProtection="1">
      <alignment vertical="center"/>
      <protection hidden="1"/>
    </xf>
    <xf numFmtId="0" fontId="4" fillId="0" borderId="115" xfId="0" applyFont="1" applyBorder="1" applyAlignment="1" applyProtection="1">
      <alignment horizontal="center" vertical="center"/>
      <protection hidden="1"/>
    </xf>
    <xf numFmtId="0" fontId="7" fillId="3" borderId="193" xfId="0" applyFont="1" applyFill="1" applyBorder="1" applyAlignment="1" applyProtection="1">
      <alignment horizontal="center" vertical="center"/>
      <protection hidden="1"/>
    </xf>
    <xf numFmtId="0" fontId="7" fillId="0" borderId="191" xfId="0" applyFont="1" applyBorder="1" applyAlignment="1" applyProtection="1">
      <alignment horizontal="center" vertical="center"/>
      <protection hidden="1"/>
    </xf>
    <xf numFmtId="0" fontId="4" fillId="0" borderId="118" xfId="0" applyFont="1" applyBorder="1" applyAlignment="1" applyProtection="1">
      <alignment vertical="center"/>
      <protection hidden="1"/>
    </xf>
    <xf numFmtId="0" fontId="4" fillId="0" borderId="205" xfId="0" applyFont="1" applyBorder="1" applyAlignment="1" applyProtection="1">
      <alignment horizontal="left" vertical="center"/>
      <protection hidden="1"/>
    </xf>
    <xf numFmtId="0" fontId="7" fillId="0" borderId="114" xfId="0" applyFont="1" applyBorder="1"/>
    <xf numFmtId="0" fontId="4" fillId="0" borderId="210" xfId="0" applyFont="1" applyBorder="1" applyAlignment="1" applyProtection="1">
      <alignment horizontal="left"/>
      <protection hidden="1"/>
    </xf>
    <xf numFmtId="0" fontId="4" fillId="0" borderId="118" xfId="0" applyFont="1" applyBorder="1" applyAlignment="1" applyProtection="1">
      <alignment horizontal="center" vertical="center"/>
      <protection hidden="1"/>
    </xf>
    <xf numFmtId="3" fontId="7" fillId="0" borderId="121" xfId="0" applyNumberFormat="1" applyFont="1" applyBorder="1" applyAlignment="1" applyProtection="1">
      <alignment horizontal="right" vertical="center"/>
      <protection hidden="1"/>
    </xf>
    <xf numFmtId="49" fontId="7" fillId="8" borderId="0" xfId="0" applyNumberFormat="1" applyFont="1" applyFill="1" applyBorder="1" applyAlignment="1" applyProtection="1">
      <alignment vertical="center"/>
      <protection hidden="1"/>
    </xf>
    <xf numFmtId="49" fontId="7" fillId="8" borderId="213" xfId="0" applyNumberFormat="1" applyFont="1" applyFill="1" applyBorder="1" applyAlignment="1" applyProtection="1">
      <alignment vertical="center"/>
      <protection hidden="1"/>
    </xf>
    <xf numFmtId="0" fontId="4" fillId="0" borderId="215" xfId="0" applyFont="1" applyBorder="1" applyAlignment="1">
      <alignment vertical="center"/>
    </xf>
    <xf numFmtId="3" fontId="4" fillId="0" borderId="215" xfId="0" applyNumberFormat="1" applyFont="1" applyBorder="1" applyAlignment="1" applyProtection="1">
      <alignment horizontal="center" vertical="center"/>
      <protection hidden="1"/>
    </xf>
    <xf numFmtId="0" fontId="4" fillId="0" borderId="215" xfId="0" applyFont="1" applyFill="1" applyBorder="1" applyAlignment="1">
      <alignment horizontal="center" vertical="center"/>
    </xf>
    <xf numFmtId="167" fontId="4" fillId="0" borderId="223" xfId="0" applyNumberFormat="1" applyFont="1" applyFill="1" applyBorder="1" applyAlignment="1" applyProtection="1">
      <alignment horizontal="center" vertical="center"/>
    </xf>
    <xf numFmtId="167" fontId="4" fillId="0" borderId="223" xfId="0" applyNumberFormat="1" applyFont="1" applyBorder="1" applyAlignment="1" applyProtection="1">
      <alignment horizontal="center" vertical="center"/>
    </xf>
    <xf numFmtId="4" fontId="41" fillId="0" borderId="0" xfId="0" applyNumberFormat="1" applyFont="1" applyBorder="1" applyAlignment="1" applyProtection="1">
      <alignment vertical="center"/>
      <protection hidden="1"/>
    </xf>
    <xf numFmtId="0" fontId="0" fillId="0" borderId="0" xfId="0" applyBorder="1" applyAlignment="1">
      <alignment vertical="center"/>
    </xf>
    <xf numFmtId="4" fontId="4" fillId="0" borderId="0" xfId="0" applyNumberFormat="1" applyFont="1" applyBorder="1" applyAlignment="1">
      <alignment vertical="center"/>
    </xf>
    <xf numFmtId="4" fontId="39" fillId="0" borderId="0" xfId="0" applyNumberFormat="1" applyFont="1" applyBorder="1" applyAlignment="1" applyProtection="1">
      <alignment vertical="center"/>
      <protection hidden="1"/>
    </xf>
    <xf numFmtId="0" fontId="7" fillId="3" borderId="117" xfId="0" applyFont="1" applyFill="1" applyBorder="1" applyAlignment="1">
      <alignment horizontal="center" vertical="center" wrapText="1"/>
    </xf>
    <xf numFmtId="0" fontId="4" fillId="3" borderId="117" xfId="0" applyFont="1" applyFill="1" applyBorder="1" applyAlignment="1">
      <alignment horizontal="center" vertical="center"/>
    </xf>
    <xf numFmtId="167" fontId="7" fillId="0" borderId="226" xfId="0" applyNumberFormat="1" applyFont="1" applyFill="1" applyBorder="1" applyAlignment="1" applyProtection="1">
      <alignment horizontal="center" vertical="center"/>
      <protection hidden="1"/>
    </xf>
    <xf numFmtId="167" fontId="7" fillId="0" borderId="115" xfId="0" applyNumberFormat="1" applyFont="1" applyFill="1" applyBorder="1" applyAlignment="1" applyProtection="1">
      <alignment horizontal="center" vertical="center"/>
      <protection hidden="1"/>
    </xf>
    <xf numFmtId="0" fontId="4" fillId="6" borderId="120" xfId="0" applyFont="1" applyFill="1" applyBorder="1" applyAlignment="1" applyProtection="1">
      <alignment horizontal="center" vertical="center"/>
      <protection hidden="1"/>
    </xf>
    <xf numFmtId="167" fontId="4" fillId="0" borderId="225" xfId="0" applyNumberFormat="1" applyFont="1" applyBorder="1" applyAlignment="1" applyProtection="1">
      <alignment horizontal="center" vertical="center"/>
      <protection hidden="1"/>
    </xf>
    <xf numFmtId="0" fontId="4" fillId="6" borderId="135" xfId="0" applyFont="1" applyFill="1" applyBorder="1" applyAlignment="1" applyProtection="1">
      <alignment horizontal="center" vertical="center"/>
      <protection hidden="1"/>
    </xf>
    <xf numFmtId="0" fontId="4" fillId="12" borderId="133" xfId="0" applyFont="1" applyFill="1" applyBorder="1" applyAlignment="1" applyProtection="1">
      <alignment horizontal="center" vertical="center"/>
      <protection hidden="1"/>
    </xf>
    <xf numFmtId="167" fontId="4" fillId="12" borderId="133" xfId="0" applyNumberFormat="1" applyFont="1" applyFill="1" applyBorder="1" applyAlignment="1" applyProtection="1">
      <alignment horizontal="center" vertical="center"/>
      <protection hidden="1"/>
    </xf>
    <xf numFmtId="164" fontId="59" fillId="0" borderId="120" xfId="2" applyNumberFormat="1" applyFont="1" applyBorder="1" applyAlignment="1" applyProtection="1">
      <alignment horizontal="center" vertical="center"/>
      <protection hidden="1"/>
    </xf>
    <xf numFmtId="0" fontId="45" fillId="0" borderId="44" xfId="0" applyFont="1" applyBorder="1" applyAlignment="1" applyProtection="1">
      <alignment horizontal="center" vertical="center"/>
      <protection hidden="1"/>
    </xf>
    <xf numFmtId="0" fontId="45" fillId="0" borderId="10" xfId="0" applyFont="1" applyBorder="1" applyAlignment="1" applyProtection="1">
      <alignment horizontal="center" vertical="center"/>
      <protection hidden="1"/>
    </xf>
    <xf numFmtId="2" fontId="4" fillId="0" borderId="120" xfId="2" applyNumberFormat="1" applyFont="1" applyBorder="1" applyAlignment="1" applyProtection="1">
      <alignment horizontal="center"/>
      <protection hidden="1"/>
    </xf>
    <xf numFmtId="164" fontId="52" fillId="0" borderId="17" xfId="2" applyNumberFormat="1" applyFont="1" applyBorder="1" applyAlignment="1" applyProtection="1">
      <alignment horizontal="center" vertical="center"/>
      <protection hidden="1"/>
    </xf>
    <xf numFmtId="164" fontId="52" fillId="0" borderId="20" xfId="2" applyNumberFormat="1" applyFont="1" applyBorder="1" applyAlignment="1" applyProtection="1">
      <alignment horizontal="center" vertical="center"/>
      <protection hidden="1"/>
    </xf>
    <xf numFmtId="164" fontId="52" fillId="0" borderId="35" xfId="2" applyNumberFormat="1" applyFont="1" applyBorder="1" applyAlignment="1" applyProtection="1">
      <alignment horizontal="center" vertical="center"/>
      <protection hidden="1"/>
    </xf>
    <xf numFmtId="164" fontId="52" fillId="0" borderId="187" xfId="2" applyNumberFormat="1" applyFont="1" applyBorder="1" applyAlignment="1" applyProtection="1">
      <alignment horizontal="center" vertical="center"/>
      <protection hidden="1"/>
    </xf>
    <xf numFmtId="3" fontId="12" fillId="5" borderId="32" xfId="0" applyNumberFormat="1" applyFont="1" applyFill="1" applyBorder="1" applyAlignment="1" applyProtection="1">
      <alignment horizontal="center" vertical="center"/>
      <protection hidden="1"/>
    </xf>
    <xf numFmtId="3" fontId="12" fillId="5" borderId="17" xfId="0" applyNumberFormat="1" applyFont="1" applyFill="1" applyBorder="1" applyAlignment="1" applyProtection="1">
      <alignment horizontal="center" vertical="center"/>
      <protection hidden="1"/>
    </xf>
    <xf numFmtId="3" fontId="12" fillId="5" borderId="17" xfId="0" applyNumberFormat="1" applyFont="1" applyFill="1" applyBorder="1" applyAlignment="1">
      <alignment horizontal="center" vertical="center"/>
    </xf>
    <xf numFmtId="3" fontId="12" fillId="5" borderId="36" xfId="0" applyNumberFormat="1" applyFont="1" applyFill="1" applyBorder="1" applyAlignment="1" applyProtection="1">
      <alignment horizontal="center" vertical="center"/>
      <protection hidden="1"/>
    </xf>
    <xf numFmtId="3" fontId="12" fillId="5" borderId="36" xfId="0" applyNumberFormat="1" applyFont="1" applyFill="1" applyBorder="1" applyAlignment="1">
      <alignment horizontal="center" vertical="center"/>
    </xf>
    <xf numFmtId="3" fontId="11" fillId="5" borderId="36" xfId="0" applyNumberFormat="1" applyFont="1" applyFill="1" applyBorder="1" applyAlignment="1" applyProtection="1">
      <alignment horizontal="center" vertical="center"/>
      <protection hidden="1"/>
    </xf>
    <xf numFmtId="0" fontId="12" fillId="5" borderId="17" xfId="0" applyFont="1" applyFill="1" applyBorder="1" applyAlignment="1" applyProtection="1">
      <alignment horizontal="center" vertical="center"/>
      <protection hidden="1"/>
    </xf>
    <xf numFmtId="0" fontId="12" fillId="5" borderId="44" xfId="0" applyFont="1" applyFill="1" applyBorder="1" applyAlignment="1">
      <alignment horizontal="center" vertical="center"/>
    </xf>
    <xf numFmtId="0" fontId="12" fillId="5" borderId="17" xfId="0" applyFont="1" applyFill="1" applyBorder="1" applyAlignment="1">
      <alignment horizontal="center" vertical="center"/>
    </xf>
    <xf numFmtId="164" fontId="59" fillId="5" borderId="44" xfId="0" applyNumberFormat="1" applyFont="1" applyFill="1" applyBorder="1" applyAlignment="1" applyProtection="1">
      <alignment horizontal="center"/>
      <protection hidden="1"/>
    </xf>
    <xf numFmtId="4" fontId="12" fillId="5" borderId="17" xfId="0" applyNumberFormat="1" applyFont="1" applyFill="1" applyBorder="1" applyAlignment="1" applyProtection="1">
      <alignment horizontal="center"/>
      <protection hidden="1"/>
    </xf>
    <xf numFmtId="0" fontId="45" fillId="5" borderId="17" xfId="0" applyFont="1" applyFill="1" applyBorder="1" applyAlignment="1" applyProtection="1">
      <alignment horizontal="center" vertical="center"/>
      <protection hidden="1"/>
    </xf>
    <xf numFmtId="0" fontId="4" fillId="0" borderId="67" xfId="0" applyFont="1" applyBorder="1" applyAlignment="1">
      <alignment horizontal="center"/>
    </xf>
    <xf numFmtId="0" fontId="4" fillId="0" borderId="34" xfId="0" applyFont="1" applyBorder="1" applyAlignment="1">
      <alignment horizontal="center" vertical="center"/>
    </xf>
    <xf numFmtId="0" fontId="4" fillId="0" borderId="67" xfId="0" applyFont="1" applyBorder="1" applyAlignment="1">
      <alignment horizontal="center" vertical="center"/>
    </xf>
    <xf numFmtId="0" fontId="6" fillId="0" borderId="4" xfId="0" applyFont="1" applyBorder="1" applyAlignment="1">
      <alignment vertical="center"/>
    </xf>
    <xf numFmtId="0" fontId="11" fillId="0" borderId="0" xfId="0" applyFont="1" applyBorder="1" applyAlignment="1" applyProtection="1">
      <alignment vertical="center"/>
      <protection hidden="1"/>
    </xf>
    <xf numFmtId="0" fontId="11" fillId="0" borderId="66" xfId="0" applyFont="1" applyBorder="1" applyAlignment="1">
      <alignment horizontal="right" vertical="center"/>
    </xf>
    <xf numFmtId="1" fontId="6" fillId="7" borderId="63" xfId="0" applyNumberFormat="1" applyFont="1" applyFill="1" applyBorder="1" applyAlignment="1" applyProtection="1">
      <alignment horizontal="center" vertical="center"/>
      <protection locked="0"/>
    </xf>
    <xf numFmtId="1" fontId="6" fillId="7" borderId="63" xfId="0" applyNumberFormat="1" applyFont="1" applyFill="1" applyBorder="1" applyAlignment="1" applyProtection="1">
      <alignment horizontal="center" vertical="center"/>
      <protection locked="0" hidden="1"/>
    </xf>
    <xf numFmtId="0" fontId="4" fillId="0" borderId="232" xfId="0" applyFont="1" applyBorder="1" applyAlignment="1" applyProtection="1">
      <alignment horizontal="left" vertical="center"/>
      <protection hidden="1"/>
    </xf>
    <xf numFmtId="0" fontId="4" fillId="0" borderId="233" xfId="0" applyFont="1" applyBorder="1" applyAlignment="1" applyProtection="1">
      <alignment horizontal="right" vertical="center"/>
      <protection hidden="1"/>
    </xf>
    <xf numFmtId="0" fontId="7" fillId="0" borderId="234" xfId="0" applyFont="1" applyBorder="1" applyProtection="1">
      <protection hidden="1"/>
    </xf>
    <xf numFmtId="0" fontId="71" fillId="0" borderId="235" xfId="0" applyFont="1" applyBorder="1" applyAlignment="1" applyProtection="1">
      <alignment horizontal="right" vertical="center"/>
      <protection hidden="1"/>
    </xf>
    <xf numFmtId="0" fontId="4" fillId="0" borderId="233" xfId="0" applyFont="1" applyBorder="1" applyAlignment="1" applyProtection="1">
      <alignment horizontal="left" vertical="center"/>
      <protection hidden="1"/>
    </xf>
    <xf numFmtId="0" fontId="52" fillId="0" borderId="235" xfId="0" applyFont="1" applyBorder="1" applyAlignment="1" applyProtection="1">
      <alignment horizontal="right" vertical="center"/>
      <protection hidden="1"/>
    </xf>
    <xf numFmtId="49" fontId="7" fillId="0" borderId="0" xfId="0" applyNumberFormat="1" applyFont="1" applyFill="1" applyBorder="1" applyAlignment="1" applyProtection="1">
      <alignment horizontal="left" vertical="center"/>
      <protection hidden="1"/>
    </xf>
    <xf numFmtId="0" fontId="7" fillId="0" borderId="115" xfId="0" applyNumberFormat="1" applyFont="1" applyFill="1" applyBorder="1" applyAlignment="1" applyProtection="1">
      <alignment horizontal="left" vertical="center"/>
      <protection hidden="1"/>
    </xf>
    <xf numFmtId="0" fontId="7" fillId="0" borderId="0" xfId="0" applyNumberFormat="1" applyFont="1" applyFill="1" applyBorder="1" applyAlignment="1" applyProtection="1">
      <alignment horizontal="left" vertical="center"/>
      <protection hidden="1"/>
    </xf>
    <xf numFmtId="0" fontId="4" fillId="8" borderId="236" xfId="0" applyFont="1" applyFill="1" applyBorder="1" applyAlignment="1" applyProtection="1">
      <alignment horizontal="left" vertical="center"/>
      <protection hidden="1"/>
    </xf>
    <xf numFmtId="0" fontId="4" fillId="8" borderId="0" xfId="0" applyFont="1" applyFill="1" applyBorder="1" applyAlignment="1" applyProtection="1">
      <alignment vertical="center"/>
      <protection hidden="1"/>
    </xf>
    <xf numFmtId="0" fontId="3" fillId="0" borderId="0" xfId="0" applyFont="1" applyBorder="1"/>
    <xf numFmtId="0" fontId="12" fillId="0" borderId="31" xfId="0" applyFont="1" applyBorder="1" applyAlignment="1">
      <alignment horizontal="center" vertical="center"/>
    </xf>
    <xf numFmtId="0" fontId="12" fillId="0" borderId="146" xfId="0" applyFont="1" applyBorder="1" applyAlignment="1">
      <alignment horizontal="center" vertical="center"/>
    </xf>
    <xf numFmtId="0" fontId="12" fillId="0" borderId="147" xfId="0" applyFont="1" applyBorder="1" applyAlignment="1">
      <alignment horizontal="center" vertical="center"/>
    </xf>
    <xf numFmtId="0" fontId="12" fillId="0" borderId="168" xfId="0" applyFont="1" applyBorder="1" applyAlignment="1" applyProtection="1">
      <alignment horizontal="center" vertical="center"/>
      <protection hidden="1"/>
    </xf>
    <xf numFmtId="0" fontId="12" fillId="0" borderId="167" xfId="0" applyFont="1" applyBorder="1" applyAlignment="1" applyProtection="1">
      <alignment horizontal="center" vertical="center"/>
      <protection hidden="1"/>
    </xf>
    <xf numFmtId="3" fontId="12" fillId="0" borderId="30" xfId="0" applyNumberFormat="1" applyFont="1" applyBorder="1" applyAlignment="1" applyProtection="1">
      <alignment horizontal="center" vertical="center"/>
      <protection hidden="1"/>
    </xf>
    <xf numFmtId="4" fontId="59" fillId="6" borderId="120" xfId="0" applyNumberFormat="1" applyFont="1" applyFill="1" applyBorder="1" applyAlignment="1" applyProtection="1">
      <alignment horizontal="center" vertical="center"/>
      <protection hidden="1"/>
    </xf>
    <xf numFmtId="4" fontId="12" fillId="8" borderId="17" xfId="0" applyNumberFormat="1" applyFont="1" applyFill="1" applyBorder="1" applyAlignment="1" applyProtection="1">
      <alignment horizontal="center"/>
      <protection hidden="1"/>
    </xf>
    <xf numFmtId="0" fontId="12"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hidden="1"/>
    </xf>
    <xf numFmtId="3" fontId="43" fillId="6" borderId="17" xfId="0" applyNumberFormat="1" applyFont="1" applyFill="1" applyBorder="1" applyAlignment="1" applyProtection="1">
      <alignment horizontal="center" vertical="center"/>
      <protection hidden="1"/>
    </xf>
    <xf numFmtId="3" fontId="5" fillId="0" borderId="0" xfId="0" applyNumberFormat="1" applyFont="1" applyAlignment="1" applyProtection="1">
      <alignment horizontal="center" vertical="center"/>
      <protection hidden="1"/>
    </xf>
    <xf numFmtId="3" fontId="11" fillId="0" borderId="16" xfId="0" applyNumberFormat="1" applyFont="1" applyBorder="1" applyAlignment="1" applyProtection="1">
      <alignment horizontal="center" vertical="center"/>
      <protection hidden="1"/>
    </xf>
    <xf numFmtId="3" fontId="5" fillId="2" borderId="0" xfId="0" applyNumberFormat="1" applyFont="1" applyFill="1" applyAlignment="1" applyProtection="1">
      <alignment horizontal="center" vertical="center"/>
      <protection hidden="1"/>
    </xf>
    <xf numFmtId="0" fontId="47" fillId="0" borderId="0" xfId="0" applyFont="1" applyAlignment="1">
      <alignment horizontal="center" vertical="center"/>
    </xf>
    <xf numFmtId="0" fontId="39" fillId="0" borderId="0" xfId="0" applyFont="1" applyAlignment="1" applyProtection="1">
      <alignment horizontal="center"/>
      <protection hidden="1"/>
    </xf>
    <xf numFmtId="3" fontId="12" fillId="6" borderId="17" xfId="0" applyNumberFormat="1" applyFont="1" applyFill="1" applyBorder="1" applyAlignment="1" applyProtection="1">
      <alignment horizontal="center" vertical="center"/>
      <protection hidden="1"/>
    </xf>
    <xf numFmtId="3" fontId="12" fillId="0" borderId="10" xfId="0" applyNumberFormat="1" applyFont="1" applyBorder="1" applyAlignment="1" applyProtection="1">
      <alignment horizontal="center" vertical="center"/>
      <protection hidden="1"/>
    </xf>
    <xf numFmtId="3" fontId="12" fillId="0" borderId="7"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0" fillId="0" borderId="16" xfId="0" applyNumberFormat="1" applyBorder="1" applyAlignment="1" applyProtection="1">
      <alignment horizontal="center" vertical="center"/>
      <protection hidden="1"/>
    </xf>
    <xf numFmtId="3" fontId="12" fillId="0" borderId="0" xfId="0" applyNumberFormat="1" applyFont="1" applyAlignment="1" applyProtection="1">
      <alignment horizontal="center" vertical="center"/>
      <protection hidden="1"/>
    </xf>
    <xf numFmtId="4" fontId="71" fillId="0" borderId="120" xfId="0" applyNumberFormat="1" applyFont="1" applyBorder="1" applyAlignment="1" applyProtection="1">
      <alignment horizontal="center" vertical="center"/>
      <protection hidden="1"/>
    </xf>
    <xf numFmtId="3" fontId="12" fillId="0" borderId="35" xfId="0" applyNumberFormat="1" applyFont="1" applyFill="1" applyBorder="1" applyAlignment="1" applyProtection="1">
      <alignment horizontal="center" vertical="center"/>
      <protection hidden="1"/>
    </xf>
    <xf numFmtId="164" fontId="59" fillId="7" borderId="20" xfId="2" applyNumberFormat="1" applyFont="1" applyFill="1" applyBorder="1" applyAlignment="1" applyProtection="1">
      <alignment horizontal="center" vertical="center"/>
      <protection locked="0"/>
    </xf>
    <xf numFmtId="3" fontId="6" fillId="7" borderId="17" xfId="0" applyNumberFormat="1" applyFont="1" applyFill="1" applyBorder="1" applyAlignment="1" applyProtection="1">
      <alignment horizontal="center" vertical="center"/>
      <protection locked="0"/>
    </xf>
    <xf numFmtId="3" fontId="6" fillId="7" borderId="20" xfId="0" applyNumberFormat="1" applyFont="1" applyFill="1" applyBorder="1" applyAlignment="1" applyProtection="1">
      <alignment horizontal="center" vertical="center"/>
      <protection locked="0"/>
    </xf>
    <xf numFmtId="3" fontId="6" fillId="7" borderId="35" xfId="0" applyNumberFormat="1" applyFont="1" applyFill="1" applyBorder="1" applyAlignment="1" applyProtection="1">
      <alignment horizontal="center" vertical="center"/>
      <protection locked="0"/>
    </xf>
    <xf numFmtId="3" fontId="12" fillId="7" borderId="36" xfId="0" applyNumberFormat="1" applyFont="1" applyFill="1" applyBorder="1" applyAlignment="1" applyProtection="1">
      <alignment horizontal="center" vertical="center"/>
      <protection locked="0"/>
    </xf>
    <xf numFmtId="3" fontId="12" fillId="7" borderId="57" xfId="0" applyNumberFormat="1" applyFont="1" applyFill="1" applyBorder="1" applyAlignment="1" applyProtection="1">
      <alignment horizontal="center" vertical="center"/>
      <protection locked="0"/>
    </xf>
    <xf numFmtId="3" fontId="12" fillId="7" borderId="37" xfId="0" applyNumberFormat="1" applyFont="1" applyFill="1" applyBorder="1" applyAlignment="1" applyProtection="1">
      <alignment horizontal="center" vertical="center"/>
      <protection locked="0"/>
    </xf>
    <xf numFmtId="0" fontId="0" fillId="0" borderId="0" xfId="0" applyAlignment="1">
      <alignment horizontal="right"/>
    </xf>
    <xf numFmtId="10" fontId="59" fillId="7" borderId="17" xfId="0" applyNumberFormat="1" applyFont="1" applyFill="1" applyBorder="1" applyAlignment="1" applyProtection="1">
      <alignment horizontal="center" vertical="center"/>
      <protection locked="0"/>
    </xf>
    <xf numFmtId="10" fontId="59" fillId="7" borderId="35" xfId="0" applyNumberFormat="1" applyFont="1" applyFill="1" applyBorder="1" applyAlignment="1" applyProtection="1">
      <alignment horizontal="center" vertical="center"/>
      <protection locked="0"/>
    </xf>
    <xf numFmtId="0" fontId="44" fillId="0" borderId="20" xfId="0" applyFont="1" applyBorder="1" applyAlignment="1">
      <alignment horizontal="left" vertical="center"/>
    </xf>
    <xf numFmtId="0" fontId="6" fillId="0" borderId="12" xfId="0" applyFont="1" applyBorder="1" applyAlignment="1">
      <alignment horizontal="center" vertical="center"/>
    </xf>
    <xf numFmtId="0" fontId="6" fillId="0" borderId="27" xfId="0" applyFont="1" applyBorder="1" applyAlignment="1">
      <alignment horizontal="right" vertical="center"/>
    </xf>
    <xf numFmtId="0" fontId="6" fillId="0" borderId="27" xfId="0" applyFont="1" applyBorder="1" applyAlignment="1">
      <alignment horizontal="right"/>
    </xf>
    <xf numFmtId="0" fontId="6" fillId="0" borderId="49" xfId="0" applyFont="1" applyBorder="1" applyAlignment="1">
      <alignment horizontal="center" vertical="center"/>
    </xf>
    <xf numFmtId="0" fontId="73" fillId="0" borderId="0" xfId="0" applyFont="1" applyAlignment="1" applyProtection="1">
      <alignment vertical="center"/>
      <protection hidden="1"/>
    </xf>
    <xf numFmtId="0" fontId="44" fillId="0" borderId="17" xfId="0" applyFont="1" applyBorder="1" applyAlignment="1">
      <alignment horizontal="center" vertical="center"/>
    </xf>
    <xf numFmtId="0" fontId="44" fillId="0" borderId="83" xfId="0" applyFont="1" applyBorder="1" applyAlignment="1">
      <alignment horizontal="center" vertical="center"/>
    </xf>
    <xf numFmtId="0" fontId="44" fillId="0" borderId="25" xfId="0" applyFont="1" applyBorder="1" applyAlignment="1">
      <alignment horizontal="center" vertical="center"/>
    </xf>
    <xf numFmtId="0" fontId="44" fillId="0" borderId="45" xfId="0" applyFont="1" applyBorder="1" applyAlignment="1" applyProtection="1">
      <alignment vertical="center"/>
      <protection hidden="1"/>
    </xf>
    <xf numFmtId="0" fontId="2" fillId="0" borderId="10" xfId="0" applyFont="1" applyBorder="1" applyAlignment="1">
      <alignment horizontal="left" vertical="center"/>
    </xf>
    <xf numFmtId="0" fontId="2" fillId="0" borderId="44" xfId="0" applyFont="1" applyBorder="1" applyAlignment="1">
      <alignment horizontal="left" vertical="center"/>
    </xf>
    <xf numFmtId="0" fontId="44" fillId="0" borderId="106" xfId="0" applyFont="1" applyBorder="1" applyAlignment="1">
      <alignment horizontal="center" vertical="center"/>
    </xf>
    <xf numFmtId="0" fontId="75" fillId="0" borderId="0" xfId="0" applyFont="1" applyAlignment="1">
      <alignment horizontal="left"/>
    </xf>
    <xf numFmtId="0" fontId="12" fillId="0" borderId="108" xfId="0" applyFont="1" applyBorder="1" applyAlignment="1" applyProtection="1">
      <alignment vertical="center"/>
      <protection locked="0"/>
    </xf>
    <xf numFmtId="0" fontId="12" fillId="0" borderId="111" xfId="0" applyFont="1" applyBorder="1" applyAlignment="1" applyProtection="1">
      <alignment vertical="center"/>
      <protection locked="0"/>
    </xf>
    <xf numFmtId="0" fontId="0" fillId="0" borderId="0" xfId="0"/>
    <xf numFmtId="3" fontId="7" fillId="0" borderId="44" xfId="0" applyNumberFormat="1" applyFont="1" applyBorder="1" applyAlignment="1" applyProtection="1">
      <alignment horizontal="center" vertical="center"/>
      <protection hidden="1"/>
    </xf>
    <xf numFmtId="167" fontId="7" fillId="3" borderId="10" xfId="0" applyNumberFormat="1" applyFont="1" applyFill="1" applyBorder="1" applyAlignment="1" applyProtection="1">
      <alignment horizontal="center" vertical="center"/>
      <protection hidden="1"/>
    </xf>
    <xf numFmtId="164" fontId="7" fillId="7" borderId="38" xfId="0" applyNumberFormat="1" applyFont="1" applyFill="1" applyBorder="1" applyAlignment="1" applyProtection="1">
      <alignment horizontal="center" vertical="center"/>
      <protection locked="0"/>
    </xf>
    <xf numFmtId="167" fontId="7" fillId="6" borderId="35" xfId="0" applyNumberFormat="1" applyFont="1" applyFill="1" applyBorder="1" applyAlignment="1" applyProtection="1">
      <alignment horizontal="center" vertical="center"/>
      <protection hidden="1"/>
    </xf>
    <xf numFmtId="164" fontId="7" fillId="6" borderId="35" xfId="0" applyNumberFormat="1" applyFont="1" applyFill="1" applyBorder="1" applyAlignment="1" applyProtection="1">
      <alignment horizontal="center" vertical="center"/>
      <protection hidden="1"/>
    </xf>
    <xf numFmtId="0" fontId="73" fillId="0" borderId="18" xfId="0" applyFont="1" applyBorder="1" applyAlignment="1" applyProtection="1">
      <alignment vertical="center"/>
      <protection hidden="1"/>
    </xf>
    <xf numFmtId="0" fontId="76" fillId="0" borderId="23" xfId="0" applyFont="1" applyBorder="1" applyAlignment="1" applyProtection="1">
      <alignment vertical="center"/>
      <protection locked="0"/>
    </xf>
    <xf numFmtId="0" fontId="12" fillId="2" borderId="0" xfId="0" applyFont="1" applyFill="1" applyBorder="1" applyAlignment="1" applyProtection="1">
      <alignment vertical="center"/>
      <protection locked="0"/>
    </xf>
    <xf numFmtId="0" fontId="4" fillId="0" borderId="15" xfId="0" applyFont="1" applyBorder="1" applyAlignment="1">
      <alignment vertical="center" wrapText="1"/>
    </xf>
    <xf numFmtId="0" fontId="0" fillId="0" borderId="10" xfId="0" applyBorder="1"/>
    <xf numFmtId="165" fontId="0" fillId="0" borderId="44" xfId="0" applyNumberFormat="1" applyBorder="1" applyAlignment="1">
      <alignment horizontal="center" vertical="center"/>
    </xf>
    <xf numFmtId="0" fontId="12" fillId="0" borderId="10" xfId="0" applyFont="1" applyBorder="1" applyAlignment="1" applyProtection="1">
      <alignment vertical="center"/>
      <protection hidden="1"/>
    </xf>
    <xf numFmtId="0" fontId="7" fillId="0" borderId="19" xfId="0" applyFont="1" applyBorder="1" applyAlignment="1" applyProtection="1">
      <alignment vertical="center"/>
      <protection hidden="1"/>
    </xf>
    <xf numFmtId="0" fontId="7" fillId="0" borderId="18" xfId="0" applyFont="1" applyBorder="1" applyAlignment="1" applyProtection="1">
      <alignment vertical="center"/>
      <protection hidden="1"/>
    </xf>
    <xf numFmtId="0" fontId="7" fillId="0" borderId="21"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8" xfId="0" applyFont="1" applyBorder="1" applyAlignment="1" applyProtection="1">
      <alignment horizontal="center" vertical="center"/>
      <protection hidden="1"/>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32" xfId="0" applyFont="1" applyBorder="1" applyAlignment="1" applyProtection="1">
      <alignment vertical="center"/>
      <protection hidden="1"/>
    </xf>
    <xf numFmtId="0" fontId="7" fillId="0" borderId="23" xfId="0" applyFont="1" applyBorder="1" applyAlignment="1" applyProtection="1">
      <alignment vertical="center"/>
      <protection hidden="1"/>
    </xf>
    <xf numFmtId="0" fontId="7" fillId="0" borderId="54"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hidden="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pplyProtection="1">
      <alignment horizontal="center" vertical="center"/>
      <protection hidden="1"/>
    </xf>
    <xf numFmtId="0" fontId="7" fillId="0" borderId="23" xfId="0" applyFont="1" applyBorder="1" applyAlignment="1">
      <alignment horizontal="center" vertical="center"/>
    </xf>
    <xf numFmtId="0" fontId="7" fillId="0" borderId="54" xfId="0" applyFont="1" applyBorder="1" applyAlignment="1">
      <alignment horizontal="center" vertical="center"/>
    </xf>
    <xf numFmtId="0" fontId="7" fillId="0" borderId="17"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10" fontId="4" fillId="5" borderId="17" xfId="2" applyNumberFormat="1" applyFont="1" applyFill="1" applyBorder="1" applyAlignment="1" applyProtection="1">
      <alignment horizontal="center" vertical="center"/>
      <protection hidden="1"/>
    </xf>
    <xf numFmtId="10" fontId="4" fillId="5" borderId="19" xfId="2" applyNumberFormat="1" applyFont="1" applyFill="1" applyBorder="1" applyAlignment="1" applyProtection="1">
      <alignment horizontal="center" vertical="center"/>
      <protection hidden="1"/>
    </xf>
    <xf numFmtId="10" fontId="4" fillId="7" borderId="19" xfId="0" applyNumberFormat="1" applyFont="1" applyFill="1" applyBorder="1" applyAlignment="1">
      <alignment horizontal="center" vertical="center"/>
    </xf>
    <xf numFmtId="10" fontId="4" fillId="5" borderId="19" xfId="0" applyNumberFormat="1" applyFont="1" applyFill="1" applyBorder="1" applyAlignment="1">
      <alignment horizontal="center" vertical="center"/>
    </xf>
    <xf numFmtId="10" fontId="7" fillId="5" borderId="35" xfId="0" applyNumberFormat="1" applyFont="1" applyFill="1" applyBorder="1" applyAlignment="1">
      <alignment horizontal="center" vertical="center"/>
    </xf>
    <xf numFmtId="10" fontId="4" fillId="5" borderId="17" xfId="0" applyNumberFormat="1" applyFont="1" applyFill="1" applyBorder="1" applyAlignment="1">
      <alignment horizontal="center" vertical="center"/>
    </xf>
    <xf numFmtId="10" fontId="4" fillId="7" borderId="17" xfId="0"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0" fillId="5" borderId="38" xfId="0" applyNumberFormat="1" applyFill="1" applyBorder="1"/>
    <xf numFmtId="10" fontId="7" fillId="5" borderId="17" xfId="0" applyNumberFormat="1" applyFont="1" applyFill="1" applyBorder="1" applyAlignment="1">
      <alignment horizontal="center" vertical="center"/>
    </xf>
    <xf numFmtId="10" fontId="0" fillId="5" borderId="35" xfId="0" applyNumberFormat="1" applyFill="1" applyBorder="1"/>
    <xf numFmtId="3" fontId="7" fillId="0" borderId="17" xfId="0" applyNumberFormat="1" applyFont="1" applyBorder="1" applyAlignment="1" applyProtection="1">
      <alignment horizontal="center" vertical="center"/>
      <protection hidden="1"/>
    </xf>
    <xf numFmtId="164" fontId="7" fillId="0" borderId="17" xfId="2" applyNumberFormat="1" applyFont="1" applyFill="1" applyBorder="1" applyAlignment="1" applyProtection="1">
      <alignment horizontal="center" vertical="center"/>
      <protection hidden="1"/>
    </xf>
    <xf numFmtId="3" fontId="7" fillId="5" borderId="19" xfId="2" applyNumberFormat="1" applyFont="1" applyFill="1" applyBorder="1" applyAlignment="1">
      <alignment horizontal="center" vertical="center"/>
    </xf>
    <xf numFmtId="3" fontId="7" fillId="5" borderId="17" xfId="0" applyNumberFormat="1" applyFont="1" applyFill="1" applyBorder="1" applyAlignment="1">
      <alignment horizontal="center" vertical="center"/>
    </xf>
    <xf numFmtId="3" fontId="7" fillId="0" borderId="17" xfId="0" applyNumberFormat="1" applyFont="1" applyBorder="1" applyAlignment="1">
      <alignment horizontal="center" vertical="center"/>
    </xf>
    <xf numFmtId="3" fontId="7" fillId="0" borderId="35" xfId="0" applyNumberFormat="1" applyFont="1" applyBorder="1" applyAlignment="1">
      <alignment horizontal="center" vertical="center"/>
    </xf>
    <xf numFmtId="3" fontId="7" fillId="5" borderId="17" xfId="2" applyNumberFormat="1" applyFont="1" applyFill="1" applyBorder="1" applyAlignment="1">
      <alignment horizontal="center" vertical="center"/>
    </xf>
    <xf numFmtId="0" fontId="0" fillId="0" borderId="0" xfId="0"/>
    <xf numFmtId="0" fontId="5" fillId="0" borderId="0" xfId="0" applyFont="1" applyAlignment="1" applyProtection="1">
      <alignment horizontal="left" vertical="center"/>
      <protection hidden="1"/>
    </xf>
    <xf numFmtId="3" fontId="7" fillId="0" borderId="44" xfId="0" applyNumberFormat="1" applyFont="1" applyBorder="1" applyAlignment="1" applyProtection="1">
      <alignment horizontal="center" vertical="center"/>
      <protection hidden="1"/>
    </xf>
    <xf numFmtId="0" fontId="0" fillId="0" borderId="0" xfId="0" applyAlignment="1">
      <alignment horizontal="center" vertical="center"/>
    </xf>
    <xf numFmtId="3" fontId="77" fillId="0" borderId="35" xfId="2" applyNumberFormat="1" applyFont="1" applyBorder="1" applyAlignment="1" applyProtection="1">
      <alignment horizontal="center" vertical="center"/>
      <protection locked="0"/>
    </xf>
    <xf numFmtId="3" fontId="77" fillId="0" borderId="20" xfId="2" applyNumberFormat="1" applyFont="1" applyBorder="1" applyAlignment="1" applyProtection="1">
      <alignment horizontal="center" vertical="center"/>
      <protection locked="0"/>
    </xf>
    <xf numFmtId="0" fontId="0" fillId="0" borderId="0" xfId="0"/>
    <xf numFmtId="0" fontId="0" fillId="0" borderId="0" xfId="0" applyAlignment="1">
      <alignment horizontal="center"/>
    </xf>
    <xf numFmtId="2" fontId="12" fillId="0" borderId="35" xfId="2" applyNumberFormat="1" applyFont="1" applyBorder="1" applyAlignment="1" applyProtection="1">
      <alignment horizontal="center" vertical="center"/>
      <protection hidden="1"/>
    </xf>
    <xf numFmtId="0" fontId="53" fillId="8" borderId="98" xfId="0" applyFont="1" applyFill="1" applyBorder="1" applyAlignment="1" applyProtection="1">
      <alignment horizontal="center" vertical="center"/>
      <protection hidden="1"/>
    </xf>
    <xf numFmtId="3" fontId="54" fillId="8" borderId="99" xfId="0" applyNumberFormat="1" applyFont="1" applyFill="1" applyBorder="1" applyAlignment="1" applyProtection="1">
      <alignment horizontal="center" vertical="center"/>
      <protection hidden="1"/>
    </xf>
    <xf numFmtId="3" fontId="54" fillId="8" borderId="98" xfId="0" applyNumberFormat="1" applyFont="1" applyFill="1" applyBorder="1" applyAlignment="1" applyProtection="1">
      <alignment horizontal="center" vertical="center"/>
      <protection hidden="1"/>
    </xf>
    <xf numFmtId="3" fontId="43" fillId="8" borderId="99" xfId="0" applyNumberFormat="1" applyFont="1" applyFill="1" applyBorder="1" applyAlignment="1" applyProtection="1">
      <alignment horizontal="center" vertical="center"/>
      <protection hidden="1"/>
    </xf>
    <xf numFmtId="3" fontId="55" fillId="8" borderId="99" xfId="0" applyNumberFormat="1" applyFont="1" applyFill="1" applyBorder="1" applyAlignment="1" applyProtection="1">
      <alignment horizontal="center" vertical="center"/>
      <protection hidden="1"/>
    </xf>
    <xf numFmtId="167" fontId="5" fillId="8" borderId="25" xfId="0" applyNumberFormat="1" applyFont="1" applyFill="1" applyBorder="1" applyAlignment="1" applyProtection="1">
      <alignment horizontal="center" vertical="center"/>
      <protection hidden="1"/>
    </xf>
    <xf numFmtId="3" fontId="12" fillId="0" borderId="17" xfId="0" applyNumberFormat="1" applyFont="1" applyFill="1" applyBorder="1" applyAlignment="1" applyProtection="1">
      <alignment horizontal="center" vertical="center"/>
    </xf>
    <xf numFmtId="0" fontId="52" fillId="0" borderId="17" xfId="0" applyFont="1" applyBorder="1" applyAlignment="1" applyProtection="1">
      <alignment horizontal="center" vertical="center" wrapText="1"/>
      <protection hidden="1"/>
    </xf>
    <xf numFmtId="0" fontId="52" fillId="0" borderId="20" xfId="0" applyFont="1" applyBorder="1" applyAlignment="1" applyProtection="1">
      <alignment horizontal="center" vertical="center" wrapText="1"/>
      <protection hidden="1"/>
    </xf>
    <xf numFmtId="0" fontId="52" fillId="0" borderId="35" xfId="0" applyFont="1" applyBorder="1" applyAlignment="1" applyProtection="1">
      <alignment horizontal="center" vertical="center" wrapText="1"/>
      <protection hidden="1"/>
    </xf>
    <xf numFmtId="167" fontId="78" fillId="0" borderId="131" xfId="0" applyNumberFormat="1" applyFont="1" applyBorder="1" applyAlignment="1" applyProtection="1">
      <alignment horizontal="center" vertical="center"/>
      <protection hidden="1"/>
    </xf>
    <xf numFmtId="0" fontId="7" fillId="0" borderId="0" xfId="0" applyFont="1" applyBorder="1"/>
    <xf numFmtId="167" fontId="7" fillId="0" borderId="228" xfId="0" applyNumberFormat="1" applyFont="1" applyFill="1" applyBorder="1" applyAlignment="1" applyProtection="1">
      <alignment horizontal="center" vertical="center"/>
      <protection hidden="1"/>
    </xf>
    <xf numFmtId="167" fontId="4" fillId="8" borderId="228" xfId="0" applyNumberFormat="1" applyFont="1" applyFill="1" applyBorder="1" applyAlignment="1" applyProtection="1">
      <alignment horizontal="center" vertical="center"/>
      <protection hidden="1"/>
    </xf>
    <xf numFmtId="3" fontId="11" fillId="7" borderId="17" xfId="0" applyNumberFormat="1" applyFont="1" applyFill="1" applyBorder="1" applyAlignment="1" applyProtection="1">
      <alignment horizontal="center" vertical="center"/>
      <protection locked="0" hidden="1"/>
    </xf>
    <xf numFmtId="3" fontId="11" fillId="7" borderId="35" xfId="0" applyNumberFormat="1" applyFont="1" applyFill="1" applyBorder="1" applyAlignment="1" applyProtection="1">
      <alignment horizontal="center" vertical="center"/>
      <protection locked="0" hidden="1"/>
    </xf>
    <xf numFmtId="49" fontId="7" fillId="7" borderId="240" xfId="0" applyNumberFormat="1" applyFont="1" applyFill="1" applyBorder="1" applyAlignment="1" applyProtection="1">
      <alignment horizontal="left" vertical="center"/>
      <protection locked="0"/>
    </xf>
    <xf numFmtId="0" fontId="11" fillId="0" borderId="0" xfId="0" applyFont="1" applyAlignment="1">
      <alignment horizontal="left" vertical="center" indent="5"/>
    </xf>
    <xf numFmtId="0" fontId="7" fillId="8" borderId="0" xfId="0" applyFont="1" applyFill="1" applyBorder="1" applyAlignment="1" applyProtection="1">
      <alignment vertical="center"/>
    </xf>
    <xf numFmtId="0" fontId="79" fillId="16" borderId="0" xfId="0" applyFont="1" applyFill="1" applyAlignment="1">
      <alignment vertical="center"/>
    </xf>
    <xf numFmtId="0" fontId="0" fillId="0" borderId="0" xfId="0"/>
    <xf numFmtId="0" fontId="0" fillId="0" borderId="0" xfId="0" applyAlignment="1">
      <alignment horizontal="center"/>
    </xf>
    <xf numFmtId="0" fontId="44" fillId="0" borderId="20" xfId="0" applyFont="1" applyBorder="1" applyAlignment="1">
      <alignment horizontal="left" vertical="center"/>
    </xf>
    <xf numFmtId="16" fontId="44" fillId="0" borderId="20" xfId="0" quotePrefix="1" applyNumberFormat="1" applyFont="1" applyBorder="1" applyAlignment="1">
      <alignment horizontal="left" vertical="center"/>
    </xf>
    <xf numFmtId="0" fontId="44" fillId="0" borderId="10" xfId="0" applyFont="1" applyBorder="1" applyAlignment="1">
      <alignment horizontal="left" vertical="center"/>
    </xf>
    <xf numFmtId="0" fontId="44" fillId="7" borderId="20" xfId="0" applyFont="1" applyFill="1" applyBorder="1" applyAlignment="1" applyProtection="1">
      <alignment horizontal="left" vertical="center"/>
      <protection locked="0"/>
    </xf>
    <xf numFmtId="0" fontId="44" fillId="7" borderId="10" xfId="0" applyFont="1" applyFill="1" applyBorder="1" applyAlignment="1" applyProtection="1">
      <alignment horizontal="left" vertical="center"/>
      <protection locked="0"/>
    </xf>
    <xf numFmtId="0" fontId="4" fillId="0" borderId="114" xfId="0" applyFont="1" applyBorder="1" applyAlignment="1" applyProtection="1">
      <alignment horizontal="left" vertical="center"/>
      <protection hidden="1"/>
    </xf>
    <xf numFmtId="20" fontId="6" fillId="0" borderId="18" xfId="0" applyNumberFormat="1" applyFont="1" applyBorder="1"/>
    <xf numFmtId="0" fontId="0" fillId="0" borderId="7" xfId="0" applyBorder="1"/>
    <xf numFmtId="0" fontId="0" fillId="0" borderId="8" xfId="0" applyBorder="1"/>
    <xf numFmtId="0" fontId="48" fillId="0" borderId="25" xfId="0" applyFont="1" applyBorder="1" applyAlignment="1" applyProtection="1">
      <alignment vertical="center"/>
      <protection locked="0"/>
    </xf>
    <xf numFmtId="0" fontId="42" fillId="0" borderId="25" xfId="0" applyFont="1" applyBorder="1" applyAlignment="1" applyProtection="1">
      <alignment vertical="center"/>
      <protection locked="0"/>
    </xf>
    <xf numFmtId="0" fontId="12" fillId="0" borderId="0" xfId="0" applyFont="1" applyBorder="1" applyAlignment="1">
      <alignment vertical="center"/>
    </xf>
    <xf numFmtId="0" fontId="12" fillId="0" borderId="0" xfId="2" applyNumberFormat="1" applyFont="1" applyBorder="1" applyAlignment="1" applyProtection="1">
      <alignment vertical="center"/>
      <protection locked="0"/>
    </xf>
    <xf numFmtId="0" fontId="11" fillId="0" borderId="31" xfId="0" applyFont="1" applyBorder="1" applyAlignment="1" applyProtection="1">
      <alignment vertical="center"/>
      <protection hidden="1"/>
    </xf>
    <xf numFmtId="0" fontId="12" fillId="0" borderId="25"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11" fillId="0" borderId="0" xfId="0" applyFont="1" applyBorder="1" applyAlignment="1" applyProtection="1">
      <alignment horizontal="center"/>
      <protection locked="0"/>
    </xf>
    <xf numFmtId="0" fontId="11" fillId="0" borderId="0" xfId="0" applyFont="1" applyBorder="1" applyAlignment="1" applyProtection="1">
      <alignment vertical="center"/>
      <protection locked="0"/>
    </xf>
    <xf numFmtId="0" fontId="41" fillId="0" borderId="23" xfId="0" applyFont="1" applyBorder="1" applyAlignment="1">
      <alignment vertical="center"/>
    </xf>
    <xf numFmtId="164" fontId="15" fillId="0" borderId="17" xfId="0" applyNumberFormat="1" applyFont="1" applyBorder="1" applyAlignment="1" applyProtection="1">
      <alignment horizontal="center" vertical="center"/>
      <protection hidden="1"/>
    </xf>
    <xf numFmtId="164" fontId="52" fillId="7" borderId="17" xfId="0" applyNumberFormat="1" applyFont="1" applyFill="1" applyBorder="1" applyAlignment="1" applyProtection="1">
      <alignment horizontal="center" vertical="center"/>
      <protection locked="0"/>
    </xf>
    <xf numFmtId="164" fontId="52" fillId="7" borderId="35" xfId="0" applyNumberFormat="1" applyFont="1" applyFill="1" applyBorder="1" applyAlignment="1" applyProtection="1">
      <alignment horizontal="center" vertical="center"/>
      <protection locked="0"/>
    </xf>
    <xf numFmtId="0" fontId="12" fillId="0" borderId="0" xfId="0" applyFont="1" applyBorder="1" applyAlignment="1">
      <alignment horizontal="left" vertical="center"/>
    </xf>
    <xf numFmtId="0" fontId="5" fillId="0" borderId="1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46" fillId="0" borderId="7" xfId="0" applyFont="1" applyBorder="1" applyAlignment="1" applyProtection="1">
      <alignment vertical="center"/>
      <protection hidden="1"/>
    </xf>
    <xf numFmtId="0" fontId="5" fillId="0" borderId="8" xfId="0" applyFont="1" applyBorder="1" applyAlignment="1" applyProtection="1">
      <alignment horizontal="left" vertical="center"/>
      <protection hidden="1"/>
    </xf>
    <xf numFmtId="0" fontId="6" fillId="0" borderId="25"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31" xfId="0" applyFont="1" applyBorder="1" applyAlignment="1" applyProtection="1">
      <alignment horizontal="left" vertical="center"/>
      <protection hidden="1"/>
    </xf>
    <xf numFmtId="0" fontId="5" fillId="0" borderId="25" xfId="0" applyFont="1" applyBorder="1" applyAlignment="1" applyProtection="1">
      <alignment horizontal="left" vertical="center"/>
      <protection hidden="1"/>
    </xf>
    <xf numFmtId="0" fontId="47" fillId="0" borderId="0" xfId="0" applyFont="1" applyBorder="1" applyAlignment="1" applyProtection="1">
      <alignment vertical="center"/>
      <protection hidden="1"/>
    </xf>
    <xf numFmtId="0" fontId="35" fillId="0" borderId="25" xfId="0" applyFont="1" applyBorder="1" applyAlignment="1" applyProtection="1">
      <alignment vertical="center"/>
      <protection locked="0"/>
    </xf>
    <xf numFmtId="0" fontId="41" fillId="0" borderId="0" xfId="0" applyFont="1" applyBorder="1" applyAlignment="1" applyProtection="1">
      <alignment horizontal="left" vertical="center"/>
      <protection hidden="1"/>
    </xf>
    <xf numFmtId="164" fontId="41" fillId="0" borderId="0" xfId="2" applyNumberFormat="1" applyFont="1" applyBorder="1" applyAlignment="1" applyProtection="1">
      <alignment horizontal="center" vertical="center"/>
      <protection hidden="1"/>
    </xf>
    <xf numFmtId="164" fontId="41" fillId="0" borderId="0" xfId="2" applyNumberFormat="1"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31" xfId="0" applyFont="1" applyBorder="1" applyAlignment="1" applyProtection="1">
      <alignment horizontal="left" vertical="center"/>
      <protection hidden="1"/>
    </xf>
    <xf numFmtId="0" fontId="42" fillId="0" borderId="25" xfId="0" applyFont="1" applyBorder="1" applyAlignment="1">
      <alignment vertical="center"/>
    </xf>
    <xf numFmtId="0" fontId="41" fillId="0" borderId="23" xfId="0" applyFont="1" applyBorder="1" applyAlignment="1" applyProtection="1">
      <alignment vertical="center"/>
      <protection hidden="1"/>
    </xf>
    <xf numFmtId="0" fontId="12" fillId="0" borderId="60" xfId="0" applyFont="1" applyBorder="1" applyAlignment="1">
      <alignment vertical="center"/>
    </xf>
    <xf numFmtId="0" fontId="41" fillId="0" borderId="0" xfId="0" applyFont="1" applyBorder="1" applyAlignment="1" applyProtection="1">
      <alignment vertical="center"/>
      <protection hidden="1"/>
    </xf>
    <xf numFmtId="0" fontId="41" fillId="0" borderId="31" xfId="0" applyFont="1" applyBorder="1" applyAlignment="1" applyProtection="1">
      <alignment vertical="center"/>
      <protection hidden="1"/>
    </xf>
    <xf numFmtId="0" fontId="4" fillId="0" borderId="0"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12" fillId="0" borderId="25" xfId="0" applyNumberFormat="1" applyFont="1" applyBorder="1" applyAlignment="1" applyProtection="1">
      <alignment vertical="center"/>
      <protection locked="0"/>
    </xf>
    <xf numFmtId="0" fontId="12" fillId="0" borderId="0" xfId="0" applyNumberFormat="1" applyFont="1" applyAlignment="1" applyProtection="1">
      <alignment vertical="center"/>
      <protection locked="0"/>
    </xf>
    <xf numFmtId="0" fontId="12" fillId="2" borderId="0" xfId="0" applyNumberFormat="1" applyFont="1" applyFill="1" applyAlignment="1" applyProtection="1">
      <alignment vertical="center"/>
      <protection locked="0"/>
    </xf>
    <xf numFmtId="0" fontId="12" fillId="0" borderId="31" xfId="0" applyNumberFormat="1" applyFont="1" applyBorder="1" applyAlignment="1" applyProtection="1">
      <alignment vertical="center"/>
      <protection locked="0"/>
    </xf>
    <xf numFmtId="0" fontId="5" fillId="0" borderId="0" xfId="0" applyFont="1" applyAlignment="1" applyProtection="1">
      <alignment vertical="center"/>
    </xf>
    <xf numFmtId="0" fontId="12" fillId="0" borderId="0" xfId="0" applyFont="1" applyAlignment="1" applyProtection="1">
      <alignment vertical="center"/>
    </xf>
    <xf numFmtId="0" fontId="62" fillId="2" borderId="0" xfId="0" applyFont="1" applyFill="1" applyAlignment="1" applyProtection="1">
      <alignment vertical="center"/>
    </xf>
    <xf numFmtId="0" fontId="5" fillId="0" borderId="0" xfId="0" applyFont="1" applyAlignment="1" applyProtection="1">
      <alignment horizontal="left" vertical="center"/>
    </xf>
    <xf numFmtId="0" fontId="16" fillId="2" borderId="0" xfId="0" applyFont="1" applyFill="1" applyProtection="1"/>
    <xf numFmtId="0" fontId="6" fillId="0" borderId="0" xfId="0" applyFont="1" applyProtection="1"/>
    <xf numFmtId="0" fontId="47" fillId="0" borderId="0" xfId="0" applyFont="1" applyBorder="1" applyAlignment="1">
      <alignment vertical="center"/>
    </xf>
    <xf numFmtId="0" fontId="6" fillId="0" borderId="18" xfId="0" applyFont="1" applyBorder="1"/>
    <xf numFmtId="0" fontId="17" fillId="0" borderId="7" xfId="0" applyFont="1" applyBorder="1"/>
    <xf numFmtId="0" fontId="12" fillId="0" borderId="7" xfId="0" applyFont="1" applyBorder="1" applyAlignment="1">
      <alignment vertical="center"/>
    </xf>
    <xf numFmtId="0" fontId="12" fillId="0" borderId="8" xfId="0" applyFont="1" applyBorder="1" applyAlignment="1">
      <alignment vertical="center"/>
    </xf>
    <xf numFmtId="0" fontId="12" fillId="0" borderId="25" xfId="0" applyFont="1" applyBorder="1" applyAlignment="1">
      <alignment horizontal="left" vertical="center"/>
    </xf>
    <xf numFmtId="0" fontId="12" fillId="0" borderId="0" xfId="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2" fillId="0" borderId="18" xfId="0" applyFont="1" applyBorder="1"/>
    <xf numFmtId="0" fontId="12" fillId="0" borderId="25" xfId="0" applyFont="1" applyBorder="1"/>
    <xf numFmtId="0" fontId="12" fillId="0" borderId="25"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23" xfId="0" applyFont="1" applyBorder="1" applyAlignment="1" applyProtection="1">
      <alignment horizontal="left" vertical="center"/>
      <protection locked="0"/>
    </xf>
    <xf numFmtId="16" fontId="44" fillId="0" borderId="10" xfId="0" quotePrefix="1" applyNumberFormat="1" applyFont="1" applyBorder="1" applyAlignment="1">
      <alignment horizontal="left" vertical="center"/>
    </xf>
    <xf numFmtId="0" fontId="44" fillId="7" borderId="89" xfId="0" applyFont="1" applyFill="1" applyBorder="1" applyAlignment="1" applyProtection="1">
      <alignment horizontal="left" vertical="center"/>
      <protection locked="0"/>
    </xf>
    <xf numFmtId="0" fontId="44" fillId="7" borderId="90" xfId="0" applyFont="1" applyFill="1" applyBorder="1" applyAlignment="1" applyProtection="1">
      <alignment horizontal="left" vertical="center"/>
      <protection locked="0"/>
    </xf>
    <xf numFmtId="3" fontId="7" fillId="0" borderId="121" xfId="0" applyNumberFormat="1"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114" xfId="0" applyFont="1" applyBorder="1" applyAlignment="1" applyProtection="1">
      <alignment horizontal="right" vertical="center"/>
    </xf>
    <xf numFmtId="0" fontId="7" fillId="0" borderId="191" xfId="0" applyFont="1" applyBorder="1" applyAlignment="1" applyProtection="1">
      <alignment horizontal="left" vertical="center"/>
    </xf>
    <xf numFmtId="0" fontId="7" fillId="0" borderId="191" xfId="0" quotePrefix="1" applyFont="1" applyBorder="1" applyAlignment="1" applyProtection="1">
      <alignment horizontal="left" vertical="center"/>
    </xf>
    <xf numFmtId="3" fontId="7" fillId="0" borderId="121" xfId="0" quotePrefix="1" applyNumberFormat="1" applyFont="1" applyBorder="1" applyAlignment="1" applyProtection="1">
      <alignment horizontal="right" vertical="center"/>
    </xf>
    <xf numFmtId="3" fontId="7" fillId="0" borderId="210" xfId="0" applyNumberFormat="1" applyFont="1" applyBorder="1" applyAlignment="1" applyProtection="1">
      <alignment horizontal="right" vertical="center"/>
    </xf>
    <xf numFmtId="167" fontId="4" fillId="0" borderId="128" xfId="0" applyNumberFormat="1" applyFont="1" applyBorder="1" applyAlignment="1" applyProtection="1">
      <alignment horizontal="center" vertical="center"/>
      <protection hidden="1"/>
    </xf>
    <xf numFmtId="167" fontId="7" fillId="0" borderId="128" xfId="0" applyNumberFormat="1" applyFont="1" applyBorder="1" applyAlignment="1" applyProtection="1">
      <alignment horizontal="center" vertical="center"/>
      <protection hidden="1"/>
    </xf>
    <xf numFmtId="2" fontId="43" fillId="7" borderId="17" xfId="0" applyNumberFormat="1" applyFont="1" applyFill="1" applyBorder="1" applyAlignment="1" applyProtection="1">
      <alignment horizontal="center" vertical="center"/>
      <protection locked="0"/>
    </xf>
    <xf numFmtId="0" fontId="4" fillId="0" borderId="134" xfId="0" applyFont="1" applyBorder="1" applyAlignment="1">
      <alignment horizontal="center" vertical="center"/>
    </xf>
    <xf numFmtId="0" fontId="4" fillId="0" borderId="215" xfId="0" applyFont="1" applyBorder="1" applyAlignment="1" applyProtection="1">
      <alignment vertical="center"/>
    </xf>
    <xf numFmtId="0" fontId="4" fillId="0" borderId="259" xfId="0" applyFont="1" applyBorder="1" applyAlignment="1">
      <alignment horizontal="center"/>
    </xf>
    <xf numFmtId="167" fontId="7" fillId="0" borderId="260" xfId="0" applyNumberFormat="1" applyFont="1" applyBorder="1" applyAlignment="1" applyProtection="1">
      <alignment horizontal="center" vertical="center"/>
      <protection hidden="1"/>
    </xf>
    <xf numFmtId="167" fontId="7" fillId="0" borderId="261" xfId="0" applyNumberFormat="1" applyFont="1" applyBorder="1" applyAlignment="1" applyProtection="1">
      <alignment horizontal="center" vertical="center"/>
      <protection hidden="1"/>
    </xf>
    <xf numFmtId="167" fontId="4" fillId="0" borderId="258" xfId="0" applyNumberFormat="1" applyFont="1" applyBorder="1" applyAlignment="1" applyProtection="1">
      <alignment horizontal="center" vertical="center"/>
      <protection hidden="1"/>
    </xf>
    <xf numFmtId="0" fontId="4" fillId="0" borderId="265" xfId="0" applyFont="1" applyBorder="1" applyAlignment="1">
      <alignment horizontal="center"/>
    </xf>
    <xf numFmtId="167" fontId="7" fillId="0" borderId="267" xfId="0" applyNumberFormat="1" applyFont="1" applyBorder="1" applyAlignment="1" applyProtection="1">
      <alignment horizontal="center" vertical="center"/>
      <protection hidden="1"/>
    </xf>
    <xf numFmtId="167" fontId="7" fillId="0" borderId="269" xfId="0" applyNumberFormat="1" applyFont="1" applyBorder="1" applyAlignment="1" applyProtection="1">
      <alignment horizontal="center" vertical="center"/>
      <protection hidden="1"/>
    </xf>
    <xf numFmtId="167" fontId="4" fillId="0" borderId="271" xfId="0" applyNumberFormat="1" applyFont="1" applyBorder="1" applyAlignment="1" applyProtection="1">
      <alignment horizontal="center" vertical="center"/>
      <protection hidden="1"/>
    </xf>
    <xf numFmtId="167" fontId="4" fillId="0" borderId="272" xfId="0" applyNumberFormat="1" applyFont="1" applyBorder="1" applyAlignment="1" applyProtection="1">
      <alignment horizontal="center" vertical="center"/>
    </xf>
    <xf numFmtId="0" fontId="4" fillId="0" borderId="273" xfId="0" applyFont="1" applyBorder="1"/>
    <xf numFmtId="0" fontId="4" fillId="0" borderId="179" xfId="0" applyFont="1" applyBorder="1" applyAlignment="1">
      <alignment horizontal="center"/>
    </xf>
    <xf numFmtId="167" fontId="7" fillId="0" borderId="251" xfId="0" applyNumberFormat="1" applyFont="1" applyBorder="1" applyAlignment="1" applyProtection="1">
      <alignment horizontal="center" vertical="center"/>
      <protection hidden="1"/>
    </xf>
    <xf numFmtId="167" fontId="7" fillId="0" borderId="253" xfId="0" applyNumberFormat="1" applyFont="1" applyBorder="1" applyAlignment="1" applyProtection="1">
      <alignment horizontal="center" vertical="center"/>
      <protection hidden="1"/>
    </xf>
    <xf numFmtId="167" fontId="4" fillId="0" borderId="251" xfId="0" applyNumberFormat="1" applyFont="1" applyBorder="1" applyAlignment="1" applyProtection="1">
      <alignment horizontal="center" vertical="center"/>
      <protection hidden="1"/>
    </xf>
    <xf numFmtId="167" fontId="4" fillId="0" borderId="255" xfId="0" applyNumberFormat="1" applyFont="1" applyBorder="1" applyAlignment="1" applyProtection="1">
      <alignment horizontal="center" vertical="center"/>
    </xf>
    <xf numFmtId="0" fontId="4" fillId="3" borderId="198" xfId="0" applyFont="1" applyFill="1" applyBorder="1" applyAlignment="1">
      <alignment horizontal="center" vertical="center"/>
    </xf>
    <xf numFmtId="0" fontId="4" fillId="3" borderId="197" xfId="0" applyFont="1" applyFill="1" applyBorder="1" applyAlignment="1">
      <alignment horizontal="center" vertical="center"/>
    </xf>
    <xf numFmtId="167" fontId="4" fillId="8" borderId="117" xfId="0" applyNumberFormat="1" applyFont="1" applyFill="1" applyBorder="1" applyAlignment="1" applyProtection="1">
      <alignment horizontal="center" vertical="center"/>
      <protection hidden="1"/>
    </xf>
    <xf numFmtId="3" fontId="7" fillId="0" borderId="181" xfId="0" applyNumberFormat="1" applyFont="1" applyFill="1" applyBorder="1" applyAlignment="1" applyProtection="1">
      <alignment horizontal="center" vertical="center"/>
      <protection hidden="1"/>
    </xf>
    <xf numFmtId="167" fontId="7" fillId="0" borderId="182" xfId="0" applyNumberFormat="1" applyFont="1" applyFill="1" applyBorder="1" applyAlignment="1" applyProtection="1">
      <alignment horizontal="center" vertical="center"/>
      <protection hidden="1"/>
    </xf>
    <xf numFmtId="0" fontId="7" fillId="12" borderId="117" xfId="0" applyFont="1" applyFill="1" applyBorder="1" applyAlignment="1" applyProtection="1">
      <alignment horizontal="center" vertical="center" wrapText="1"/>
      <protection hidden="1"/>
    </xf>
    <xf numFmtId="166" fontId="7" fillId="12" borderId="117" xfId="0" applyNumberFormat="1" applyFont="1" applyFill="1" applyBorder="1" applyAlignment="1" applyProtection="1">
      <alignment horizontal="center" vertical="center" wrapText="1"/>
      <protection hidden="1"/>
    </xf>
    <xf numFmtId="3" fontId="4" fillId="8" borderId="117" xfId="0" applyNumberFormat="1" applyFont="1" applyFill="1" applyBorder="1" applyAlignment="1" applyProtection="1">
      <alignment horizontal="center" vertical="center"/>
      <protection hidden="1"/>
    </xf>
    <xf numFmtId="3" fontId="7" fillId="8" borderId="108" xfId="0" applyNumberFormat="1" applyFont="1" applyFill="1" applyBorder="1" applyAlignment="1" applyProtection="1">
      <alignment horizontal="center" vertical="center"/>
      <protection hidden="1"/>
    </xf>
    <xf numFmtId="3" fontId="7" fillId="8" borderId="274" xfId="0" applyNumberFormat="1" applyFont="1" applyFill="1" applyBorder="1" applyAlignment="1" applyProtection="1">
      <alignment horizontal="center" vertical="center"/>
      <protection hidden="1"/>
    </xf>
    <xf numFmtId="3" fontId="4" fillId="0" borderId="108" xfId="0" applyNumberFormat="1" applyFont="1" applyBorder="1" applyAlignment="1" applyProtection="1">
      <alignment horizontal="center" vertical="center"/>
      <protection hidden="1"/>
    </xf>
    <xf numFmtId="3" fontId="4" fillId="0" borderId="254" xfId="0" applyNumberFormat="1" applyFont="1" applyFill="1" applyBorder="1" applyAlignment="1" applyProtection="1">
      <alignment horizontal="center" vertical="center"/>
    </xf>
    <xf numFmtId="166" fontId="7" fillId="8" borderId="111" xfId="2" applyNumberFormat="1" applyFont="1" applyFill="1" applyBorder="1" applyAlignment="1" applyProtection="1">
      <alignment horizontal="center" vertical="center"/>
      <protection hidden="1"/>
    </xf>
    <xf numFmtId="166" fontId="7" fillId="8" borderId="275" xfId="2" applyNumberFormat="1" applyFont="1" applyFill="1" applyBorder="1" applyAlignment="1" applyProtection="1">
      <alignment horizontal="center" vertical="center"/>
      <protection hidden="1"/>
    </xf>
    <xf numFmtId="0" fontId="4" fillId="6" borderId="111" xfId="0" applyFont="1" applyFill="1" applyBorder="1" applyAlignment="1">
      <alignment horizontal="center" vertical="center"/>
    </xf>
    <xf numFmtId="167" fontId="4" fillId="0" borderId="255" xfId="0" applyNumberFormat="1" applyFont="1" applyFill="1" applyBorder="1" applyAlignment="1" applyProtection="1">
      <alignment horizontal="center" vertical="center"/>
    </xf>
    <xf numFmtId="0" fontId="7" fillId="8" borderId="226" xfId="0" applyFont="1" applyFill="1" applyBorder="1" applyAlignment="1" applyProtection="1">
      <alignment horizontal="center" vertical="center"/>
      <protection hidden="1"/>
    </xf>
    <xf numFmtId="0" fontId="7" fillId="8" borderId="276" xfId="0" applyFont="1" applyFill="1" applyBorder="1" applyAlignment="1" applyProtection="1">
      <alignment horizontal="center" vertical="center"/>
      <protection hidden="1"/>
    </xf>
    <xf numFmtId="0" fontId="4" fillId="6" borderId="228" xfId="0" applyFont="1" applyFill="1" applyBorder="1" applyAlignment="1">
      <alignment horizontal="center" vertical="center"/>
    </xf>
    <xf numFmtId="3" fontId="4" fillId="0" borderId="277" xfId="0" applyNumberFormat="1" applyFont="1" applyFill="1" applyBorder="1" applyAlignment="1" applyProtection="1">
      <alignment horizontal="center" vertical="center"/>
    </xf>
    <xf numFmtId="3" fontId="4" fillId="8" borderId="279" xfId="0" applyNumberFormat="1" applyFont="1" applyFill="1" applyBorder="1" applyAlignment="1" applyProtection="1">
      <alignment horizontal="center" vertical="center"/>
      <protection hidden="1"/>
    </xf>
    <xf numFmtId="0" fontId="4" fillId="8" borderId="263" xfId="0" applyFont="1" applyFill="1" applyBorder="1" applyAlignment="1" applyProtection="1">
      <alignment horizontal="center" vertical="center"/>
      <protection hidden="1"/>
    </xf>
    <xf numFmtId="0" fontId="4" fillId="8" borderId="278" xfId="0" applyFont="1" applyFill="1" applyBorder="1" applyAlignment="1" applyProtection="1">
      <alignment horizontal="center" vertical="center"/>
      <protection hidden="1"/>
    </xf>
    <xf numFmtId="3" fontId="4" fillId="8" borderId="262" xfId="0" applyNumberFormat="1" applyFont="1" applyFill="1" applyBorder="1" applyAlignment="1" applyProtection="1">
      <alignment horizontal="center" vertical="center"/>
      <protection hidden="1"/>
    </xf>
    <xf numFmtId="167" fontId="4" fillId="8" borderId="263" xfId="0" applyNumberFormat="1" applyFont="1" applyFill="1" applyBorder="1" applyAlignment="1" applyProtection="1">
      <alignment horizontal="center" vertical="center"/>
      <protection hidden="1"/>
    </xf>
    <xf numFmtId="167" fontId="4" fillId="8" borderId="278" xfId="0" applyNumberFormat="1" applyFont="1" applyFill="1" applyBorder="1" applyAlignment="1" applyProtection="1">
      <alignment horizontal="center" vertical="center"/>
      <protection hidden="1"/>
    </xf>
    <xf numFmtId="0" fontId="4" fillId="3" borderId="227" xfId="0" applyFont="1" applyFill="1" applyBorder="1" applyAlignment="1">
      <alignment horizontal="center" vertical="center"/>
    </xf>
    <xf numFmtId="3" fontId="4" fillId="8" borderId="286" xfId="0" applyNumberFormat="1" applyFont="1" applyFill="1" applyBorder="1" applyAlignment="1" applyProtection="1">
      <alignment horizontal="center" vertical="center"/>
      <protection hidden="1"/>
    </xf>
    <xf numFmtId="1" fontId="4" fillId="6" borderId="287" xfId="0" applyNumberFormat="1" applyFont="1" applyFill="1" applyBorder="1" applyAlignment="1" applyProtection="1">
      <alignment horizontal="center" vertical="center"/>
      <protection hidden="1"/>
    </xf>
    <xf numFmtId="166" fontId="4" fillId="6" borderId="289" xfId="0" applyNumberFormat="1" applyFont="1" applyFill="1" applyBorder="1" applyAlignment="1" applyProtection="1">
      <alignment horizontal="center" vertical="center"/>
      <protection hidden="1"/>
    </xf>
    <xf numFmtId="3" fontId="7" fillId="0" borderId="290" xfId="0" applyNumberFormat="1" applyFont="1" applyFill="1" applyBorder="1" applyAlignment="1" applyProtection="1">
      <alignment horizontal="center" vertical="center"/>
      <protection hidden="1"/>
    </xf>
    <xf numFmtId="167" fontId="7" fillId="0" borderId="291" xfId="0" applyNumberFormat="1" applyFont="1" applyFill="1" applyBorder="1" applyAlignment="1" applyProtection="1">
      <alignment horizontal="center" vertical="center"/>
      <protection hidden="1"/>
    </xf>
    <xf numFmtId="3" fontId="4" fillId="8" borderId="290" xfId="0" applyNumberFormat="1" applyFont="1" applyFill="1" applyBorder="1" applyAlignment="1" applyProtection="1">
      <alignment horizontal="center" vertical="center"/>
      <protection hidden="1"/>
    </xf>
    <xf numFmtId="167" fontId="4" fillId="8" borderId="291" xfId="0" applyNumberFormat="1" applyFont="1" applyFill="1" applyBorder="1" applyAlignment="1" applyProtection="1">
      <alignment horizontal="center" vertical="center"/>
      <protection hidden="1"/>
    </xf>
    <xf numFmtId="3" fontId="4" fillId="0" borderId="284" xfId="0" applyNumberFormat="1" applyFont="1" applyBorder="1" applyAlignment="1" applyProtection="1">
      <alignment horizontal="center" vertical="center"/>
      <protection hidden="1"/>
    </xf>
    <xf numFmtId="167" fontId="4" fillId="0" borderId="285" xfId="0" applyNumberFormat="1" applyFont="1" applyBorder="1" applyAlignment="1" applyProtection="1">
      <alignment horizontal="center" vertical="center"/>
      <protection hidden="1"/>
    </xf>
    <xf numFmtId="167" fontId="7" fillId="0" borderId="292" xfId="0" applyNumberFormat="1" applyFont="1" applyFill="1" applyBorder="1" applyAlignment="1" applyProtection="1">
      <alignment horizontal="center" vertical="center"/>
      <protection hidden="1"/>
    </xf>
    <xf numFmtId="167" fontId="4" fillId="8" borderId="292" xfId="0" applyNumberFormat="1" applyFont="1" applyFill="1" applyBorder="1" applyAlignment="1" applyProtection="1">
      <alignment horizontal="center" vertical="center"/>
      <protection hidden="1"/>
    </xf>
    <xf numFmtId="167" fontId="4" fillId="0" borderId="201" xfId="0" applyNumberFormat="1" applyFont="1" applyBorder="1" applyAlignment="1" applyProtection="1">
      <alignment horizontal="center" vertical="center"/>
      <protection hidden="1"/>
    </xf>
    <xf numFmtId="0" fontId="12" fillId="0" borderId="0" xfId="0" applyFont="1" applyBorder="1" applyProtection="1">
      <protection hidden="1"/>
    </xf>
    <xf numFmtId="0" fontId="12" fillId="0" borderId="0" xfId="0" applyFont="1" applyBorder="1" applyAlignment="1" applyProtection="1">
      <alignment horizontal="center"/>
      <protection hidden="1"/>
    </xf>
    <xf numFmtId="0" fontId="7" fillId="0" borderId="293" xfId="0" applyFont="1" applyBorder="1" applyProtection="1">
      <protection hidden="1"/>
    </xf>
    <xf numFmtId="0" fontId="52" fillId="0" borderId="294" xfId="0" applyFont="1" applyBorder="1" applyAlignment="1" applyProtection="1">
      <alignment horizontal="right" vertical="center"/>
      <protection hidden="1"/>
    </xf>
    <xf numFmtId="49" fontId="7" fillId="8" borderId="192" xfId="0" applyNumberFormat="1" applyFont="1" applyFill="1" applyBorder="1" applyAlignment="1" applyProtection="1">
      <alignment vertical="center"/>
      <protection hidden="1"/>
    </xf>
    <xf numFmtId="3" fontId="7" fillId="8" borderId="300" xfId="0" applyNumberFormat="1" applyFont="1" applyFill="1" applyBorder="1" applyAlignment="1" applyProtection="1">
      <alignment horizontal="center" vertical="center"/>
      <protection hidden="1"/>
    </xf>
    <xf numFmtId="0" fontId="7" fillId="8" borderId="301" xfId="0" applyFont="1" applyFill="1" applyBorder="1" applyAlignment="1" applyProtection="1">
      <alignment horizontal="center" vertical="center"/>
      <protection hidden="1"/>
    </xf>
    <xf numFmtId="166" fontId="7" fillId="8" borderId="299" xfId="2" applyNumberFormat="1" applyFont="1" applyFill="1" applyBorder="1" applyAlignment="1" applyProtection="1">
      <alignment horizontal="center" vertical="center"/>
      <protection hidden="1"/>
    </xf>
    <xf numFmtId="167" fontId="7" fillId="0" borderId="304" xfId="0" applyNumberFormat="1" applyFont="1" applyBorder="1" applyAlignment="1" applyProtection="1">
      <alignment horizontal="center" vertical="center"/>
      <protection hidden="1"/>
    </xf>
    <xf numFmtId="167" fontId="7" fillId="0" borderId="306" xfId="0" applyNumberFormat="1" applyFont="1" applyBorder="1" applyAlignment="1" applyProtection="1">
      <alignment horizontal="center" vertical="center"/>
      <protection hidden="1"/>
    </xf>
    <xf numFmtId="167" fontId="7" fillId="0" borderId="308" xfId="0" applyNumberFormat="1" applyFont="1" applyBorder="1" applyAlignment="1" applyProtection="1">
      <alignment horizontal="center" vertical="center"/>
      <protection hidden="1"/>
    </xf>
    <xf numFmtId="1" fontId="7" fillId="0" borderId="226" xfId="0" applyNumberFormat="1" applyFont="1" applyFill="1" applyBorder="1" applyAlignment="1" applyProtection="1">
      <alignment horizontal="center" vertical="center"/>
      <protection hidden="1"/>
    </xf>
    <xf numFmtId="166" fontId="7" fillId="0" borderId="182" xfId="0" applyNumberFormat="1" applyFont="1" applyFill="1" applyBorder="1" applyAlignment="1" applyProtection="1">
      <alignment horizontal="center" vertical="center"/>
      <protection hidden="1"/>
    </xf>
    <xf numFmtId="0" fontId="7" fillId="0" borderId="117" xfId="0" applyNumberFormat="1" applyFont="1" applyFill="1" applyBorder="1" applyAlignment="1" applyProtection="1">
      <alignment horizontal="left" vertical="center"/>
      <protection hidden="1"/>
    </xf>
    <xf numFmtId="3" fontId="7" fillId="0" borderId="262" xfId="0" applyNumberFormat="1" applyFont="1" applyFill="1" applyBorder="1" applyAlignment="1" applyProtection="1">
      <alignment horizontal="center" vertical="center"/>
      <protection hidden="1"/>
    </xf>
    <xf numFmtId="1" fontId="7" fillId="0" borderId="278" xfId="0" applyNumberFormat="1" applyFont="1" applyFill="1" applyBorder="1" applyAlignment="1" applyProtection="1">
      <alignment horizontal="center" vertical="center"/>
      <protection hidden="1"/>
    </xf>
    <xf numFmtId="166" fontId="7" fillId="0" borderId="263" xfId="0" applyNumberFormat="1" applyFont="1" applyFill="1" applyBorder="1" applyAlignment="1" applyProtection="1">
      <alignment horizontal="center" vertical="center"/>
      <protection hidden="1"/>
    </xf>
    <xf numFmtId="3" fontId="7" fillId="0" borderId="117" xfId="0" applyNumberFormat="1" applyFont="1" applyFill="1" applyBorder="1" applyAlignment="1" applyProtection="1">
      <alignment horizontal="center" vertical="center"/>
      <protection hidden="1"/>
    </xf>
    <xf numFmtId="167" fontId="7" fillId="0" borderId="227" xfId="0" applyNumberFormat="1" applyFont="1" applyFill="1" applyBorder="1" applyAlignment="1" applyProtection="1">
      <alignment horizontal="center" vertical="center"/>
      <protection hidden="1"/>
    </xf>
    <xf numFmtId="167" fontId="7" fillId="0" borderId="117" xfId="0" applyNumberFormat="1" applyFont="1" applyFill="1" applyBorder="1" applyAlignment="1" applyProtection="1">
      <alignment horizontal="center" vertical="center"/>
      <protection hidden="1"/>
    </xf>
    <xf numFmtId="3" fontId="7" fillId="0" borderId="198" xfId="0" applyNumberFormat="1" applyFont="1" applyFill="1" applyBorder="1" applyAlignment="1" applyProtection="1">
      <alignment horizontal="center" vertical="center"/>
      <protection hidden="1"/>
    </xf>
    <xf numFmtId="167" fontId="7" fillId="0" borderId="197" xfId="0" applyNumberFormat="1" applyFont="1" applyFill="1" applyBorder="1" applyAlignment="1" applyProtection="1">
      <alignment horizontal="center" vertical="center"/>
      <protection hidden="1"/>
    </xf>
    <xf numFmtId="0" fontId="7" fillId="0" borderId="192" xfId="0" applyNumberFormat="1" applyFont="1" applyFill="1" applyBorder="1" applyAlignment="1" applyProtection="1">
      <alignment horizontal="left" vertical="center"/>
      <protection hidden="1"/>
    </xf>
    <xf numFmtId="3" fontId="7" fillId="0" borderId="300" xfId="0" applyNumberFormat="1" applyFont="1" applyFill="1" applyBorder="1" applyAlignment="1" applyProtection="1">
      <alignment horizontal="center" vertical="center"/>
      <protection hidden="1"/>
    </xf>
    <xf numFmtId="1" fontId="7" fillId="0" borderId="301" xfId="0" applyNumberFormat="1" applyFont="1" applyFill="1" applyBorder="1" applyAlignment="1" applyProtection="1">
      <alignment horizontal="center" vertical="center"/>
      <protection hidden="1"/>
    </xf>
    <xf numFmtId="166" fontId="7" fillId="0" borderId="299" xfId="0" applyNumberFormat="1" applyFont="1" applyFill="1" applyBorder="1" applyAlignment="1" applyProtection="1">
      <alignment horizontal="center" vertical="center"/>
      <protection hidden="1"/>
    </xf>
    <xf numFmtId="3" fontId="7" fillId="0" borderId="192" xfId="0" applyNumberFormat="1" applyFont="1" applyFill="1" applyBorder="1" applyAlignment="1" applyProtection="1">
      <alignment horizontal="center" vertical="center"/>
      <protection hidden="1"/>
    </xf>
    <xf numFmtId="167" fontId="7" fillId="0" borderId="301" xfId="0" applyNumberFormat="1" applyFont="1" applyFill="1" applyBorder="1" applyAlignment="1" applyProtection="1">
      <alignment horizontal="center" vertical="center"/>
      <protection hidden="1"/>
    </xf>
    <xf numFmtId="167" fontId="7" fillId="0" borderId="192" xfId="0" applyNumberFormat="1" applyFont="1" applyFill="1" applyBorder="1" applyAlignment="1" applyProtection="1">
      <alignment horizontal="center" vertical="center"/>
      <protection hidden="1"/>
    </xf>
    <xf numFmtId="167" fontId="7" fillId="0" borderId="299" xfId="0" applyNumberFormat="1" applyFont="1" applyFill="1" applyBorder="1" applyAlignment="1" applyProtection="1">
      <alignment horizontal="center" vertical="center"/>
      <protection hidden="1"/>
    </xf>
    <xf numFmtId="0" fontId="7" fillId="0" borderId="213" xfId="0" applyNumberFormat="1" applyFont="1" applyFill="1" applyBorder="1" applyAlignment="1" applyProtection="1">
      <alignment horizontal="left" vertical="center"/>
      <protection hidden="1"/>
    </xf>
    <xf numFmtId="3" fontId="7" fillId="0" borderId="274" xfId="0" applyNumberFormat="1" applyFont="1" applyFill="1" applyBorder="1" applyAlignment="1" applyProtection="1">
      <alignment horizontal="center" vertical="center"/>
      <protection hidden="1"/>
    </xf>
    <xf numFmtId="1" fontId="7" fillId="0" borderId="276" xfId="0" applyNumberFormat="1" applyFont="1" applyFill="1" applyBorder="1" applyAlignment="1" applyProtection="1">
      <alignment horizontal="center" vertical="center"/>
      <protection hidden="1"/>
    </xf>
    <xf numFmtId="166" fontId="7" fillId="0" borderId="275" xfId="0" applyNumberFormat="1" applyFont="1" applyFill="1" applyBorder="1" applyAlignment="1" applyProtection="1">
      <alignment horizontal="center" vertical="center"/>
      <protection hidden="1"/>
    </xf>
    <xf numFmtId="3" fontId="7" fillId="0" borderId="213" xfId="0" applyNumberFormat="1" applyFont="1" applyFill="1" applyBorder="1" applyAlignment="1" applyProtection="1">
      <alignment horizontal="center" vertical="center"/>
      <protection hidden="1"/>
    </xf>
    <xf numFmtId="167" fontId="7" fillId="0" borderId="276" xfId="0" applyNumberFormat="1" applyFont="1" applyFill="1" applyBorder="1" applyAlignment="1" applyProtection="1">
      <alignment horizontal="center" vertical="center"/>
      <protection hidden="1"/>
    </xf>
    <xf numFmtId="167" fontId="7" fillId="0" borderId="213" xfId="0" applyNumberFormat="1" applyFont="1" applyFill="1" applyBorder="1" applyAlignment="1" applyProtection="1">
      <alignment horizontal="center" vertical="center"/>
      <protection hidden="1"/>
    </xf>
    <xf numFmtId="167" fontId="7" fillId="0" borderId="275" xfId="0" applyNumberFormat="1" applyFont="1" applyFill="1" applyBorder="1" applyAlignment="1" applyProtection="1">
      <alignment horizontal="center" vertical="center"/>
      <protection hidden="1"/>
    </xf>
    <xf numFmtId="3" fontId="7" fillId="0" borderId="228" xfId="0" applyNumberFormat="1" applyFont="1" applyFill="1" applyBorder="1" applyAlignment="1" applyProtection="1">
      <alignment horizontal="center" vertical="center"/>
      <protection hidden="1"/>
    </xf>
    <xf numFmtId="166" fontId="7" fillId="0" borderId="292" xfId="0" applyNumberFormat="1" applyFont="1" applyFill="1" applyBorder="1" applyAlignment="1" applyProtection="1">
      <alignment horizontal="center" vertical="center"/>
      <protection hidden="1"/>
    </xf>
    <xf numFmtId="49" fontId="7" fillId="0" borderId="213" xfId="0" applyNumberFormat="1" applyFont="1" applyFill="1" applyBorder="1" applyAlignment="1" applyProtection="1">
      <alignment horizontal="left" vertical="center"/>
      <protection hidden="1"/>
    </xf>
    <xf numFmtId="3" fontId="7" fillId="0" borderId="309" xfId="0" applyNumberFormat="1" applyFont="1" applyFill="1" applyBorder="1" applyAlignment="1" applyProtection="1">
      <alignment horizontal="center" vertical="center"/>
      <protection hidden="1"/>
    </xf>
    <xf numFmtId="166" fontId="7" fillId="0" borderId="310" xfId="0" applyNumberFormat="1" applyFont="1" applyFill="1" applyBorder="1" applyAlignment="1" applyProtection="1">
      <alignment horizontal="center" vertical="center"/>
      <protection hidden="1"/>
    </xf>
    <xf numFmtId="167" fontId="7" fillId="0" borderId="310" xfId="0" applyNumberFormat="1" applyFont="1" applyFill="1" applyBorder="1" applyAlignment="1" applyProtection="1">
      <alignment horizontal="center" vertical="center"/>
      <protection hidden="1"/>
    </xf>
    <xf numFmtId="167" fontId="7" fillId="0" borderId="311" xfId="0" applyNumberFormat="1" applyFont="1" applyFill="1" applyBorder="1" applyAlignment="1" applyProtection="1">
      <alignment horizontal="center" vertical="center"/>
      <protection hidden="1"/>
    </xf>
    <xf numFmtId="49" fontId="7" fillId="0" borderId="192" xfId="0" applyNumberFormat="1" applyFont="1" applyFill="1" applyBorder="1" applyAlignment="1" applyProtection="1">
      <alignment horizontal="left" vertical="center"/>
      <protection hidden="1"/>
    </xf>
    <xf numFmtId="3" fontId="7" fillId="0" borderId="312" xfId="0" applyNumberFormat="1" applyFont="1" applyFill="1" applyBorder="1" applyAlignment="1" applyProtection="1">
      <alignment horizontal="center" vertical="center"/>
      <protection hidden="1"/>
    </xf>
    <xf numFmtId="166" fontId="7" fillId="0" borderId="296" xfId="0" applyNumberFormat="1" applyFont="1" applyFill="1" applyBorder="1" applyAlignment="1" applyProtection="1">
      <alignment horizontal="center" vertical="center"/>
      <protection hidden="1"/>
    </xf>
    <xf numFmtId="167" fontId="7" fillId="0" borderId="296" xfId="0" applyNumberFormat="1" applyFont="1" applyFill="1" applyBorder="1" applyAlignment="1" applyProtection="1">
      <alignment horizontal="center" vertical="center"/>
      <protection hidden="1"/>
    </xf>
    <xf numFmtId="167" fontId="7" fillId="0" borderId="313" xfId="0" applyNumberFormat="1" applyFont="1" applyFill="1" applyBorder="1" applyAlignment="1" applyProtection="1">
      <alignment horizontal="center" vertical="center"/>
      <protection hidden="1"/>
    </xf>
    <xf numFmtId="3" fontId="4" fillId="6" borderId="282" xfId="0" applyNumberFormat="1" applyFont="1" applyFill="1" applyBorder="1" applyAlignment="1" applyProtection="1">
      <alignment vertical="center"/>
      <protection hidden="1"/>
    </xf>
    <xf numFmtId="3" fontId="4" fillId="6" borderId="227" xfId="0" applyNumberFormat="1" applyFont="1" applyFill="1" applyBorder="1" applyAlignment="1" applyProtection="1">
      <alignment horizontal="center" vertical="center"/>
      <protection hidden="1"/>
    </xf>
    <xf numFmtId="167" fontId="7" fillId="0" borderId="288" xfId="0" applyNumberFormat="1" applyFont="1" applyFill="1" applyBorder="1" applyAlignment="1" applyProtection="1">
      <alignment horizontal="center" vertical="center"/>
      <protection hidden="1"/>
    </xf>
    <xf numFmtId="3" fontId="4" fillId="6" borderId="282" xfId="0" applyNumberFormat="1" applyFont="1" applyFill="1" applyBorder="1" applyAlignment="1" applyProtection="1">
      <alignment horizontal="center" vertical="center"/>
      <protection hidden="1"/>
    </xf>
    <xf numFmtId="167" fontId="7" fillId="0" borderId="283" xfId="0" applyNumberFormat="1" applyFont="1" applyFill="1" applyBorder="1" applyAlignment="1" applyProtection="1">
      <alignment horizontal="center" vertical="center"/>
      <protection hidden="1"/>
    </xf>
    <xf numFmtId="0" fontId="4" fillId="0" borderId="192" xfId="0" applyFont="1" applyBorder="1" applyAlignment="1" applyProtection="1">
      <alignment vertical="center"/>
      <protection hidden="1"/>
    </xf>
    <xf numFmtId="3" fontId="4" fillId="0" borderId="312" xfId="0" applyNumberFormat="1" applyFont="1" applyFill="1" applyBorder="1" applyAlignment="1" applyProtection="1">
      <alignment horizontal="center" vertical="center"/>
      <protection hidden="1"/>
    </xf>
    <xf numFmtId="0" fontId="4" fillId="6" borderId="301" xfId="0" applyFont="1" applyFill="1" applyBorder="1" applyAlignment="1" applyProtection="1">
      <alignment horizontal="center" vertical="center"/>
      <protection hidden="1"/>
    </xf>
    <xf numFmtId="3" fontId="4" fillId="6" borderId="312" xfId="0" applyNumberFormat="1" applyFont="1" applyFill="1" applyBorder="1" applyAlignment="1" applyProtection="1">
      <alignment horizontal="center" vertical="center"/>
      <protection hidden="1"/>
    </xf>
    <xf numFmtId="3" fontId="4" fillId="6" borderId="301" xfId="0" applyNumberFormat="1" applyFont="1" applyFill="1" applyBorder="1" applyAlignment="1" applyProtection="1">
      <alignment horizontal="center" vertical="center"/>
      <protection hidden="1"/>
    </xf>
    <xf numFmtId="3" fontId="4" fillId="6" borderId="312" xfId="0" applyNumberFormat="1" applyFont="1" applyFill="1" applyBorder="1" applyAlignment="1" applyProtection="1">
      <alignment vertical="center"/>
      <protection hidden="1"/>
    </xf>
    <xf numFmtId="167" fontId="7" fillId="0" borderId="114" xfId="0" applyNumberFormat="1" applyFont="1" applyBorder="1" applyAlignment="1" applyProtection="1">
      <alignment horizontal="center" vertical="center"/>
      <protection hidden="1"/>
    </xf>
    <xf numFmtId="164" fontId="7" fillId="0" borderId="185" xfId="0" applyNumberFormat="1" applyFont="1" applyBorder="1" applyAlignment="1" applyProtection="1">
      <alignment horizontal="center" vertical="center"/>
      <protection hidden="1"/>
    </xf>
    <xf numFmtId="167" fontId="7" fillId="0" borderId="185" xfId="0" applyNumberFormat="1" applyFont="1" applyBorder="1" applyAlignment="1" applyProtection="1">
      <alignment horizontal="center" vertical="center"/>
      <protection hidden="1"/>
    </xf>
    <xf numFmtId="167" fontId="7" fillId="6" borderId="185" xfId="0" applyNumberFormat="1" applyFont="1" applyFill="1" applyBorder="1" applyAlignment="1" applyProtection="1">
      <alignment horizontal="center" vertical="center"/>
      <protection hidden="1"/>
    </xf>
    <xf numFmtId="167" fontId="7" fillId="0" borderId="185" xfId="0" applyNumberFormat="1" applyFont="1" applyBorder="1" applyAlignment="1" applyProtection="1">
      <alignment horizontal="center"/>
      <protection hidden="1"/>
    </xf>
    <xf numFmtId="167" fontId="7" fillId="0" borderId="314" xfId="0" applyNumberFormat="1" applyFont="1" applyBorder="1" applyAlignment="1" applyProtection="1">
      <alignment horizontal="center" vertical="center"/>
      <protection hidden="1"/>
    </xf>
    <xf numFmtId="0" fontId="7" fillId="0" borderId="196" xfId="0" applyFont="1" applyBorder="1" applyAlignment="1" applyProtection="1">
      <alignment horizontal="center" vertical="center"/>
      <protection hidden="1"/>
    </xf>
    <xf numFmtId="0" fontId="7" fillId="0" borderId="144" xfId="0" applyFont="1" applyBorder="1" applyAlignment="1" applyProtection="1">
      <alignment horizontal="left" vertical="center"/>
      <protection hidden="1"/>
    </xf>
    <xf numFmtId="167" fontId="7" fillId="0" borderId="316" xfId="0" applyNumberFormat="1" applyFont="1" applyFill="1" applyBorder="1" applyAlignment="1" applyProtection="1">
      <alignment horizontal="center" vertical="center"/>
      <protection hidden="1"/>
    </xf>
    <xf numFmtId="167" fontId="7" fillId="0" borderId="317" xfId="0" applyNumberFormat="1" applyFont="1" applyFill="1" applyBorder="1" applyAlignment="1" applyProtection="1">
      <alignment horizontal="center" vertical="center"/>
      <protection hidden="1"/>
    </xf>
    <xf numFmtId="167" fontId="4" fillId="0" borderId="119" xfId="0" applyNumberFormat="1" applyFont="1" applyBorder="1" applyAlignment="1" applyProtection="1">
      <alignment horizontal="center" vertical="center"/>
      <protection hidden="1"/>
    </xf>
    <xf numFmtId="167" fontId="4" fillId="0" borderId="318" xfId="0" applyNumberFormat="1" applyFont="1" applyBorder="1" applyAlignment="1" applyProtection="1">
      <alignment horizontal="center" vertical="center"/>
      <protection hidden="1"/>
    </xf>
    <xf numFmtId="1" fontId="4" fillId="0" borderId="319" xfId="0" applyNumberFormat="1" applyFont="1" applyBorder="1" applyAlignment="1" applyProtection="1">
      <alignment horizontal="center" vertical="center"/>
      <protection hidden="1"/>
    </xf>
    <xf numFmtId="1" fontId="4" fillId="0" borderId="195" xfId="0" applyNumberFormat="1" applyFont="1" applyBorder="1" applyAlignment="1" applyProtection="1">
      <alignment horizontal="center" vertical="center"/>
      <protection hidden="1"/>
    </xf>
    <xf numFmtId="167" fontId="4" fillId="0" borderId="320" xfId="0" applyNumberFormat="1" applyFont="1" applyBorder="1" applyAlignment="1" applyProtection="1">
      <alignment horizontal="center" vertical="center"/>
      <protection hidden="1"/>
    </xf>
    <xf numFmtId="166" fontId="7" fillId="0" borderId="321" xfId="0" applyNumberFormat="1" applyFont="1" applyBorder="1" applyAlignment="1" applyProtection="1">
      <alignment horizontal="center" vertical="center"/>
      <protection hidden="1"/>
    </xf>
    <xf numFmtId="166" fontId="7" fillId="0" borderId="322" xfId="0" applyNumberFormat="1" applyFont="1" applyBorder="1" applyAlignment="1" applyProtection="1">
      <alignment horizontal="center" vertical="center"/>
      <protection hidden="1"/>
    </xf>
    <xf numFmtId="3" fontId="4" fillId="0" borderId="321" xfId="0" applyNumberFormat="1" applyFont="1" applyBorder="1" applyAlignment="1" applyProtection="1">
      <alignment horizontal="center" vertical="center"/>
      <protection hidden="1"/>
    </xf>
    <xf numFmtId="3" fontId="4" fillId="0" borderId="322" xfId="0" applyNumberFormat="1" applyFont="1" applyBorder="1" applyAlignment="1" applyProtection="1">
      <alignment horizontal="center" vertical="center"/>
      <protection hidden="1"/>
    </xf>
    <xf numFmtId="167" fontId="7" fillId="0" borderId="320" xfId="0" applyNumberFormat="1" applyFont="1" applyBorder="1" applyAlignment="1" applyProtection="1">
      <alignment horizontal="center" vertical="center"/>
      <protection hidden="1"/>
    </xf>
    <xf numFmtId="166" fontId="4" fillId="0" borderId="321" xfId="0" applyNumberFormat="1" applyFont="1" applyBorder="1" applyAlignment="1" applyProtection="1">
      <alignment horizontal="center" vertical="center"/>
      <protection hidden="1"/>
    </xf>
    <xf numFmtId="166" fontId="4" fillId="0" borderId="322" xfId="0" applyNumberFormat="1" applyFont="1" applyBorder="1" applyAlignment="1" applyProtection="1">
      <alignment horizontal="center" vertical="center"/>
      <protection hidden="1"/>
    </xf>
    <xf numFmtId="167" fontId="4" fillId="0" borderId="323" xfId="0" applyNumberFormat="1" applyFont="1" applyBorder="1" applyAlignment="1" applyProtection="1">
      <alignment horizontal="center" vertical="center"/>
      <protection hidden="1"/>
    </xf>
    <xf numFmtId="166" fontId="4" fillId="0" borderId="324" xfId="0" applyNumberFormat="1" applyFont="1" applyBorder="1" applyAlignment="1" applyProtection="1">
      <alignment horizontal="center" vertical="center"/>
      <protection hidden="1"/>
    </xf>
    <xf numFmtId="166" fontId="4" fillId="0" borderId="325" xfId="0" applyNumberFormat="1" applyFont="1" applyBorder="1" applyAlignment="1" applyProtection="1">
      <alignment horizontal="center" vertical="center"/>
      <protection hidden="1"/>
    </xf>
    <xf numFmtId="166" fontId="7" fillId="0" borderId="324" xfId="0" applyNumberFormat="1" applyFont="1" applyBorder="1" applyAlignment="1" applyProtection="1">
      <alignment horizontal="center" vertical="center"/>
      <protection hidden="1"/>
    </xf>
    <xf numFmtId="167" fontId="4" fillId="0" borderId="185" xfId="0" applyNumberFormat="1" applyFont="1" applyBorder="1" applyAlignment="1" applyProtection="1">
      <alignment horizontal="center" vertical="center"/>
      <protection hidden="1"/>
    </xf>
    <xf numFmtId="167" fontId="4" fillId="0" borderId="326" xfId="0" applyNumberFormat="1" applyFont="1" applyBorder="1" applyAlignment="1" applyProtection="1">
      <alignment horizontal="center" vertical="center"/>
      <protection hidden="1"/>
    </xf>
    <xf numFmtId="0" fontId="7" fillId="6" borderId="128" xfId="0" applyFont="1" applyFill="1" applyBorder="1" applyAlignment="1" applyProtection="1">
      <alignment horizontal="center"/>
      <protection hidden="1"/>
    </xf>
    <xf numFmtId="0" fontId="4" fillId="6" borderId="131" xfId="0" applyFont="1" applyFill="1" applyBorder="1" applyAlignment="1" applyProtection="1">
      <alignment horizontal="left"/>
      <protection hidden="1"/>
    </xf>
    <xf numFmtId="0" fontId="4" fillId="6" borderId="131" xfId="0" applyFont="1" applyFill="1" applyBorder="1" applyProtection="1">
      <protection hidden="1"/>
    </xf>
    <xf numFmtId="0" fontId="12" fillId="6" borderId="185" xfId="0" applyFont="1" applyFill="1" applyBorder="1" applyAlignment="1">
      <alignment shrinkToFit="1"/>
    </xf>
    <xf numFmtId="0" fontId="82" fillId="17" borderId="29" xfId="0" applyFont="1" applyFill="1" applyBorder="1" applyAlignment="1">
      <alignment horizontal="center" vertical="center"/>
    </xf>
    <xf numFmtId="0" fontId="80" fillId="17" borderId="13" xfId="0" applyFont="1" applyFill="1" applyBorder="1" applyAlignment="1">
      <alignment horizontal="center" vertical="center"/>
    </xf>
    <xf numFmtId="0" fontId="80" fillId="17" borderId="34" xfId="0" applyFont="1" applyFill="1" applyBorder="1" applyAlignment="1">
      <alignment horizontal="center" vertical="center"/>
    </xf>
    <xf numFmtId="0" fontId="80" fillId="17" borderId="26" xfId="0" applyFont="1" applyFill="1" applyBorder="1" applyAlignment="1">
      <alignment horizontal="center" vertical="center"/>
    </xf>
    <xf numFmtId="49" fontId="80" fillId="17" borderId="13" xfId="0" applyNumberFormat="1" applyFont="1" applyFill="1" applyBorder="1" applyAlignment="1">
      <alignment horizontal="center"/>
    </xf>
    <xf numFmtId="0" fontId="80" fillId="17" borderId="67" xfId="0" applyFont="1" applyFill="1" applyBorder="1" applyAlignment="1">
      <alignment horizontal="center"/>
    </xf>
    <xf numFmtId="0" fontId="79" fillId="17" borderId="2" xfId="0" applyFont="1" applyFill="1" applyBorder="1" applyAlignment="1">
      <alignment vertical="center"/>
    </xf>
    <xf numFmtId="0" fontId="79" fillId="17" borderId="9" xfId="0" applyFont="1" applyFill="1" applyBorder="1" applyAlignment="1">
      <alignment vertical="center"/>
    </xf>
    <xf numFmtId="0" fontId="81" fillId="17" borderId="29" xfId="0" applyFont="1" applyFill="1" applyBorder="1" applyAlignment="1" applyProtection="1">
      <alignment horizontal="center" vertical="center"/>
      <protection hidden="1"/>
    </xf>
    <xf numFmtId="0" fontId="81" fillId="17" borderId="56" xfId="0" applyFont="1" applyFill="1" applyBorder="1" applyAlignment="1" applyProtection="1">
      <alignment horizontal="center" vertical="center"/>
      <protection hidden="1"/>
    </xf>
    <xf numFmtId="0" fontId="81" fillId="17" borderId="30" xfId="0" applyFont="1" applyFill="1" applyBorder="1" applyAlignment="1" applyProtection="1">
      <alignment horizontal="center" vertical="center"/>
      <protection hidden="1"/>
    </xf>
    <xf numFmtId="0" fontId="79" fillId="17" borderId="0" xfId="0" applyFont="1" applyFill="1" applyAlignment="1">
      <alignment vertical="center"/>
    </xf>
    <xf numFmtId="0" fontId="69" fillId="17" borderId="61" xfId="0" applyFont="1" applyFill="1" applyBorder="1" applyAlignment="1" applyProtection="1">
      <alignment horizontal="center" vertical="center"/>
      <protection hidden="1"/>
    </xf>
    <xf numFmtId="0" fontId="69" fillId="17" borderId="229" xfId="0" applyFont="1" applyFill="1" applyBorder="1" applyAlignment="1" applyProtection="1">
      <alignment horizontal="center" vertical="center"/>
      <protection hidden="1"/>
    </xf>
    <xf numFmtId="168" fontId="79" fillId="17" borderId="61" xfId="0" applyNumberFormat="1" applyFont="1" applyFill="1" applyBorder="1" applyAlignment="1">
      <alignment horizontal="center" vertical="center"/>
    </xf>
    <xf numFmtId="168" fontId="79" fillId="17" borderId="25" xfId="0" applyNumberFormat="1" applyFont="1" applyFill="1" applyBorder="1" applyAlignment="1">
      <alignment horizontal="center" vertical="center"/>
    </xf>
    <xf numFmtId="168" fontId="79" fillId="17" borderId="58" xfId="0" applyNumberFormat="1" applyFont="1" applyFill="1" applyBorder="1" applyAlignment="1">
      <alignment horizontal="center" vertical="center"/>
    </xf>
    <xf numFmtId="0" fontId="79" fillId="17" borderId="122" xfId="0" applyFont="1" applyFill="1" applyBorder="1" applyAlignment="1">
      <alignment horizontal="center" vertical="center"/>
    </xf>
    <xf numFmtId="0" fontId="79" fillId="17" borderId="123" xfId="0" applyFont="1" applyFill="1" applyBorder="1" applyAlignment="1">
      <alignment vertical="center"/>
    </xf>
    <xf numFmtId="0" fontId="79" fillId="17" borderId="151" xfId="0" applyFont="1" applyFill="1" applyBorder="1" applyAlignment="1">
      <alignment vertical="center"/>
    </xf>
    <xf numFmtId="0" fontId="81" fillId="17" borderId="152" xfId="0" applyFont="1" applyFill="1" applyBorder="1" applyAlignment="1" applyProtection="1">
      <alignment horizontal="center" vertical="center"/>
      <protection hidden="1"/>
    </xf>
    <xf numFmtId="0" fontId="81" fillId="17" borderId="153" xfId="0" applyFont="1" applyFill="1" applyBorder="1" applyAlignment="1" applyProtection="1">
      <alignment horizontal="center" vertical="center"/>
      <protection hidden="1"/>
    </xf>
    <xf numFmtId="0" fontId="81" fillId="17" borderId="154" xfId="0" applyFont="1" applyFill="1" applyBorder="1" applyAlignment="1" applyProtection="1">
      <alignment horizontal="center" vertical="center"/>
      <protection hidden="1"/>
    </xf>
    <xf numFmtId="1" fontId="69" fillId="17" borderId="61" xfId="0" applyNumberFormat="1" applyFont="1" applyFill="1" applyBorder="1" applyAlignment="1" applyProtection="1">
      <alignment horizontal="center" vertical="center"/>
      <protection hidden="1"/>
    </xf>
    <xf numFmtId="1" fontId="69" fillId="17" borderId="25" xfId="0" applyNumberFormat="1" applyFont="1" applyFill="1" applyBorder="1" applyAlignment="1" applyProtection="1">
      <alignment horizontal="center" vertical="center"/>
      <protection hidden="1"/>
    </xf>
    <xf numFmtId="1" fontId="69" fillId="17" borderId="229" xfId="0" applyNumberFormat="1" applyFont="1" applyFill="1" applyBorder="1" applyAlignment="1" applyProtection="1">
      <alignment horizontal="center" vertical="center"/>
      <protection hidden="1"/>
    </xf>
    <xf numFmtId="0" fontId="85" fillId="17" borderId="125" xfId="0" applyFont="1" applyFill="1" applyBorder="1" applyAlignment="1">
      <alignment horizontal="center" vertical="center"/>
    </xf>
    <xf numFmtId="0" fontId="85" fillId="17" borderId="126" xfId="0" applyFont="1" applyFill="1" applyBorder="1" applyAlignment="1">
      <alignment vertical="center"/>
    </xf>
    <xf numFmtId="0" fontId="79" fillId="17" borderId="155" xfId="0" applyFont="1" applyFill="1" applyBorder="1" applyAlignment="1">
      <alignment vertical="center"/>
    </xf>
    <xf numFmtId="168" fontId="79" fillId="17" borderId="230" xfId="0" applyNumberFormat="1" applyFont="1" applyFill="1" applyBorder="1" applyAlignment="1">
      <alignment horizontal="center" vertical="center"/>
    </xf>
    <xf numFmtId="168" fontId="79" fillId="17" borderId="231" xfId="0" applyNumberFormat="1" applyFont="1" applyFill="1" applyBorder="1" applyAlignment="1">
      <alignment horizontal="center" vertical="center"/>
    </xf>
    <xf numFmtId="0" fontId="86" fillId="0" borderId="25" xfId="0" applyFont="1" applyBorder="1" applyAlignment="1" applyProtection="1">
      <alignment horizontal="left" vertical="center"/>
      <protection hidden="1"/>
    </xf>
    <xf numFmtId="0" fontId="86" fillId="0" borderId="25" xfId="0" applyFont="1" applyBorder="1" applyAlignment="1">
      <alignment vertical="center"/>
    </xf>
    <xf numFmtId="0" fontId="82" fillId="17" borderId="53" xfId="0" applyFont="1" applyFill="1" applyBorder="1" applyAlignment="1">
      <alignment horizontal="center" vertical="center" wrapText="1"/>
    </xf>
    <xf numFmtId="0" fontId="81" fillId="17" borderId="15" xfId="0" applyFont="1" applyFill="1" applyBorder="1" applyAlignment="1">
      <alignment vertical="center"/>
    </xf>
    <xf numFmtId="3" fontId="81" fillId="17" borderId="4" xfId="0" applyNumberFormat="1" applyFont="1" applyFill="1" applyBorder="1" applyAlignment="1" applyProtection="1">
      <alignment vertical="center"/>
      <protection hidden="1"/>
    </xf>
    <xf numFmtId="0" fontId="81" fillId="17" borderId="4" xfId="0" applyFont="1" applyFill="1" applyBorder="1" applyAlignment="1" applyProtection="1">
      <alignment vertical="center"/>
      <protection hidden="1"/>
    </xf>
    <xf numFmtId="3" fontId="81" fillId="17" borderId="4" xfId="0" applyNumberFormat="1" applyFont="1" applyFill="1" applyBorder="1" applyAlignment="1" applyProtection="1">
      <alignment horizontal="right" vertical="center"/>
      <protection hidden="1"/>
    </xf>
    <xf numFmtId="3" fontId="81" fillId="17" borderId="24" xfId="0" applyNumberFormat="1" applyFont="1" applyFill="1" applyBorder="1" applyAlignment="1" applyProtection="1">
      <alignment vertical="center"/>
      <protection hidden="1"/>
    </xf>
    <xf numFmtId="49" fontId="80" fillId="17" borderId="27" xfId="0" applyNumberFormat="1" applyFont="1" applyFill="1" applyBorder="1" applyAlignment="1">
      <alignment horizontal="center"/>
    </xf>
    <xf numFmtId="0" fontId="80" fillId="17" borderId="58" xfId="0" applyFont="1" applyFill="1" applyBorder="1" applyAlignment="1">
      <alignment horizontal="center"/>
    </xf>
    <xf numFmtId="0" fontId="83" fillId="17" borderId="42" xfId="0" applyFont="1" applyFill="1" applyBorder="1" applyAlignment="1">
      <alignment horizontal="center" vertical="center" wrapText="1"/>
    </xf>
    <xf numFmtId="0" fontId="82" fillId="17" borderId="143" xfId="0" applyFont="1" applyFill="1" applyBorder="1" applyAlignment="1">
      <alignment horizontal="right" vertical="center" wrapText="1"/>
    </xf>
    <xf numFmtId="0" fontId="81" fillId="17" borderId="29" xfId="0" applyFont="1" applyFill="1" applyBorder="1" applyAlignment="1">
      <alignment horizontal="center" vertical="center"/>
    </xf>
    <xf numFmtId="0" fontId="81" fillId="17" borderId="30" xfId="0" applyFont="1" applyFill="1" applyBorder="1" applyAlignment="1">
      <alignment horizontal="center" vertical="center"/>
    </xf>
    <xf numFmtId="1" fontId="69" fillId="17" borderId="58" xfId="0" applyNumberFormat="1" applyFont="1" applyFill="1" applyBorder="1" applyAlignment="1" applyProtection="1">
      <alignment horizontal="center" vertical="center"/>
      <protection hidden="1"/>
    </xf>
    <xf numFmtId="1" fontId="82" fillId="17" borderId="63" xfId="0" applyNumberFormat="1" applyFont="1" applyFill="1" applyBorder="1" applyAlignment="1" applyProtection="1">
      <alignment horizontal="center" vertical="center"/>
      <protection hidden="1"/>
    </xf>
    <xf numFmtId="1" fontId="82" fillId="17" borderId="67" xfId="0" applyNumberFormat="1" applyFont="1" applyFill="1" applyBorder="1" applyAlignment="1" applyProtection="1">
      <alignment horizontal="center" vertical="center"/>
      <protection hidden="1"/>
    </xf>
    <xf numFmtId="168" fontId="79" fillId="17" borderId="63" xfId="0" applyNumberFormat="1" applyFont="1" applyFill="1" applyBorder="1" applyAlignment="1" applyProtection="1">
      <alignment horizontal="center" vertical="center"/>
      <protection hidden="1"/>
    </xf>
    <xf numFmtId="168" fontId="79" fillId="17" borderId="67" xfId="0" applyNumberFormat="1" applyFont="1" applyFill="1" applyBorder="1" applyAlignment="1" applyProtection="1">
      <alignment horizontal="center" vertical="center"/>
      <protection hidden="1"/>
    </xf>
    <xf numFmtId="1" fontId="69" fillId="17" borderId="63" xfId="0" applyNumberFormat="1" applyFont="1" applyFill="1" applyBorder="1" applyAlignment="1" applyProtection="1">
      <alignment horizontal="center" vertical="center"/>
      <protection hidden="1"/>
    </xf>
    <xf numFmtId="1" fontId="69" fillId="17" borderId="67" xfId="0" applyNumberFormat="1" applyFont="1" applyFill="1" applyBorder="1" applyAlignment="1" applyProtection="1">
      <alignment horizontal="center" vertical="center"/>
      <protection hidden="1"/>
    </xf>
    <xf numFmtId="0" fontId="83" fillId="17" borderId="2" xfId="0" applyFont="1" applyFill="1" applyBorder="1" applyAlignment="1">
      <alignment horizontal="left" vertical="center"/>
    </xf>
    <xf numFmtId="3" fontId="81" fillId="17" borderId="29" xfId="0" applyNumberFormat="1" applyFont="1" applyFill="1" applyBorder="1" applyAlignment="1">
      <alignment horizontal="center" vertical="center"/>
    </xf>
    <xf numFmtId="3" fontId="81" fillId="17" borderId="29" xfId="0" applyNumberFormat="1" applyFont="1" applyFill="1" applyBorder="1" applyAlignment="1" applyProtection="1">
      <alignment horizontal="center" vertical="center"/>
      <protection hidden="1"/>
    </xf>
    <xf numFmtId="3" fontId="81" fillId="17" borderId="30" xfId="0" applyNumberFormat="1" applyFont="1" applyFill="1" applyBorder="1" applyAlignment="1" applyProtection="1">
      <alignment horizontal="center" vertical="center"/>
      <protection hidden="1"/>
    </xf>
    <xf numFmtId="0" fontId="83" fillId="17" borderId="0" xfId="0" applyFont="1" applyFill="1" applyAlignment="1">
      <alignment horizontal="left" vertical="center"/>
    </xf>
    <xf numFmtId="1" fontId="69" fillId="17" borderId="61" xfId="0" applyNumberFormat="1" applyFont="1" applyFill="1" applyBorder="1" applyAlignment="1">
      <alignment horizontal="center" vertical="center"/>
    </xf>
    <xf numFmtId="0" fontId="79" fillId="17" borderId="43" xfId="0" applyFont="1" applyFill="1" applyBorder="1"/>
    <xf numFmtId="168" fontId="79" fillId="17" borderId="63" xfId="0" applyNumberFormat="1" applyFont="1" applyFill="1" applyBorder="1" applyAlignment="1">
      <alignment horizontal="center" vertical="center"/>
    </xf>
    <xf numFmtId="168" fontId="79" fillId="17" borderId="67" xfId="0" applyNumberFormat="1" applyFont="1" applyFill="1" applyBorder="1" applyAlignment="1">
      <alignment horizontal="center" vertical="center"/>
    </xf>
    <xf numFmtId="0" fontId="79" fillId="17" borderId="0" xfId="0" applyFont="1" applyFill="1" applyAlignment="1">
      <alignment horizontal="center" vertical="center"/>
    </xf>
    <xf numFmtId="0" fontId="69" fillId="17" borderId="0" xfId="0" applyFont="1" applyFill="1" applyAlignment="1">
      <alignment horizontal="center" vertical="center"/>
    </xf>
    <xf numFmtId="17" fontId="80" fillId="17" borderId="32" xfId="0" applyNumberFormat="1" applyFont="1" applyFill="1" applyBorder="1" applyAlignment="1" applyProtection="1">
      <alignment horizontal="center" vertical="center"/>
      <protection hidden="1"/>
    </xf>
    <xf numFmtId="3" fontId="80" fillId="17" borderId="32" xfId="0" applyNumberFormat="1" applyFont="1" applyFill="1" applyBorder="1" applyAlignment="1" applyProtection="1">
      <alignment horizontal="center" vertical="center"/>
      <protection hidden="1"/>
    </xf>
    <xf numFmtId="3" fontId="43" fillId="3" borderId="17" xfId="0" applyNumberFormat="1" applyFont="1" applyFill="1" applyBorder="1" applyAlignment="1" applyProtection="1">
      <alignment horizontal="center" vertical="center"/>
      <protection hidden="1"/>
    </xf>
    <xf numFmtId="3" fontId="44" fillId="3" borderId="17" xfId="0" applyNumberFormat="1" applyFont="1" applyFill="1" applyBorder="1" applyAlignment="1" applyProtection="1">
      <alignment horizontal="center" vertical="center"/>
      <protection hidden="1"/>
    </xf>
    <xf numFmtId="164" fontId="44" fillId="3" borderId="17" xfId="2" applyNumberFormat="1" applyFont="1" applyFill="1" applyBorder="1" applyAlignment="1" applyProtection="1">
      <alignment horizontal="center" vertical="center"/>
      <protection hidden="1"/>
    </xf>
    <xf numFmtId="3" fontId="43" fillId="3" borderId="85" xfId="0" applyNumberFormat="1" applyFont="1" applyFill="1" applyBorder="1" applyAlignment="1" applyProtection="1">
      <alignment horizontal="center" vertical="center"/>
      <protection hidden="1"/>
    </xf>
    <xf numFmtId="3" fontId="43" fillId="3" borderId="32" xfId="0" applyNumberFormat="1" applyFont="1" applyFill="1" applyBorder="1" applyAlignment="1" applyProtection="1">
      <alignment horizontal="center" vertical="center"/>
      <protection hidden="1"/>
    </xf>
    <xf numFmtId="0" fontId="5" fillId="3" borderId="17" xfId="0" applyFont="1" applyFill="1" applyBorder="1" applyAlignment="1" applyProtection="1">
      <alignment horizontal="center" vertical="center"/>
      <protection hidden="1"/>
    </xf>
    <xf numFmtId="3" fontId="5" fillId="3" borderId="17" xfId="0" applyNumberFormat="1" applyFont="1" applyFill="1" applyBorder="1" applyAlignment="1" applyProtection="1">
      <alignment horizontal="center" vertical="center"/>
      <protection hidden="1"/>
    </xf>
    <xf numFmtId="0" fontId="5" fillId="3" borderId="32" xfId="0" applyFont="1" applyFill="1" applyBorder="1" applyAlignment="1" applyProtection="1">
      <alignment horizontal="center" vertical="center"/>
      <protection hidden="1"/>
    </xf>
    <xf numFmtId="3" fontId="5" fillId="3" borderId="32" xfId="0" applyNumberFormat="1" applyFont="1" applyFill="1" applyBorder="1" applyAlignment="1" applyProtection="1">
      <alignment horizontal="center" vertical="center"/>
      <protection hidden="1"/>
    </xf>
    <xf numFmtId="3" fontId="6" fillId="3" borderId="32" xfId="0" applyNumberFormat="1" applyFont="1" applyFill="1" applyBorder="1" applyAlignment="1" applyProtection="1">
      <alignment horizontal="center" vertical="center"/>
      <protection hidden="1"/>
    </xf>
    <xf numFmtId="0" fontId="6" fillId="0" borderId="0" xfId="0" applyFont="1" applyBorder="1" applyAlignment="1">
      <alignment horizontal="center" vertical="center"/>
    </xf>
    <xf numFmtId="0" fontId="6" fillId="0" borderId="0" xfId="0" applyFont="1" applyFill="1" applyBorder="1" applyAlignment="1">
      <alignment horizontal="right"/>
    </xf>
    <xf numFmtId="0" fontId="6" fillId="0" borderId="0" xfId="0" applyFont="1" applyFill="1" applyBorder="1"/>
    <xf numFmtId="0" fontId="17" fillId="0" borderId="0" xfId="0" applyFont="1" applyFill="1" applyBorder="1"/>
    <xf numFmtId="167" fontId="6" fillId="0" borderId="0" xfId="0" applyNumberFormat="1" applyFont="1" applyFill="1" applyBorder="1"/>
    <xf numFmtId="0" fontId="0" fillId="0" borderId="0" xfId="0" applyFill="1" applyBorder="1"/>
    <xf numFmtId="0" fontId="5" fillId="0" borderId="0" xfId="0" applyFont="1" applyFill="1" applyBorder="1"/>
    <xf numFmtId="0" fontId="18" fillId="0" borderId="0" xfId="0" applyFont="1" applyFill="1" applyBorder="1"/>
    <xf numFmtId="0" fontId="8" fillId="0" borderId="0" xfId="0" applyFont="1" applyFill="1" applyBorder="1"/>
    <xf numFmtId="1" fontId="6" fillId="0" borderId="0" xfId="0" applyNumberFormat="1" applyFont="1" applyFill="1" applyBorder="1" applyAlignment="1">
      <alignment horizontal="center"/>
    </xf>
    <xf numFmtId="0" fontId="6" fillId="0" borderId="0" xfId="0" applyFont="1" applyFill="1" applyBorder="1" applyAlignment="1">
      <alignment horizontal="center"/>
    </xf>
    <xf numFmtId="0" fontId="5" fillId="0" borderId="0" xfId="0" applyFont="1" applyFill="1" applyBorder="1" applyAlignment="1">
      <alignment horizontal="center"/>
    </xf>
    <xf numFmtId="164" fontId="6" fillId="0" borderId="0" xfId="2" applyNumberFormat="1" applyFont="1" applyFill="1" applyBorder="1" applyAlignment="1" applyProtection="1">
      <alignment horizontal="right"/>
      <protection hidden="1"/>
    </xf>
    <xf numFmtId="0" fontId="6" fillId="0" borderId="0" xfId="0" applyFont="1" applyFill="1" applyBorder="1" applyAlignment="1">
      <alignment horizontal="center" vertical="center"/>
    </xf>
    <xf numFmtId="10" fontId="6" fillId="0" borderId="0" xfId="2" applyNumberFormat="1" applyFont="1" applyFill="1" applyBorder="1" applyAlignment="1" applyProtection="1">
      <alignment horizontal="right"/>
      <protection hidden="1"/>
    </xf>
    <xf numFmtId="164" fontId="40" fillId="0" borderId="0" xfId="2" applyNumberFormat="1" applyFont="1" applyFill="1" applyBorder="1" applyAlignment="1" applyProtection="1">
      <alignment horizontal="center"/>
      <protection locked="0"/>
    </xf>
    <xf numFmtId="164" fontId="6" fillId="0" borderId="0" xfId="0" applyNumberFormat="1" applyFont="1" applyFill="1" applyBorder="1"/>
    <xf numFmtId="0" fontId="0" fillId="0" borderId="0" xfId="0" applyFill="1" applyBorder="1" applyAlignment="1">
      <alignment horizontal="center"/>
    </xf>
    <xf numFmtId="3" fontId="0" fillId="0" borderId="0" xfId="0" applyNumberFormat="1" applyFill="1" applyBorder="1"/>
    <xf numFmtId="3" fontId="5" fillId="0" borderId="0" xfId="0" applyNumberFormat="1" applyFont="1" applyFill="1" applyBorder="1"/>
    <xf numFmtId="3" fontId="40" fillId="0" borderId="0" xfId="2" applyNumberFormat="1" applyFont="1" applyFill="1" applyBorder="1" applyAlignment="1" applyProtection="1">
      <alignment horizontal="center"/>
      <protection locked="0"/>
    </xf>
    <xf numFmtId="0" fontId="5" fillId="0" borderId="0" xfId="0" applyFont="1" applyFill="1" applyBorder="1" applyAlignment="1">
      <alignment horizontal="right"/>
    </xf>
    <xf numFmtId="0" fontId="6" fillId="0" borderId="0" xfId="0" applyFont="1" applyFill="1" applyBorder="1" applyAlignment="1" applyProtection="1">
      <alignment horizontal="left"/>
      <protection hidden="1"/>
    </xf>
    <xf numFmtId="10" fontId="6" fillId="0" borderId="0" xfId="2" applyNumberFormat="1" applyFont="1" applyFill="1" applyBorder="1" applyAlignment="1">
      <alignment horizontal="right"/>
    </xf>
    <xf numFmtId="0" fontId="6" fillId="0" borderId="0" xfId="0" applyFont="1" applyFill="1" applyBorder="1" applyAlignment="1" applyProtection="1">
      <alignment horizontal="right"/>
      <protection hidden="1"/>
    </xf>
    <xf numFmtId="3" fontId="6" fillId="0" borderId="0" xfId="2" applyNumberFormat="1" applyFont="1" applyFill="1" applyBorder="1" applyAlignment="1">
      <alignment horizontal="right"/>
    </xf>
    <xf numFmtId="164" fontId="5" fillId="0" borderId="0" xfId="2" applyNumberFormat="1" applyFont="1" applyFill="1" applyBorder="1" applyAlignment="1">
      <alignment horizontal="right"/>
    </xf>
    <xf numFmtId="10" fontId="5" fillId="0" borderId="0" xfId="2" applyNumberFormat="1" applyFont="1" applyFill="1" applyBorder="1" applyAlignment="1">
      <alignment horizontal="right"/>
    </xf>
    <xf numFmtId="164" fontId="6" fillId="0" borderId="0" xfId="2" applyNumberFormat="1" applyFont="1" applyFill="1" applyBorder="1" applyAlignment="1">
      <alignment horizontal="right"/>
    </xf>
    <xf numFmtId="0" fontId="3" fillId="0" borderId="0" xfId="0" applyFont="1" applyFill="1" applyBorder="1"/>
    <xf numFmtId="10" fontId="5" fillId="0" borderId="0" xfId="0" applyNumberFormat="1" applyFont="1" applyFill="1" applyBorder="1" applyAlignment="1">
      <alignment horizontal="right"/>
    </xf>
    <xf numFmtId="10" fontId="47" fillId="0" borderId="0" xfId="2" applyNumberFormat="1" applyFont="1" applyFill="1" applyBorder="1"/>
    <xf numFmtId="164" fontId="6" fillId="0" borderId="0" xfId="2" applyNumberFormat="1" applyFont="1" applyFill="1" applyBorder="1"/>
    <xf numFmtId="165" fontId="0" fillId="0" borderId="0" xfId="0" applyNumberFormat="1" applyFill="1" applyBorder="1" applyAlignment="1">
      <alignment horizontal="right"/>
    </xf>
    <xf numFmtId="0" fontId="5" fillId="0" borderId="0" xfId="0" applyFont="1" applyFill="1" applyBorder="1" applyAlignment="1" applyProtection="1">
      <alignment horizontal="center"/>
      <protection hidden="1"/>
    </xf>
    <xf numFmtId="0" fontId="18" fillId="0" borderId="0" xfId="0" applyFont="1" applyBorder="1"/>
    <xf numFmtId="0" fontId="6" fillId="0" borderId="0" xfId="0" applyFont="1" applyBorder="1"/>
    <xf numFmtId="0" fontId="5" fillId="0" borderId="0" xfId="0" applyFont="1" applyBorder="1" applyAlignment="1">
      <alignment horizontal="center"/>
    </xf>
    <xf numFmtId="0" fontId="81" fillId="17" borderId="136" xfId="0" applyFont="1" applyFill="1" applyBorder="1" applyAlignment="1" applyProtection="1">
      <alignment horizontal="center" vertical="center"/>
      <protection hidden="1"/>
    </xf>
    <xf numFmtId="1" fontId="81" fillId="17" borderId="119" xfId="0" applyNumberFormat="1" applyFont="1" applyFill="1" applyBorder="1" applyAlignment="1" applyProtection="1">
      <alignment horizontal="center" vertical="center"/>
      <protection hidden="1"/>
    </xf>
    <xf numFmtId="1" fontId="81" fillId="17" borderId="131" xfId="0" applyNumberFormat="1" applyFont="1" applyFill="1" applyBorder="1" applyAlignment="1" applyProtection="1">
      <alignment horizontal="center" vertical="center"/>
      <protection hidden="1"/>
    </xf>
    <xf numFmtId="0" fontId="81" fillId="17" borderId="132" xfId="0" applyFont="1" applyFill="1" applyBorder="1" applyAlignment="1" applyProtection="1">
      <alignment horizontal="center" vertical="center"/>
      <protection hidden="1"/>
    </xf>
    <xf numFmtId="0" fontId="81" fillId="17" borderId="131" xfId="0" applyFont="1" applyFill="1" applyBorder="1" applyAlignment="1" applyProtection="1">
      <alignment horizontal="center" vertical="center"/>
      <protection hidden="1"/>
    </xf>
    <xf numFmtId="49" fontId="81" fillId="17" borderId="131" xfId="0" applyNumberFormat="1" applyFont="1" applyFill="1" applyBorder="1" applyAlignment="1" applyProtection="1">
      <alignment horizontal="center" vertical="center"/>
      <protection hidden="1"/>
    </xf>
    <xf numFmtId="49" fontId="75" fillId="17" borderId="211" xfId="0" applyNumberFormat="1" applyFont="1" applyFill="1" applyBorder="1" applyAlignment="1" applyProtection="1">
      <alignment horizontal="center"/>
      <protection hidden="1"/>
    </xf>
    <xf numFmtId="0" fontId="75" fillId="17" borderId="194" xfId="0" applyFont="1" applyFill="1" applyBorder="1" applyAlignment="1" applyProtection="1">
      <alignment horizontal="center"/>
      <protection hidden="1"/>
    </xf>
    <xf numFmtId="0" fontId="81" fillId="17" borderId="132" xfId="0" applyFont="1" applyFill="1" applyBorder="1" applyAlignment="1" applyProtection="1">
      <alignment horizontal="center"/>
      <protection hidden="1"/>
    </xf>
    <xf numFmtId="0" fontId="81" fillId="17" borderId="136" xfId="0" applyFont="1" applyFill="1" applyBorder="1" applyAlignment="1" applyProtection="1">
      <alignment horizontal="center"/>
      <protection hidden="1"/>
    </xf>
    <xf numFmtId="0" fontId="82" fillId="17" borderId="131" xfId="0" applyFont="1" applyFill="1" applyBorder="1" applyAlignment="1" applyProtection="1">
      <alignment horizontal="center" vertical="center"/>
      <protection hidden="1"/>
    </xf>
    <xf numFmtId="0" fontId="82" fillId="17" borderId="119" xfId="0" applyFont="1" applyFill="1" applyBorder="1" applyAlignment="1" applyProtection="1">
      <alignment horizontal="center" vertical="center"/>
      <protection hidden="1"/>
    </xf>
    <xf numFmtId="0" fontId="81" fillId="17" borderId="186" xfId="0" applyFont="1" applyFill="1" applyBorder="1" applyAlignment="1" applyProtection="1">
      <alignment horizontal="center" vertical="center"/>
      <protection hidden="1"/>
    </xf>
    <xf numFmtId="0" fontId="81" fillId="17" borderId="207" xfId="0" applyFont="1" applyFill="1" applyBorder="1" applyAlignment="1" applyProtection="1">
      <alignment horizontal="center" vertical="center"/>
      <protection hidden="1"/>
    </xf>
    <xf numFmtId="0" fontId="81" fillId="17" borderId="139" xfId="0" applyFont="1" applyFill="1" applyBorder="1" applyAlignment="1" applyProtection="1">
      <alignment horizontal="center" vertical="center"/>
      <protection hidden="1"/>
    </xf>
    <xf numFmtId="0" fontId="81" fillId="17" borderId="208" xfId="0" applyFont="1" applyFill="1" applyBorder="1" applyAlignment="1" applyProtection="1">
      <alignment horizontal="center" vertical="center"/>
      <protection hidden="1"/>
    </xf>
    <xf numFmtId="0" fontId="69" fillId="17" borderId="127" xfId="0" applyFont="1" applyFill="1" applyBorder="1" applyAlignment="1" applyProtection="1">
      <alignment horizontal="left" vertical="center" wrapText="1" indent="1"/>
      <protection hidden="1"/>
    </xf>
    <xf numFmtId="0" fontId="81" fillId="17" borderId="127" xfId="0" applyFont="1" applyFill="1" applyBorder="1" applyAlignment="1" applyProtection="1">
      <alignment horizontal="center" vertical="center"/>
      <protection hidden="1"/>
    </xf>
    <xf numFmtId="0" fontId="81" fillId="17" borderId="137" xfId="0" applyFont="1" applyFill="1" applyBorder="1" applyAlignment="1" applyProtection="1">
      <alignment horizontal="center" vertical="center"/>
      <protection hidden="1"/>
    </xf>
    <xf numFmtId="0" fontId="69" fillId="17" borderId="139" xfId="0" applyFont="1" applyFill="1" applyBorder="1" applyAlignment="1" applyProtection="1">
      <alignment horizontal="left" vertical="center" wrapText="1" indent="1"/>
      <protection hidden="1"/>
    </xf>
    <xf numFmtId="0" fontId="81" fillId="17" borderId="138" xfId="0" applyFont="1" applyFill="1" applyBorder="1" applyAlignment="1" applyProtection="1">
      <alignment horizontal="center" vertical="center"/>
      <protection hidden="1"/>
    </xf>
    <xf numFmtId="0" fontId="69" fillId="17" borderId="115" xfId="0" applyFont="1" applyFill="1" applyBorder="1" applyAlignment="1">
      <alignment horizontal="left" vertical="center" indent="1"/>
    </xf>
    <xf numFmtId="0" fontId="69" fillId="17" borderId="115" xfId="0" applyFont="1" applyFill="1" applyBorder="1" applyAlignment="1">
      <alignment horizontal="left" vertical="center"/>
    </xf>
    <xf numFmtId="0" fontId="83" fillId="17" borderId="116" xfId="0" applyFont="1" applyFill="1" applyBorder="1" applyAlignment="1">
      <alignment horizontal="left" vertical="center"/>
    </xf>
    <xf numFmtId="0" fontId="69" fillId="17" borderId="117" xfId="0" applyFont="1" applyFill="1" applyBorder="1" applyAlignment="1">
      <alignment horizontal="left" vertical="center" indent="1"/>
    </xf>
    <xf numFmtId="0" fontId="69" fillId="17" borderId="117" xfId="0" applyFont="1" applyFill="1" applyBorder="1" applyAlignment="1">
      <alignment horizontal="left" vertical="center"/>
    </xf>
    <xf numFmtId="0" fontId="83" fillId="17" borderId="118" xfId="0" applyFont="1" applyFill="1" applyBorder="1" applyAlignment="1">
      <alignment horizontal="left" vertical="center"/>
    </xf>
    <xf numFmtId="0" fontId="81" fillId="17" borderId="0" xfId="0" applyFont="1" applyFill="1" applyBorder="1" applyAlignment="1">
      <alignment horizontal="center" vertical="center" wrapText="1"/>
    </xf>
    <xf numFmtId="0" fontId="81" fillId="17" borderId="197" xfId="0" applyFont="1" applyFill="1" applyBorder="1" applyAlignment="1">
      <alignment horizontal="center" vertical="center"/>
    </xf>
    <xf numFmtId="0" fontId="81" fillId="17" borderId="198" xfId="0" applyFont="1" applyFill="1" applyBorder="1" applyAlignment="1">
      <alignment horizontal="center" vertical="center"/>
    </xf>
    <xf numFmtId="0" fontId="81" fillId="17" borderId="227" xfId="0" applyFont="1" applyFill="1" applyBorder="1" applyAlignment="1">
      <alignment horizontal="center" vertical="center"/>
    </xf>
    <xf numFmtId="0" fontId="81" fillId="17" borderId="117" xfId="0" applyFont="1" applyFill="1" applyBorder="1" applyAlignment="1">
      <alignment horizontal="center" vertical="center"/>
    </xf>
    <xf numFmtId="0" fontId="81" fillId="17" borderId="282" xfId="0" applyFont="1" applyFill="1" applyBorder="1" applyAlignment="1">
      <alignment horizontal="center" vertical="center"/>
    </xf>
    <xf numFmtId="0" fontId="81" fillId="17" borderId="288" xfId="0" applyFont="1" applyFill="1" applyBorder="1" applyAlignment="1">
      <alignment horizontal="center" vertical="center"/>
    </xf>
    <xf numFmtId="0" fontId="81" fillId="17" borderId="283" xfId="0" applyFont="1" applyFill="1" applyBorder="1" applyAlignment="1">
      <alignment horizontal="center" vertical="center"/>
    </xf>
    <xf numFmtId="0" fontId="81" fillId="17" borderId="133" xfId="0" applyFont="1" applyFill="1" applyBorder="1" applyAlignment="1" applyProtection="1">
      <alignment horizontal="center" vertical="center"/>
      <protection hidden="1"/>
    </xf>
    <xf numFmtId="17" fontId="80" fillId="17" borderId="61" xfId="0" applyNumberFormat="1" applyFont="1" applyFill="1" applyBorder="1" applyAlignment="1">
      <alignment horizontal="center" vertical="center"/>
    </xf>
    <xf numFmtId="17" fontId="80" fillId="17" borderId="25" xfId="0" applyNumberFormat="1" applyFont="1" applyFill="1" applyBorder="1" applyAlignment="1">
      <alignment horizontal="center" vertical="center"/>
    </xf>
    <xf numFmtId="0" fontId="80" fillId="17" borderId="0" xfId="0" applyFont="1" applyFill="1" applyBorder="1" applyAlignment="1" applyProtection="1">
      <alignment horizontal="center" vertical="center"/>
      <protection hidden="1"/>
    </xf>
    <xf numFmtId="0" fontId="28" fillId="0" borderId="0" xfId="0" applyFont="1" applyBorder="1" applyAlignment="1">
      <alignment horizontal="left"/>
    </xf>
    <xf numFmtId="3" fontId="56" fillId="0" borderId="32" xfId="0" applyNumberFormat="1" applyFont="1" applyFill="1" applyBorder="1" applyAlignment="1" applyProtection="1">
      <alignment horizontal="center" vertical="center"/>
      <protection hidden="1"/>
    </xf>
    <xf numFmtId="3" fontId="44" fillId="6" borderId="32" xfId="0" applyNumberFormat="1" applyFont="1" applyFill="1" applyBorder="1" applyAlignment="1" applyProtection="1">
      <alignment horizontal="center" vertical="center"/>
      <protection hidden="1"/>
    </xf>
    <xf numFmtId="3" fontId="44" fillId="3" borderId="32" xfId="0" applyNumberFormat="1" applyFont="1" applyFill="1" applyBorder="1" applyAlignment="1" applyProtection="1">
      <alignment horizontal="center" vertical="center"/>
      <protection hidden="1"/>
    </xf>
    <xf numFmtId="170" fontId="43" fillId="7" borderId="17" xfId="0" applyNumberFormat="1" applyFont="1" applyFill="1" applyBorder="1" applyAlignment="1" applyProtection="1">
      <alignment horizontal="center" vertical="center"/>
      <protection locked="0"/>
    </xf>
    <xf numFmtId="170" fontId="12" fillId="7" borderId="17" xfId="0" applyNumberFormat="1" applyFont="1" applyFill="1" applyBorder="1" applyAlignment="1" applyProtection="1">
      <alignment horizontal="center" vertical="center"/>
      <protection locked="0"/>
    </xf>
    <xf numFmtId="0" fontId="79" fillId="17" borderId="25" xfId="0" applyFont="1" applyFill="1" applyBorder="1" applyAlignment="1">
      <alignment horizontal="center" vertical="center"/>
    </xf>
    <xf numFmtId="0" fontId="81" fillId="17" borderId="31" xfId="0" applyFont="1" applyFill="1" applyBorder="1" applyAlignment="1">
      <alignment horizontal="center" vertical="center" wrapText="1"/>
    </xf>
    <xf numFmtId="0" fontId="81" fillId="17" borderId="44" xfId="0" applyFont="1" applyFill="1" applyBorder="1" applyAlignment="1">
      <alignment horizontal="center" vertical="center"/>
    </xf>
    <xf numFmtId="3" fontId="2" fillId="3" borderId="17" xfId="0" applyNumberFormat="1" applyFont="1" applyFill="1" applyBorder="1" applyAlignment="1" applyProtection="1">
      <alignment vertical="center"/>
      <protection hidden="1"/>
    </xf>
    <xf numFmtId="167" fontId="2" fillId="3" borderId="60" xfId="0" applyNumberFormat="1" applyFont="1" applyFill="1" applyBorder="1" applyAlignment="1" applyProtection="1">
      <alignment vertical="center"/>
      <protection hidden="1"/>
    </xf>
    <xf numFmtId="0" fontId="4" fillId="0" borderId="31" xfId="0" applyFont="1" applyBorder="1" applyAlignment="1">
      <alignment horizontal="center" vertical="center"/>
    </xf>
    <xf numFmtId="17" fontId="44" fillId="0" borderId="19" xfId="0" applyNumberFormat="1" applyFont="1" applyBorder="1" applyAlignment="1" applyProtection="1">
      <alignment horizontal="center" vertical="center"/>
      <protection locked="0"/>
    </xf>
    <xf numFmtId="3" fontId="2" fillId="3" borderId="31" xfId="0" applyNumberFormat="1" applyFont="1" applyFill="1" applyBorder="1" applyAlignment="1" applyProtection="1">
      <alignment vertical="center"/>
      <protection hidden="1"/>
    </xf>
    <xf numFmtId="17" fontId="44" fillId="0" borderId="17" xfId="0" applyNumberFormat="1" applyFont="1" applyBorder="1" applyAlignment="1" applyProtection="1">
      <alignment horizontal="center" vertical="center"/>
      <protection locked="0"/>
    </xf>
    <xf numFmtId="0" fontId="0" fillId="0" borderId="0" xfId="0" applyFill="1"/>
    <xf numFmtId="0" fontId="12" fillId="0" borderId="0" xfId="0" applyFont="1" applyFill="1" applyAlignment="1">
      <alignment horizontal="left" vertical="center" wrapText="1" indent="1"/>
    </xf>
    <xf numFmtId="0" fontId="23" fillId="0" borderId="0" xfId="0" applyFont="1" applyFill="1" applyAlignment="1">
      <alignment horizontal="left" vertical="center" wrapText="1"/>
    </xf>
    <xf numFmtId="0" fontId="0" fillId="0" borderId="0" xfId="0" applyFill="1"/>
    <xf numFmtId="0" fontId="4" fillId="0" borderId="0" xfId="0" applyFont="1" applyAlignment="1">
      <alignment horizontal="center"/>
    </xf>
    <xf numFmtId="0" fontId="4" fillId="0" borderId="0"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169" fontId="7" fillId="0" borderId="117" xfId="0" applyNumberFormat="1" applyFont="1" applyBorder="1" applyAlignment="1" applyProtection="1">
      <alignment horizontal="left" vertical="center"/>
      <protection hidden="1"/>
    </xf>
    <xf numFmtId="0" fontId="0" fillId="0" borderId="0" xfId="0" applyBorder="1"/>
    <xf numFmtId="0" fontId="0" fillId="0" borderId="0" xfId="0" applyAlignment="1">
      <alignment vertical="top"/>
    </xf>
    <xf numFmtId="0" fontId="7"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center" vertical="top"/>
    </xf>
    <xf numFmtId="0" fontId="89" fillId="0" borderId="0" xfId="0" applyFont="1" applyFill="1" applyBorder="1" applyAlignment="1" applyProtection="1">
      <alignment horizontal="left" vertical="center"/>
      <protection hidden="1"/>
    </xf>
    <xf numFmtId="0" fontId="89" fillId="0" borderId="0" xfId="0" applyFont="1" applyFill="1" applyBorder="1" applyAlignment="1" applyProtection="1">
      <alignment vertical="center"/>
      <protection hidden="1"/>
    </xf>
    <xf numFmtId="0" fontId="89" fillId="0" borderId="0" xfId="0" applyFont="1" applyFill="1" applyBorder="1" applyAlignment="1" applyProtection="1">
      <protection hidden="1"/>
    </xf>
    <xf numFmtId="0" fontId="1" fillId="0" borderId="0" xfId="0" applyFont="1" applyFill="1" applyBorder="1"/>
    <xf numFmtId="0" fontId="7" fillId="8" borderId="175" xfId="0" applyFont="1" applyFill="1" applyBorder="1" applyAlignment="1" applyProtection="1">
      <alignment horizontal="left" vertical="center" indent="1"/>
    </xf>
    <xf numFmtId="0" fontId="7" fillId="8" borderId="0" xfId="0" applyFont="1" applyFill="1" applyBorder="1" applyAlignment="1" applyProtection="1">
      <alignment horizontal="left" vertical="center" indent="1"/>
    </xf>
    <xf numFmtId="0" fontId="4" fillId="8" borderId="177" xfId="0" applyFont="1" applyFill="1" applyBorder="1" applyAlignment="1" applyProtection="1">
      <alignment horizontal="left" vertical="center" indent="1"/>
    </xf>
    <xf numFmtId="0" fontId="12" fillId="0" borderId="20" xfId="0" applyFont="1" applyBorder="1" applyAlignment="1">
      <alignment horizontal="left" vertical="center" indent="1"/>
    </xf>
    <xf numFmtId="0" fontId="89" fillId="0" borderId="115" xfId="0" applyFont="1" applyFill="1" applyBorder="1" applyProtection="1">
      <protection hidden="1"/>
    </xf>
    <xf numFmtId="0" fontId="89" fillId="0" borderId="0" xfId="0" applyFont="1" applyFill="1" applyBorder="1" applyProtection="1">
      <protection hidden="1"/>
    </xf>
    <xf numFmtId="0" fontId="11" fillId="0" borderId="138" xfId="0" applyFont="1" applyBorder="1" applyProtection="1">
      <protection hidden="1"/>
    </xf>
    <xf numFmtId="0" fontId="0" fillId="0" borderId="0" xfId="0" applyBorder="1" applyAlignment="1" applyProtection="1">
      <alignment horizontal="center"/>
      <protection hidden="1"/>
    </xf>
    <xf numFmtId="0" fontId="3" fillId="0" borderId="0" xfId="0" applyFont="1" applyBorder="1" applyAlignment="1" applyProtection="1">
      <alignment horizontal="center"/>
      <protection hidden="1"/>
    </xf>
    <xf numFmtId="1" fontId="0" fillId="0" borderId="0" xfId="0" applyNumberFormat="1" applyBorder="1" applyAlignment="1" applyProtection="1">
      <alignment horizontal="center"/>
      <protection hidden="1"/>
    </xf>
    <xf numFmtId="0" fontId="81" fillId="17" borderId="328" xfId="0" applyFont="1" applyFill="1" applyBorder="1" applyAlignment="1" applyProtection="1">
      <alignment horizontal="center" vertical="center"/>
      <protection hidden="1"/>
    </xf>
    <xf numFmtId="0" fontId="81" fillId="17" borderId="329" xfId="0" applyFont="1" applyFill="1" applyBorder="1" applyAlignment="1" applyProtection="1">
      <alignment horizontal="center" vertical="center"/>
      <protection hidden="1"/>
    </xf>
    <xf numFmtId="0" fontId="82" fillId="17" borderId="331" xfId="0" applyFont="1" applyFill="1" applyBorder="1" applyAlignment="1" applyProtection="1">
      <alignment horizontal="center" vertical="center"/>
      <protection hidden="1"/>
    </xf>
    <xf numFmtId="0" fontId="82" fillId="17" borderId="332" xfId="0" applyFont="1" applyFill="1" applyBorder="1" applyAlignment="1" applyProtection="1">
      <alignment horizontal="center" vertical="center"/>
      <protection hidden="1"/>
    </xf>
    <xf numFmtId="14" fontId="12" fillId="0" borderId="0" xfId="0" applyNumberFormat="1" applyFont="1" applyFill="1" applyBorder="1" applyAlignment="1" applyProtection="1">
      <alignment horizontal="left"/>
      <protection locked="0"/>
    </xf>
    <xf numFmtId="14" fontId="12" fillId="7" borderId="0" xfId="0" applyNumberFormat="1" applyFont="1" applyFill="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3" fillId="7" borderId="0" xfId="0" applyFont="1" applyFill="1" applyBorder="1" applyAlignment="1" applyProtection="1">
      <alignment horizontal="left" vertical="center"/>
      <protection locked="0"/>
    </xf>
    <xf numFmtId="0" fontId="3" fillId="7" borderId="31" xfId="0" applyFont="1" applyFill="1" applyBorder="1" applyAlignment="1" applyProtection="1">
      <alignment horizontal="left" vertical="center"/>
      <protection locked="0"/>
    </xf>
    <xf numFmtId="0" fontId="3" fillId="7" borderId="13" xfId="0" applyFont="1" applyFill="1" applyBorder="1" applyAlignment="1" applyProtection="1">
      <alignment vertical="center"/>
      <protection locked="0"/>
    </xf>
    <xf numFmtId="0" fontId="3" fillId="7" borderId="34" xfId="0" applyFont="1" applyFill="1" applyBorder="1" applyAlignment="1" applyProtection="1">
      <alignment vertical="center"/>
      <protection locked="0"/>
    </xf>
    <xf numFmtId="0" fontId="3" fillId="7" borderId="43" xfId="0" applyFont="1" applyFill="1" applyBorder="1" applyAlignment="1" applyProtection="1">
      <alignment vertical="center"/>
      <protection locked="0"/>
    </xf>
    <xf numFmtId="49" fontId="7" fillId="0" borderId="134" xfId="0" applyNumberFormat="1" applyFont="1" applyBorder="1" applyAlignment="1" applyProtection="1">
      <alignment horizontal="left" vertical="center"/>
      <protection hidden="1"/>
    </xf>
    <xf numFmtId="0" fontId="7" fillId="0" borderId="134" xfId="0" applyFont="1" applyBorder="1" applyAlignment="1" applyProtection="1">
      <alignment horizontal="left" vertical="center"/>
      <protection hidden="1"/>
    </xf>
    <xf numFmtId="169" fontId="7" fillId="0" borderId="0" xfId="0" applyNumberFormat="1" applyFont="1" applyBorder="1" applyAlignment="1" applyProtection="1">
      <alignment horizontal="left" vertical="center"/>
      <protection hidden="1"/>
    </xf>
    <xf numFmtId="14" fontId="7" fillId="0" borderId="0" xfId="0" applyNumberFormat="1" applyFont="1" applyBorder="1" applyAlignment="1">
      <alignment horizontal="left" vertical="center"/>
    </xf>
    <xf numFmtId="49" fontId="7" fillId="0" borderId="0" xfId="0" applyNumberFormat="1" applyFont="1" applyProtection="1">
      <protection hidden="1"/>
    </xf>
    <xf numFmtId="49" fontId="3" fillId="0" borderId="0" xfId="0" applyNumberFormat="1" applyFont="1"/>
    <xf numFmtId="49" fontId="7" fillId="0" borderId="117" xfId="0" applyNumberFormat="1" applyFont="1" applyBorder="1" applyAlignment="1" applyProtection="1">
      <alignment horizontal="left"/>
      <protection hidden="1"/>
    </xf>
    <xf numFmtId="0" fontId="7" fillId="0" borderId="0" xfId="0" applyFont="1" applyBorder="1" applyAlignment="1"/>
    <xf numFmtId="1" fontId="7" fillId="0" borderId="117" xfId="0" applyNumberFormat="1" applyFont="1" applyBorder="1" applyAlignment="1" applyProtection="1">
      <alignment horizontal="left"/>
      <protection hidden="1"/>
    </xf>
    <xf numFmtId="14" fontId="0" fillId="0" borderId="16" xfId="0" applyNumberFormat="1" applyFill="1" applyBorder="1" applyAlignment="1" applyProtection="1">
      <alignment horizontal="left" vertical="center"/>
    </xf>
    <xf numFmtId="0" fontId="6" fillId="0" borderId="16" xfId="0" applyFont="1" applyFill="1" applyBorder="1" applyAlignment="1" applyProtection="1">
      <alignment horizontal="left" vertical="center"/>
    </xf>
    <xf numFmtId="0" fontId="79" fillId="0" borderId="0" xfId="0" applyFont="1" applyFill="1" applyBorder="1"/>
    <xf numFmtId="0" fontId="82" fillId="0" borderId="0" xfId="0" applyFont="1" applyFill="1" applyBorder="1" applyProtection="1">
      <protection hidden="1"/>
    </xf>
    <xf numFmtId="0" fontId="80" fillId="0" borderId="0" xfId="0" applyFont="1" applyFill="1" applyBorder="1" applyProtection="1">
      <protection hidden="1"/>
    </xf>
    <xf numFmtId="1" fontId="80" fillId="0" borderId="0" xfId="0" applyNumberFormat="1" applyFont="1" applyFill="1" applyBorder="1" applyAlignment="1" applyProtection="1">
      <alignment horizontal="center" vertical="center"/>
      <protection hidden="1"/>
    </xf>
    <xf numFmtId="0" fontId="80" fillId="0" borderId="0" xfId="0" applyFont="1" applyFill="1" applyBorder="1" applyAlignment="1" applyProtection="1">
      <alignment horizontal="center"/>
      <protection hidden="1"/>
    </xf>
    <xf numFmtId="3" fontId="80" fillId="0" borderId="0" xfId="0" applyNumberFormat="1" applyFont="1" applyFill="1" applyBorder="1" applyAlignment="1" applyProtection="1">
      <alignment horizontal="center"/>
      <protection hidden="1"/>
    </xf>
    <xf numFmtId="3" fontId="82" fillId="0" borderId="0" xfId="0" applyNumberFormat="1" applyFont="1" applyFill="1" applyBorder="1" applyAlignment="1" applyProtection="1">
      <alignment horizontal="center"/>
      <protection hidden="1"/>
    </xf>
    <xf numFmtId="3" fontId="80" fillId="0" borderId="0" xfId="0" applyNumberFormat="1" applyFont="1" applyFill="1" applyBorder="1" applyAlignment="1">
      <alignment horizontal="center"/>
    </xf>
    <xf numFmtId="0" fontId="80" fillId="0" borderId="0" xfId="0" applyFont="1" applyFill="1" applyBorder="1"/>
    <xf numFmtId="0" fontId="80" fillId="0" borderId="0" xfId="0" applyFont="1" applyFill="1" applyBorder="1" applyAlignment="1">
      <alignment horizontal="left"/>
    </xf>
    <xf numFmtId="0" fontId="22" fillId="8" borderId="0" xfId="0" applyFont="1" applyFill="1" applyAlignment="1">
      <alignment horizontal="center" vertical="center"/>
    </xf>
    <xf numFmtId="0" fontId="23" fillId="8" borderId="0" xfId="0" applyFont="1" applyFill="1" applyAlignment="1">
      <alignment horizontal="center" vertical="center"/>
    </xf>
    <xf numFmtId="0" fontId="0" fillId="8" borderId="0" xfId="0" applyFill="1" applyAlignment="1">
      <alignment horizontal="center"/>
    </xf>
    <xf numFmtId="0" fontId="6" fillId="0" borderId="0" xfId="0" applyFont="1" applyAlignment="1">
      <alignment horizontal="center" vertical="center"/>
    </xf>
    <xf numFmtId="0" fontId="4" fillId="0" borderId="0" xfId="0" applyFont="1" applyAlignment="1">
      <alignment horizontal="right" vertical="top" wrapText="1"/>
    </xf>
    <xf numFmtId="0" fontId="7" fillId="0" borderId="0" xfId="0" applyFont="1" applyAlignment="1">
      <alignment horizontal="center" vertical="center"/>
    </xf>
    <xf numFmtId="0" fontId="7" fillId="0" borderId="0" xfId="0" applyFont="1"/>
    <xf numFmtId="0" fontId="11" fillId="0" borderId="0" xfId="0" applyFont="1" applyAlignment="1">
      <alignment horizontal="center"/>
    </xf>
    <xf numFmtId="0" fontId="69" fillId="0" borderId="0" xfId="0" applyFont="1" applyAlignment="1">
      <alignment horizontal="right" vertical="top" wrapText="1"/>
    </xf>
    <xf numFmtId="0" fontId="4" fillId="0" borderId="0" xfId="0" applyFont="1" applyAlignment="1">
      <alignment horizontal="left" vertical="center"/>
    </xf>
    <xf numFmtId="0" fontId="12" fillId="0" borderId="0" xfId="0" applyFont="1" applyAlignment="1">
      <alignment horizontal="center"/>
    </xf>
    <xf numFmtId="0" fontId="4" fillId="0" borderId="0" xfId="0" applyFont="1" applyAlignment="1">
      <alignment horizontal="center"/>
    </xf>
    <xf numFmtId="0" fontId="11" fillId="0" borderId="0" xfId="0" applyFont="1" applyAlignment="1">
      <alignment horizontal="left" vertical="center"/>
    </xf>
    <xf numFmtId="0" fontId="6" fillId="0" borderId="0" xfId="0" applyFont="1" applyAlignment="1">
      <alignment horizontal="left"/>
    </xf>
    <xf numFmtId="0" fontId="6" fillId="0" borderId="0" xfId="0" applyFont="1" applyFill="1" applyAlignment="1">
      <alignment horizontal="center" vertical="center"/>
    </xf>
    <xf numFmtId="0" fontId="11" fillId="0" borderId="11" xfId="0" applyFont="1" applyBorder="1" applyAlignment="1">
      <alignment horizontal="left"/>
    </xf>
    <xf numFmtId="0" fontId="11" fillId="0" borderId="7" xfId="0" applyFont="1" applyBorder="1" applyAlignment="1">
      <alignment horizontal="left"/>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11" fillId="0" borderId="0" xfId="0" applyFont="1" applyAlignment="1">
      <alignment horizontal="right" vertical="top" wrapText="1"/>
    </xf>
    <xf numFmtId="0" fontId="11" fillId="0" borderId="23" xfId="0" applyFont="1" applyBorder="1" applyAlignment="1" applyProtection="1">
      <alignment horizontal="left" vertical="center" indent="1"/>
      <protection hidden="1"/>
    </xf>
    <xf numFmtId="0" fontId="11" fillId="0" borderId="16" xfId="0" applyFont="1" applyBorder="1" applyAlignment="1" applyProtection="1">
      <alignment horizontal="left" vertical="center" indent="1"/>
      <protection hidden="1"/>
    </xf>
    <xf numFmtId="0" fontId="9" fillId="0" borderId="7" xfId="0" applyFont="1" applyBorder="1" applyAlignment="1">
      <alignment horizontal="left" vertical="center"/>
    </xf>
    <xf numFmtId="0" fontId="9" fillId="0" borderId="59" xfId="0" applyFont="1" applyBorder="1" applyAlignment="1">
      <alignment horizontal="left" vertical="center"/>
    </xf>
    <xf numFmtId="49" fontId="3" fillId="7" borderId="34" xfId="0" applyNumberFormat="1" applyFont="1" applyFill="1" applyBorder="1" applyAlignment="1" applyProtection="1">
      <alignment horizontal="left" vertical="center"/>
      <protection locked="0"/>
    </xf>
    <xf numFmtId="49" fontId="5" fillId="7" borderId="34" xfId="0" applyNumberFormat="1" applyFont="1" applyFill="1" applyBorder="1" applyAlignment="1" applyProtection="1">
      <alignment horizontal="left" vertical="center"/>
      <protection locked="0"/>
    </xf>
    <xf numFmtId="49" fontId="5" fillId="7" borderId="26" xfId="0" applyNumberFormat="1" applyFont="1" applyFill="1" applyBorder="1" applyAlignment="1" applyProtection="1">
      <alignment horizontal="left" vertical="center"/>
      <protection locked="0"/>
    </xf>
    <xf numFmtId="6" fontId="82" fillId="17" borderId="30" xfId="0" applyNumberFormat="1" applyFont="1" applyFill="1" applyBorder="1" applyAlignment="1">
      <alignment horizontal="center" vertical="center"/>
    </xf>
    <xf numFmtId="6" fontId="82" fillId="17" borderId="67" xfId="0" applyNumberFormat="1" applyFont="1" applyFill="1" applyBorder="1" applyAlignment="1">
      <alignment horizontal="center" vertical="center"/>
    </xf>
    <xf numFmtId="0" fontId="12" fillId="7" borderId="20" xfId="0" applyFont="1" applyFill="1" applyBorder="1" applyAlignment="1" applyProtection="1">
      <alignment horizontal="left" vertical="center" indent="1"/>
      <protection locked="0"/>
    </xf>
    <xf numFmtId="0" fontId="12" fillId="7" borderId="44" xfId="0" applyFont="1" applyFill="1" applyBorder="1" applyAlignment="1" applyProtection="1">
      <alignment horizontal="left" vertical="center" indent="1"/>
      <protection locked="0"/>
    </xf>
    <xf numFmtId="0" fontId="3" fillId="7" borderId="41" xfId="0" applyFont="1" applyFill="1" applyBorder="1" applyAlignment="1" applyProtection="1">
      <alignment horizontal="left" vertical="center"/>
      <protection locked="0"/>
    </xf>
    <xf numFmtId="0" fontId="5" fillId="7" borderId="16" xfId="0" applyFont="1" applyFill="1" applyBorder="1" applyAlignment="1" applyProtection="1">
      <alignment horizontal="left" vertical="center"/>
      <protection locked="0"/>
    </xf>
    <xf numFmtId="0" fontId="5" fillId="7" borderId="60" xfId="0" applyFont="1" applyFill="1" applyBorder="1" applyAlignment="1" applyProtection="1">
      <alignment horizontal="left" vertical="center"/>
      <protection locked="0"/>
    </xf>
    <xf numFmtId="0" fontId="83" fillId="17" borderId="12" xfId="0" applyFont="1" applyFill="1" applyBorder="1" applyAlignment="1">
      <alignment horizontal="center" vertical="center"/>
    </xf>
    <xf numFmtId="0" fontId="83" fillId="17" borderId="9" xfId="0" applyFont="1" applyFill="1" applyBorder="1" applyAlignment="1">
      <alignment horizontal="center" vertical="center"/>
    </xf>
    <xf numFmtId="0" fontId="83" fillId="17" borderId="13" xfId="0" applyFont="1" applyFill="1" applyBorder="1" applyAlignment="1">
      <alignment horizontal="center" vertical="center"/>
    </xf>
    <xf numFmtId="0" fontId="83" fillId="17" borderId="43" xfId="0" applyFont="1" applyFill="1" applyBorder="1" applyAlignment="1">
      <alignment horizontal="center" vertical="center"/>
    </xf>
    <xf numFmtId="0" fontId="57" fillId="0" borderId="0" xfId="0" applyFont="1" applyAlignment="1">
      <alignment horizontal="center" vertical="center"/>
    </xf>
    <xf numFmtId="14" fontId="6" fillId="0" borderId="0" xfId="0" applyNumberFormat="1" applyFont="1" applyAlignment="1">
      <alignment horizontal="center"/>
    </xf>
    <xf numFmtId="0" fontId="0" fillId="0" borderId="0" xfId="0" applyAlignment="1">
      <alignment horizontal="center"/>
    </xf>
    <xf numFmtId="0" fontId="6" fillId="7" borderId="41" xfId="0" applyFont="1" applyFill="1" applyBorder="1" applyAlignment="1" applyProtection="1">
      <alignment horizontal="left" vertical="center"/>
      <protection locked="0"/>
    </xf>
    <xf numFmtId="0" fontId="6" fillId="7" borderId="16" xfId="0" applyFont="1" applyFill="1" applyBorder="1" applyAlignment="1" applyProtection="1">
      <alignment horizontal="left" vertical="center"/>
      <protection locked="0"/>
    </xf>
    <xf numFmtId="0" fontId="6" fillId="7" borderId="60" xfId="0" applyFont="1" applyFill="1" applyBorder="1" applyAlignment="1" applyProtection="1">
      <alignment horizontal="left" vertical="center"/>
      <protection locked="0"/>
    </xf>
    <xf numFmtId="49" fontId="90" fillId="7" borderId="16" xfId="3" applyNumberFormat="1" applyFill="1" applyBorder="1" applyAlignment="1" applyProtection="1">
      <alignment horizontal="left" vertical="center"/>
      <protection locked="0"/>
    </xf>
    <xf numFmtId="49" fontId="3" fillId="7" borderId="16" xfId="0" applyNumberFormat="1" applyFont="1" applyFill="1" applyBorder="1" applyAlignment="1" applyProtection="1">
      <alignment horizontal="left" vertical="center"/>
      <protection locked="0"/>
    </xf>
    <xf numFmtId="49" fontId="3" fillId="7" borderId="70" xfId="0" applyNumberFormat="1" applyFont="1" applyFill="1" applyBorder="1" applyAlignment="1" applyProtection="1">
      <alignment horizontal="left" vertical="center"/>
      <protection locked="0"/>
    </xf>
    <xf numFmtId="49" fontId="5" fillId="7" borderId="16" xfId="0" applyNumberFormat="1" applyFont="1" applyFill="1" applyBorder="1" applyAlignment="1" applyProtection="1">
      <alignment horizontal="left" vertical="center"/>
      <protection locked="0"/>
    </xf>
    <xf numFmtId="49" fontId="5" fillId="7" borderId="70" xfId="0" applyNumberFormat="1" applyFont="1" applyFill="1" applyBorder="1" applyAlignment="1" applyProtection="1">
      <alignment horizontal="left" vertical="center"/>
      <protection locked="0"/>
    </xf>
    <xf numFmtId="0" fontId="9" fillId="0" borderId="12" xfId="0" applyFont="1" applyBorder="1" applyAlignment="1">
      <alignment horizontal="left"/>
    </xf>
    <xf numFmtId="0" fontId="9" fillId="0" borderId="2" xfId="0" applyFont="1" applyBorder="1" applyAlignment="1">
      <alignment horizontal="left"/>
    </xf>
    <xf numFmtId="0" fontId="9" fillId="0" borderId="9" xfId="0" applyFont="1" applyBorder="1" applyAlignment="1">
      <alignment horizontal="left"/>
    </xf>
    <xf numFmtId="0" fontId="3" fillId="7" borderId="27" xfId="0" applyFont="1" applyFill="1" applyBorder="1" applyAlignment="1" applyProtection="1">
      <alignment horizontal="left" vertical="center"/>
      <protection locked="0"/>
    </xf>
    <xf numFmtId="0" fontId="3" fillId="7" borderId="0" xfId="0" applyFont="1" applyFill="1" applyBorder="1" applyAlignment="1" applyProtection="1">
      <alignment horizontal="left" vertical="center"/>
      <protection locked="0"/>
    </xf>
    <xf numFmtId="0" fontId="3" fillId="7" borderId="31" xfId="0" applyFont="1" applyFill="1" applyBorder="1" applyAlignment="1" applyProtection="1">
      <alignment horizontal="left" vertical="center"/>
      <protection locked="0"/>
    </xf>
    <xf numFmtId="0" fontId="61" fillId="0" borderId="27" xfId="0" applyFont="1" applyBorder="1" applyAlignment="1">
      <alignment horizontal="center" vertical="center"/>
    </xf>
    <xf numFmtId="0" fontId="61" fillId="0" borderId="0" xfId="0" applyFont="1" applyAlignment="1">
      <alignment horizontal="center" vertical="center"/>
    </xf>
    <xf numFmtId="1" fontId="12" fillId="0" borderId="0" xfId="0" applyNumberFormat="1" applyFont="1" applyAlignment="1" applyProtection="1">
      <alignment horizontal="right"/>
      <protection hidden="1"/>
    </xf>
    <xf numFmtId="0" fontId="12" fillId="0" borderId="0" xfId="0" applyFont="1" applyAlignment="1" applyProtection="1">
      <alignment horizontal="left" vertical="center"/>
      <protection hidden="1"/>
    </xf>
    <xf numFmtId="0" fontId="5" fillId="0" borderId="0" xfId="0" applyFont="1" applyAlignment="1" applyProtection="1">
      <alignment horizontal="left"/>
      <protection hidden="1"/>
    </xf>
    <xf numFmtId="0" fontId="82" fillId="17" borderId="12" xfId="0" applyFont="1" applyFill="1" applyBorder="1" applyAlignment="1" applyProtection="1">
      <alignment horizontal="center" vertical="center"/>
      <protection hidden="1"/>
    </xf>
    <xf numFmtId="0" fontId="80" fillId="17" borderId="2" xfId="0" applyFont="1" applyFill="1" applyBorder="1" applyAlignment="1">
      <alignment horizontal="center" vertical="center"/>
    </xf>
    <xf numFmtId="0" fontId="80" fillId="17" borderId="1" xfId="0" applyFont="1" applyFill="1" applyBorder="1" applyAlignment="1">
      <alignment horizontal="center" vertical="center"/>
    </xf>
    <xf numFmtId="0" fontId="80" fillId="17" borderId="27" xfId="0" applyFont="1" applyFill="1" applyBorder="1" applyAlignment="1">
      <alignment horizontal="center" vertical="center"/>
    </xf>
    <xf numFmtId="0" fontId="80" fillId="17" borderId="0" xfId="0" applyFont="1" applyFill="1" applyAlignment="1">
      <alignment horizontal="center" vertical="center"/>
    </xf>
    <xf numFmtId="0" fontId="80" fillId="17" borderId="28" xfId="0" applyFont="1" applyFill="1" applyBorder="1" applyAlignment="1">
      <alignment horizontal="center" vertical="center"/>
    </xf>
    <xf numFmtId="3" fontId="12" fillId="0" borderId="0" xfId="0" applyNumberFormat="1"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11" fillId="0" borderId="0" xfId="0" applyFont="1" applyAlignment="1" applyProtection="1">
      <alignment horizontal="center"/>
      <protection hidden="1"/>
    </xf>
    <xf numFmtId="1" fontId="11" fillId="0" borderId="0" xfId="0" applyNumberFormat="1" applyFont="1" applyAlignment="1" applyProtection="1">
      <alignment horizontal="center"/>
      <protection hidden="1"/>
    </xf>
    <xf numFmtId="3" fontId="0" fillId="0" borderId="0" xfId="0" applyNumberFormat="1" applyAlignment="1" applyProtection="1">
      <alignment horizontal="right"/>
      <protection hidden="1"/>
    </xf>
    <xf numFmtId="0" fontId="11" fillId="0" borderId="45" xfId="0" applyFont="1" applyBorder="1" applyAlignment="1" applyProtection="1">
      <alignment horizontal="left" vertical="center" wrapText="1"/>
      <protection hidden="1"/>
    </xf>
    <xf numFmtId="0" fontId="11" fillId="0" borderId="76" xfId="0" applyFont="1" applyBorder="1" applyAlignment="1" applyProtection="1">
      <alignment horizontal="left" vertical="center" wrapText="1"/>
      <protection hidden="1"/>
    </xf>
    <xf numFmtId="0" fontId="5" fillId="0" borderId="0" xfId="0" applyFont="1" applyAlignment="1" applyProtection="1">
      <alignment horizontal="left" vertical="center"/>
      <protection hidden="1"/>
    </xf>
    <xf numFmtId="0" fontId="5" fillId="0" borderId="16" xfId="0" applyFont="1" applyFill="1" applyBorder="1" applyAlignment="1" applyProtection="1">
      <alignment horizontal="left" vertical="center"/>
    </xf>
    <xf numFmtId="1" fontId="5" fillId="0" borderId="16" xfId="0" applyNumberFormat="1" applyFont="1" applyFill="1" applyBorder="1" applyAlignment="1" applyProtection="1">
      <alignment horizontal="left" vertical="center"/>
    </xf>
    <xf numFmtId="2" fontId="5" fillId="0" borderId="16" xfId="0" applyNumberFormat="1" applyFont="1" applyFill="1" applyBorder="1" applyAlignment="1" applyProtection="1">
      <alignment horizontal="left" vertical="center"/>
    </xf>
    <xf numFmtId="164" fontId="0" fillId="0" borderId="0" xfId="0" applyNumberFormat="1" applyAlignment="1" applyProtection="1">
      <alignment horizontal="right"/>
      <protection hidden="1"/>
    </xf>
    <xf numFmtId="49" fontId="0" fillId="0" borderId="0" xfId="0" applyNumberFormat="1" applyAlignment="1" applyProtection="1">
      <alignment horizontal="center"/>
      <protection hidden="1"/>
    </xf>
    <xf numFmtId="49" fontId="5" fillId="0" borderId="0" xfId="0" applyNumberFormat="1" applyFont="1" applyAlignment="1" applyProtection="1">
      <alignment horizontal="center"/>
      <protection hidden="1"/>
    </xf>
    <xf numFmtId="0" fontId="0" fillId="0" borderId="0" xfId="0" applyAlignment="1" applyProtection="1">
      <alignment horizontal="center"/>
      <protection hidden="1"/>
    </xf>
    <xf numFmtId="0" fontId="82" fillId="17" borderId="12" xfId="0" applyFont="1" applyFill="1" applyBorder="1" applyAlignment="1" applyProtection="1">
      <alignment horizontal="center"/>
      <protection hidden="1"/>
    </xf>
    <xf numFmtId="0" fontId="82" fillId="17" borderId="1" xfId="0" applyFont="1" applyFill="1" applyBorder="1" applyAlignment="1" applyProtection="1">
      <alignment horizontal="center"/>
      <protection hidden="1"/>
    </xf>
    <xf numFmtId="14" fontId="5"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left"/>
      <protection hidden="1"/>
    </xf>
    <xf numFmtId="0" fontId="6" fillId="0" borderId="0" xfId="0" applyFont="1" applyAlignment="1" applyProtection="1">
      <alignment horizontal="center"/>
      <protection hidden="1"/>
    </xf>
    <xf numFmtId="3" fontId="12" fillId="0" borderId="0" xfId="0" applyNumberFormat="1" applyFont="1" applyAlignment="1" applyProtection="1">
      <alignment horizontal="right"/>
      <protection hidden="1"/>
    </xf>
    <xf numFmtId="0" fontId="52" fillId="0" borderId="75" xfId="0" applyFont="1" applyBorder="1" applyAlignment="1" applyProtection="1">
      <alignment horizontal="left" vertical="center"/>
      <protection hidden="1"/>
    </xf>
    <xf numFmtId="0" fontId="52" fillId="0" borderId="76" xfId="0" applyFont="1" applyBorder="1" applyAlignment="1" applyProtection="1">
      <alignment horizontal="left" vertical="center"/>
      <protection hidden="1"/>
    </xf>
    <xf numFmtId="0" fontId="11"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6" fillId="0" borderId="16" xfId="0" applyFont="1" applyFill="1" applyBorder="1" applyAlignment="1" applyProtection="1">
      <alignment horizontal="left" vertical="center"/>
    </xf>
    <xf numFmtId="167" fontId="12" fillId="7" borderId="15" xfId="0" applyNumberFormat="1" applyFont="1" applyFill="1" applyBorder="1" applyAlignment="1" applyProtection="1">
      <alignment horizontal="center" vertical="center"/>
      <protection locked="0"/>
    </xf>
    <xf numFmtId="167" fontId="12" fillId="7" borderId="24" xfId="0" applyNumberFormat="1" applyFont="1" applyFill="1" applyBorder="1" applyAlignment="1" applyProtection="1">
      <alignment horizontal="center" vertical="center"/>
      <protection locked="0"/>
    </xf>
    <xf numFmtId="3" fontId="0" fillId="0" borderId="0" xfId="0" applyNumberFormat="1" applyAlignment="1" applyProtection="1">
      <alignment horizontal="center"/>
      <protection hidden="1"/>
    </xf>
    <xf numFmtId="0" fontId="82" fillId="17" borderId="27" xfId="0" applyFont="1" applyFill="1" applyBorder="1" applyAlignment="1" applyProtection="1">
      <alignment horizontal="center"/>
      <protection hidden="1"/>
    </xf>
    <xf numFmtId="0" fontId="82" fillId="17" borderId="28" xfId="0" applyFont="1" applyFill="1" applyBorder="1" applyAlignment="1" applyProtection="1">
      <alignment horizontal="center"/>
      <protection hidden="1"/>
    </xf>
    <xf numFmtId="0" fontId="11" fillId="7" borderId="82" xfId="0" applyFont="1" applyFill="1" applyBorder="1" applyAlignment="1" applyProtection="1">
      <alignment horizontal="center"/>
      <protection locked="0"/>
    </xf>
    <xf numFmtId="0" fontId="11" fillId="7" borderId="66" xfId="0" applyFont="1" applyFill="1" applyBorder="1" applyAlignment="1" applyProtection="1">
      <alignment horizontal="center"/>
      <protection locked="0"/>
    </xf>
    <xf numFmtId="0" fontId="11" fillId="0" borderId="0" xfId="0" applyFont="1" applyAlignment="1">
      <alignment horizontal="right" vertical="top"/>
    </xf>
    <xf numFmtId="0" fontId="12" fillId="0" borderId="41"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1" fillId="7" borderId="27" xfId="0" applyFont="1" applyFill="1" applyBorder="1" applyAlignment="1" applyProtection="1">
      <alignment horizontal="center"/>
      <protection locked="0"/>
    </xf>
    <xf numFmtId="0" fontId="11" fillId="7" borderId="28" xfId="0" applyFont="1" applyFill="1" applyBorder="1" applyAlignment="1" applyProtection="1">
      <alignment horizontal="center"/>
      <protection locked="0"/>
    </xf>
    <xf numFmtId="167" fontId="12" fillId="7" borderId="101" xfId="0" applyNumberFormat="1" applyFont="1" applyFill="1" applyBorder="1" applyAlignment="1" applyProtection="1">
      <alignment horizontal="center" vertical="center"/>
      <protection locked="0"/>
    </xf>
    <xf numFmtId="1" fontId="11" fillId="7" borderId="27" xfId="0" applyNumberFormat="1" applyFont="1" applyFill="1" applyBorder="1" applyAlignment="1" applyProtection="1">
      <alignment horizontal="center"/>
      <protection locked="0"/>
    </xf>
    <xf numFmtId="0" fontId="57" fillId="0" borderId="0" xfId="0" applyFont="1" applyAlignment="1" applyProtection="1">
      <alignment horizontal="center" vertical="center"/>
      <protection hidden="1"/>
    </xf>
    <xf numFmtId="0" fontId="6" fillId="0" borderId="34" xfId="0" applyFont="1" applyBorder="1" applyAlignment="1" applyProtection="1">
      <alignment horizontal="right" vertical="center"/>
      <protection hidden="1"/>
    </xf>
    <xf numFmtId="0" fontId="6" fillId="0" borderId="31" xfId="0" applyFont="1" applyBorder="1" applyAlignment="1">
      <alignment horizontal="left"/>
    </xf>
    <xf numFmtId="0" fontId="6" fillId="0" borderId="13" xfId="0" applyFont="1" applyBorder="1" applyAlignment="1">
      <alignment horizontal="right" vertical="center"/>
    </xf>
    <xf numFmtId="0" fontId="6" fillId="0" borderId="34" xfId="0" applyFont="1" applyBorder="1" applyAlignment="1">
      <alignment horizontal="right" vertical="center"/>
    </xf>
    <xf numFmtId="0" fontId="6" fillId="0" borderId="43" xfId="0" applyFont="1" applyBorder="1" applyAlignment="1">
      <alignment horizontal="righ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6" fillId="0" borderId="0" xfId="0" applyFont="1" applyAlignment="1">
      <alignment horizontal="left" vertical="center"/>
    </xf>
    <xf numFmtId="0" fontId="6" fillId="0" borderId="31" xfId="0" applyFont="1" applyBorder="1" applyAlignment="1">
      <alignment horizontal="left" vertical="center"/>
    </xf>
    <xf numFmtId="0" fontId="12" fillId="0" borderId="78" xfId="0" applyFont="1" applyBorder="1" applyAlignment="1">
      <alignment horizontal="left" vertical="center"/>
    </xf>
    <xf numFmtId="0" fontId="12" fillId="0" borderId="79" xfId="0" applyFont="1" applyBorder="1" applyAlignment="1">
      <alignment horizontal="left" vertical="center"/>
    </xf>
    <xf numFmtId="0" fontId="8" fillId="3" borderId="25"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31"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59" fillId="0" borderId="102" xfId="0" applyFont="1" applyBorder="1" applyAlignment="1">
      <alignment horizontal="right" vertical="center"/>
    </xf>
    <xf numFmtId="0" fontId="59" fillId="0" borderId="103" xfId="0" applyFont="1" applyBorder="1" applyAlignment="1">
      <alignment horizontal="right" vertical="center"/>
    </xf>
    <xf numFmtId="0" fontId="59" fillId="0" borderId="104" xfId="0" applyFont="1" applyBorder="1" applyAlignment="1">
      <alignment horizontal="right" vertical="center"/>
    </xf>
    <xf numFmtId="0" fontId="59" fillId="0" borderId="75" xfId="0" applyFont="1" applyBorder="1" applyAlignment="1">
      <alignment horizontal="right" vertical="center"/>
    </xf>
    <xf numFmtId="0" fontId="59" fillId="0" borderId="45" xfId="0" applyFont="1" applyBorder="1" applyAlignment="1">
      <alignment horizontal="right" vertical="center"/>
    </xf>
    <xf numFmtId="0" fontId="59" fillId="0" borderId="46" xfId="0" applyFont="1" applyBorder="1" applyAlignment="1">
      <alignment horizontal="right" vertical="center"/>
    </xf>
    <xf numFmtId="0" fontId="52" fillId="0" borderId="75" xfId="0" applyFont="1" applyBorder="1" applyAlignment="1">
      <alignment horizontal="right" vertical="center"/>
    </xf>
    <xf numFmtId="0" fontId="52" fillId="0" borderId="45" xfId="0" applyFont="1" applyBorder="1" applyAlignment="1">
      <alignment horizontal="right" vertical="center"/>
    </xf>
    <xf numFmtId="0" fontId="52" fillId="0" borderId="46" xfId="0" applyFont="1" applyBorder="1" applyAlignment="1">
      <alignment horizontal="right" vertical="center"/>
    </xf>
    <xf numFmtId="0" fontId="59" fillId="0" borderId="27" xfId="0" applyFont="1" applyBorder="1" applyAlignment="1" applyProtection="1">
      <alignment horizontal="right" vertical="center"/>
      <protection hidden="1"/>
    </xf>
    <xf numFmtId="0" fontId="59" fillId="0" borderId="0" xfId="0" applyFont="1" applyAlignment="1" applyProtection="1">
      <alignment horizontal="right" vertical="center"/>
      <protection hidden="1"/>
    </xf>
    <xf numFmtId="0" fontId="59" fillId="0" borderId="31" xfId="0" applyFont="1" applyBorder="1" applyAlignment="1" applyProtection="1">
      <alignment horizontal="right" vertical="center"/>
      <protection hidden="1"/>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45" xfId="0" applyFont="1" applyBorder="1" applyAlignment="1">
      <alignment horizontal="left" vertical="center"/>
    </xf>
    <xf numFmtId="0" fontId="12" fillId="0" borderId="0" xfId="0" applyFont="1" applyAlignment="1">
      <alignment horizontal="left" vertical="center"/>
    </xf>
    <xf numFmtId="0" fontId="12" fillId="0" borderId="31" xfId="0" applyFont="1" applyBorder="1" applyAlignment="1">
      <alignment horizontal="left" vertical="center"/>
    </xf>
    <xf numFmtId="0" fontId="11" fillId="0" borderId="79" xfId="0" applyFont="1" applyBorder="1" applyAlignment="1">
      <alignment horizontal="left" vertical="center"/>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84" fillId="17" borderId="124" xfId="0" applyFont="1" applyFill="1" applyBorder="1" applyAlignment="1">
      <alignment horizontal="center" vertical="center"/>
    </xf>
    <xf numFmtId="0" fontId="84" fillId="17" borderId="0" xfId="0" applyFont="1" applyFill="1" applyAlignment="1">
      <alignment horizontal="center" vertical="center"/>
    </xf>
    <xf numFmtId="0" fontId="84" fillId="17" borderId="31" xfId="0" applyFont="1" applyFill="1" applyBorder="1" applyAlignment="1">
      <alignment horizontal="center" vertical="center"/>
    </xf>
    <xf numFmtId="0" fontId="0" fillId="0" borderId="16" xfId="0" applyBorder="1" applyAlignment="1" applyProtection="1">
      <alignment horizontal="left" vertical="center"/>
      <protection hidden="1"/>
    </xf>
    <xf numFmtId="0" fontId="84" fillId="17" borderId="0" xfId="0" applyFont="1" applyFill="1" applyAlignment="1">
      <alignment horizontal="left" vertical="center"/>
    </xf>
    <xf numFmtId="0" fontId="52" fillId="0" borderId="27" xfId="0" applyFont="1" applyBorder="1" applyAlignment="1" applyProtection="1">
      <alignment horizontal="right" vertical="center"/>
      <protection hidden="1"/>
    </xf>
    <xf numFmtId="0" fontId="52" fillId="0" borderId="0" xfId="0" applyFont="1" applyAlignment="1" applyProtection="1">
      <alignment horizontal="right" vertical="center"/>
      <protection hidden="1"/>
    </xf>
    <xf numFmtId="0" fontId="52" fillId="0" borderId="31" xfId="0" applyFont="1" applyBorder="1" applyAlignment="1" applyProtection="1">
      <alignment horizontal="right" vertical="center"/>
      <protection hidden="1"/>
    </xf>
    <xf numFmtId="0" fontId="84" fillId="17" borderId="12" xfId="0" applyFont="1" applyFill="1" applyBorder="1" applyAlignment="1">
      <alignment horizontal="center" vertical="center"/>
    </xf>
    <xf numFmtId="0" fontId="84" fillId="17" borderId="2" xfId="0" applyFont="1" applyFill="1" applyBorder="1" applyAlignment="1">
      <alignment horizontal="center" vertical="center"/>
    </xf>
    <xf numFmtId="0" fontId="84" fillId="17" borderId="27" xfId="0" applyFont="1" applyFill="1" applyBorder="1" applyAlignment="1">
      <alignment horizontal="center" vertical="center"/>
    </xf>
    <xf numFmtId="0" fontId="84" fillId="17" borderId="13" xfId="0" applyFont="1" applyFill="1" applyBorder="1" applyAlignment="1">
      <alignment horizontal="center" vertical="center"/>
    </xf>
    <xf numFmtId="0" fontId="84" fillId="17" borderId="34" xfId="0" applyFont="1" applyFill="1" applyBorder="1" applyAlignment="1">
      <alignment horizontal="center" vertical="center"/>
    </xf>
    <xf numFmtId="2" fontId="5" fillId="0" borderId="16" xfId="0" applyNumberFormat="1" applyFont="1" applyBorder="1" applyAlignment="1" applyProtection="1">
      <alignment horizontal="left" vertical="center"/>
      <protection hidden="1"/>
    </xf>
    <xf numFmtId="14" fontId="5" fillId="0" borderId="0" xfId="0" applyNumberFormat="1" applyFont="1" applyBorder="1" applyAlignment="1">
      <alignment horizontal="left" vertical="center"/>
    </xf>
    <xf numFmtId="0" fontId="9" fillId="0" borderId="0" xfId="0" applyFont="1" applyAlignment="1">
      <alignment horizontal="center"/>
    </xf>
    <xf numFmtId="0" fontId="9" fillId="0" borderId="0" xfId="0" applyFont="1" applyAlignment="1">
      <alignment horizontal="left"/>
    </xf>
    <xf numFmtId="0" fontId="4" fillId="0" borderId="15" xfId="0" applyFont="1" applyBorder="1" applyAlignment="1">
      <alignment horizontal="left" vertical="center"/>
    </xf>
    <xf numFmtId="0" fontId="4" fillId="0" borderId="105" xfId="0" applyFont="1" applyBorder="1" applyAlignment="1">
      <alignment horizontal="left" vertical="center"/>
    </xf>
    <xf numFmtId="0" fontId="82" fillId="17" borderId="49" xfId="0" applyFont="1" applyFill="1" applyBorder="1" applyAlignment="1">
      <alignment horizontal="center" vertical="center" wrapText="1"/>
    </xf>
    <xf numFmtId="0" fontId="82" fillId="17" borderId="53" xfId="0" applyFont="1" applyFill="1" applyBorder="1" applyAlignment="1">
      <alignment horizontal="center" vertical="center" wrapText="1"/>
    </xf>
    <xf numFmtId="0" fontId="81" fillId="17" borderId="27" xfId="0" applyFont="1" applyFill="1" applyBorder="1" applyAlignment="1">
      <alignment horizontal="center" vertical="center"/>
    </xf>
    <xf numFmtId="0" fontId="81" fillId="17" borderId="0" xfId="0" applyFont="1" applyFill="1" applyBorder="1" applyAlignment="1">
      <alignment horizontal="center" vertical="center"/>
    </xf>
    <xf numFmtId="0" fontId="75" fillId="17" borderId="30" xfId="0" applyFont="1" applyFill="1" applyBorder="1" applyAlignment="1">
      <alignment horizontal="center" vertical="center" wrapText="1"/>
    </xf>
    <xf numFmtId="0" fontId="75" fillId="17" borderId="58" xfId="0" applyFont="1" applyFill="1" applyBorder="1" applyAlignment="1">
      <alignment horizontal="center" vertical="center" wrapText="1"/>
    </xf>
    <xf numFmtId="0" fontId="75" fillId="17" borderId="67" xfId="0" applyFont="1" applyFill="1" applyBorder="1" applyAlignment="1">
      <alignment horizontal="center" vertical="center" wrapText="1"/>
    </xf>
    <xf numFmtId="3" fontId="7" fillId="0" borderId="69"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3" fontId="7" fillId="0" borderId="9" xfId="0" applyNumberFormat="1" applyFont="1" applyBorder="1" applyAlignment="1" applyProtection="1">
      <alignment horizontal="center" vertical="center"/>
      <protection hidden="1"/>
    </xf>
    <xf numFmtId="3" fontId="7" fillId="7" borderId="69" xfId="0" applyNumberFormat="1" applyFont="1" applyFill="1" applyBorder="1" applyAlignment="1" applyProtection="1">
      <alignment horizontal="center" vertical="center"/>
      <protection locked="0"/>
    </xf>
    <xf numFmtId="3" fontId="7" fillId="7" borderId="44" xfId="0" applyNumberFormat="1" applyFont="1" applyFill="1" applyBorder="1" applyAlignment="1" applyProtection="1">
      <alignment horizontal="center" vertical="center"/>
      <protection locked="0"/>
    </xf>
    <xf numFmtId="0" fontId="81" fillId="17" borderId="12" xfId="0" applyFont="1" applyFill="1" applyBorder="1" applyAlignment="1">
      <alignment horizontal="center" vertical="center"/>
    </xf>
    <xf numFmtId="0" fontId="81" fillId="17" borderId="2" xfId="0" applyFont="1" applyFill="1" applyBorder="1" applyAlignment="1">
      <alignment horizontal="center" vertical="center"/>
    </xf>
    <xf numFmtId="0" fontId="81" fillId="17" borderId="27" xfId="0" applyFont="1" applyFill="1" applyBorder="1" applyAlignment="1">
      <alignment horizontal="center"/>
    </xf>
    <xf numFmtId="0" fontId="81" fillId="17" borderId="0" xfId="0" applyFont="1" applyFill="1" applyBorder="1" applyAlignment="1">
      <alignment horizontal="center"/>
    </xf>
    <xf numFmtId="0" fontId="81" fillId="17" borderId="28" xfId="0" applyFont="1" applyFill="1" applyBorder="1" applyAlignment="1">
      <alignment horizontal="center"/>
    </xf>
    <xf numFmtId="0" fontId="82" fillId="17" borderId="49" xfId="0" applyFont="1" applyFill="1" applyBorder="1" applyAlignment="1">
      <alignment horizontal="center" vertical="center"/>
    </xf>
    <xf numFmtId="0" fontId="80" fillId="17" borderId="53" xfId="0" applyFont="1" applyFill="1" applyBorder="1" applyAlignment="1">
      <alignment horizontal="center" vertical="center"/>
    </xf>
    <xf numFmtId="3" fontId="7" fillId="0" borderId="156" xfId="0" applyNumberFormat="1" applyFont="1" applyBorder="1" applyAlignment="1" applyProtection="1">
      <alignment horizontal="center" vertical="center"/>
      <protection hidden="1"/>
    </xf>
    <xf numFmtId="3" fontId="7" fillId="0" borderId="92" xfId="0" applyNumberFormat="1" applyFont="1" applyBorder="1" applyAlignment="1" applyProtection="1">
      <alignment horizontal="center" vertical="center"/>
      <protection hidden="1"/>
    </xf>
    <xf numFmtId="3" fontId="4" fillId="0" borderId="53" xfId="0" applyNumberFormat="1" applyFont="1" applyBorder="1" applyAlignment="1" applyProtection="1">
      <alignment horizontal="center" vertical="center"/>
      <protection hidden="1"/>
    </xf>
    <xf numFmtId="3" fontId="4" fillId="0" borderId="61" xfId="0" applyNumberFormat="1" applyFont="1" applyBorder="1" applyAlignment="1" applyProtection="1">
      <alignment horizontal="center" vertical="center"/>
      <protection hidden="1"/>
    </xf>
    <xf numFmtId="0" fontId="75" fillId="17" borderId="29" xfId="0" applyFont="1" applyFill="1" applyBorder="1" applyAlignment="1">
      <alignment horizontal="center" vertical="center" wrapText="1"/>
    </xf>
    <xf numFmtId="0" fontId="75" fillId="17" borderId="61" xfId="0" applyFont="1" applyFill="1" applyBorder="1" applyAlignment="1">
      <alignment horizontal="center" vertical="center" wrapText="1"/>
    </xf>
    <xf numFmtId="0" fontId="75" fillId="17" borderId="63" xfId="0" applyFont="1" applyFill="1" applyBorder="1" applyAlignment="1">
      <alignment horizontal="center" vertical="center" wrapText="1"/>
    </xf>
    <xf numFmtId="3" fontId="4" fillId="0" borderId="55" xfId="0" applyNumberFormat="1" applyFont="1" applyFill="1" applyBorder="1" applyAlignment="1" applyProtection="1">
      <alignment horizontal="center" vertical="center"/>
      <protection hidden="1"/>
    </xf>
    <xf numFmtId="3" fontId="4" fillId="0" borderId="63" xfId="0" applyNumberFormat="1" applyFont="1" applyFill="1" applyBorder="1" applyAlignment="1" applyProtection="1">
      <alignment horizontal="center" vertical="center"/>
      <protection hidden="1"/>
    </xf>
    <xf numFmtId="3" fontId="4" fillId="0" borderId="55" xfId="0" applyNumberFormat="1" applyFont="1" applyBorder="1" applyAlignment="1" applyProtection="1">
      <alignment horizontal="center" vertical="center"/>
      <protection hidden="1"/>
    </xf>
    <xf numFmtId="3" fontId="4" fillId="0" borderId="63" xfId="0" applyNumberFormat="1" applyFont="1" applyBorder="1" applyAlignment="1" applyProtection="1">
      <alignment horizontal="center" vertical="center"/>
      <protection hidden="1"/>
    </xf>
    <xf numFmtId="0" fontId="81" fillId="17" borderId="12" xfId="0" applyFont="1" applyFill="1" applyBorder="1" applyAlignment="1" applyProtection="1">
      <alignment horizontal="center"/>
      <protection hidden="1"/>
    </xf>
    <xf numFmtId="0" fontId="81" fillId="17" borderId="2" xfId="0" applyFont="1" applyFill="1" applyBorder="1" applyAlignment="1" applyProtection="1">
      <alignment horizontal="center"/>
      <protection hidden="1"/>
    </xf>
    <xf numFmtId="0" fontId="81" fillId="17" borderId="1" xfId="0" applyFont="1" applyFill="1" applyBorder="1" applyAlignment="1" applyProtection="1">
      <alignment horizontal="center"/>
      <protection hidden="1"/>
    </xf>
    <xf numFmtId="0" fontId="81" fillId="17" borderId="28" xfId="0" applyFont="1" applyFill="1" applyBorder="1" applyAlignment="1">
      <alignment horizontal="center" vertical="center"/>
    </xf>
    <xf numFmtId="0" fontId="5" fillId="0" borderId="16" xfId="0" applyFont="1" applyBorder="1" applyAlignment="1">
      <alignment horizontal="left" vertical="center"/>
    </xf>
    <xf numFmtId="0" fontId="4" fillId="0" borderId="13" xfId="0" applyFont="1" applyBorder="1" applyAlignment="1">
      <alignment horizontal="center"/>
    </xf>
    <xf numFmtId="0" fontId="4" fillId="0" borderId="43" xfId="0" applyFont="1" applyBorder="1" applyAlignment="1">
      <alignment horizontal="center"/>
    </xf>
    <xf numFmtId="3" fontId="7" fillId="7" borderId="12" xfId="0" applyNumberFormat="1" applyFont="1" applyFill="1" applyBorder="1" applyAlignment="1" applyProtection="1">
      <alignment horizontal="center" vertical="center"/>
      <protection locked="0"/>
    </xf>
    <xf numFmtId="3" fontId="7" fillId="7" borderId="9" xfId="0" applyNumberFormat="1" applyFont="1" applyFill="1" applyBorder="1" applyAlignment="1" applyProtection="1">
      <alignment horizontal="center" vertical="center"/>
      <protection locked="0"/>
    </xf>
    <xf numFmtId="0" fontId="81" fillId="17" borderId="1" xfId="0" applyFont="1" applyFill="1" applyBorder="1" applyAlignment="1">
      <alignment horizontal="center" vertical="center"/>
    </xf>
    <xf numFmtId="6" fontId="8" fillId="0" borderId="0" xfId="0" applyNumberFormat="1" applyFont="1" applyAlignment="1">
      <alignment horizontal="left" vertical="center"/>
    </xf>
    <xf numFmtId="49" fontId="81" fillId="17" borderId="27" xfId="0" applyNumberFormat="1" applyFont="1" applyFill="1" applyBorder="1" applyAlignment="1">
      <alignment horizontal="center"/>
    </xf>
    <xf numFmtId="3" fontId="7" fillId="7" borderId="156" xfId="0" applyNumberFormat="1" applyFont="1" applyFill="1" applyBorder="1" applyAlignment="1" applyProtection="1">
      <alignment horizontal="center" vertical="center"/>
      <protection locked="0"/>
    </xf>
    <xf numFmtId="3" fontId="7" fillId="7" borderId="92" xfId="0" applyNumberFormat="1" applyFont="1" applyFill="1" applyBorder="1" applyAlignment="1" applyProtection="1">
      <alignment horizontal="center" vertical="center"/>
      <protection locked="0"/>
    </xf>
    <xf numFmtId="0" fontId="6" fillId="0" borderId="16" xfId="0" applyFont="1" applyBorder="1" applyAlignment="1">
      <alignment horizontal="left" vertical="center"/>
    </xf>
    <xf numFmtId="3" fontId="5" fillId="0" borderId="16" xfId="0" applyNumberFormat="1" applyFont="1" applyBorder="1" applyAlignment="1">
      <alignment horizontal="left" vertical="center"/>
    </xf>
    <xf numFmtId="0" fontId="75" fillId="17" borderId="62" xfId="0" applyFont="1" applyFill="1" applyBorder="1" applyAlignment="1">
      <alignment horizontal="center" vertical="center" wrapText="1"/>
    </xf>
    <xf numFmtId="0" fontId="75" fillId="17" borderId="17" xfId="0" applyFont="1" applyFill="1" applyBorder="1" applyAlignment="1">
      <alignment horizontal="center" vertical="center" wrapText="1"/>
    </xf>
    <xf numFmtId="0" fontId="75" fillId="17" borderId="36" xfId="0" applyFont="1" applyFill="1" applyBorder="1" applyAlignment="1">
      <alignment horizontal="center" vertical="center" wrapText="1"/>
    </xf>
    <xf numFmtId="0" fontId="80" fillId="17" borderId="13" xfId="0" applyFont="1" applyFill="1" applyBorder="1" applyAlignment="1">
      <alignment horizontal="center"/>
    </xf>
    <xf numFmtId="0" fontId="80" fillId="17" borderId="26" xfId="0" applyFont="1" applyFill="1" applyBorder="1" applyAlignment="1">
      <alignment horizontal="center"/>
    </xf>
    <xf numFmtId="1" fontId="69" fillId="17" borderId="27" xfId="0" applyNumberFormat="1" applyFont="1" applyFill="1" applyBorder="1" applyAlignment="1">
      <alignment horizontal="center"/>
    </xf>
    <xf numFmtId="1" fontId="69" fillId="17" borderId="28" xfId="0" applyNumberFormat="1" applyFont="1" applyFill="1" applyBorder="1" applyAlignment="1">
      <alignment horizontal="center"/>
    </xf>
    <xf numFmtId="0" fontId="83" fillId="17" borderId="12" xfId="0" applyFont="1" applyFill="1" applyBorder="1" applyAlignment="1">
      <alignment horizontal="left" vertical="center" wrapText="1" indent="1"/>
    </xf>
    <xf numFmtId="0" fontId="83" fillId="17" borderId="1" xfId="0" applyFont="1" applyFill="1" applyBorder="1" applyAlignment="1">
      <alignment horizontal="left" vertical="center" wrapText="1" indent="1"/>
    </xf>
    <xf numFmtId="0" fontId="83" fillId="17" borderId="27" xfId="0" applyFont="1" applyFill="1" applyBorder="1" applyAlignment="1">
      <alignment horizontal="left" vertical="center" wrapText="1" indent="1"/>
    </xf>
    <xf numFmtId="0" fontId="83" fillId="17" borderId="28" xfId="0" applyFont="1" applyFill="1" applyBorder="1" applyAlignment="1">
      <alignment horizontal="left" vertical="center" wrapText="1" indent="1"/>
    </xf>
    <xf numFmtId="0" fontId="83" fillId="17" borderId="13" xfId="0" applyFont="1" applyFill="1" applyBorder="1" applyAlignment="1">
      <alignment horizontal="left" vertical="center" wrapText="1" indent="1"/>
    </xf>
    <xf numFmtId="0" fontId="83" fillId="17" borderId="26" xfId="0" applyFont="1" applyFill="1" applyBorder="1" applyAlignment="1">
      <alignment horizontal="left" vertical="center" wrapText="1" indent="1"/>
    </xf>
    <xf numFmtId="0" fontId="69" fillId="17" borderId="12" xfId="0" applyFont="1" applyFill="1" applyBorder="1" applyAlignment="1" applyProtection="1">
      <alignment horizontal="center" vertical="center"/>
      <protection hidden="1"/>
    </xf>
    <xf numFmtId="0" fontId="69" fillId="17" borderId="1" xfId="0" applyFont="1" applyFill="1" applyBorder="1" applyAlignment="1" applyProtection="1">
      <alignment horizontal="center" vertical="center"/>
      <protection hidden="1"/>
    </xf>
    <xf numFmtId="0" fontId="11" fillId="0" borderId="0" xfId="0" applyFont="1" applyAlignment="1" applyProtection="1">
      <alignment horizontal="right" vertical="center"/>
      <protection hidden="1"/>
    </xf>
    <xf numFmtId="0" fontId="57" fillId="0" borderId="0" xfId="0" applyFont="1" applyAlignment="1" applyProtection="1">
      <alignment horizontal="center" vertical="center"/>
      <protection locked="0"/>
    </xf>
    <xf numFmtId="14" fontId="0" fillId="0" borderId="16" xfId="0" applyNumberFormat="1" applyBorder="1" applyAlignment="1">
      <alignment horizontal="left" vertical="center"/>
    </xf>
    <xf numFmtId="0" fontId="11" fillId="0" borderId="23" xfId="0" applyFont="1" applyBorder="1" applyAlignment="1">
      <alignment horizontal="center"/>
    </xf>
    <xf numFmtId="0" fontId="11" fillId="0" borderId="16" xfId="0" applyFont="1" applyBorder="1" applyAlignment="1">
      <alignment horizontal="center"/>
    </xf>
    <xf numFmtId="0" fontId="11" fillId="0" borderId="0" xfId="0" applyFont="1" applyAlignment="1" applyProtection="1">
      <alignment horizontal="right"/>
      <protection hidden="1"/>
    </xf>
    <xf numFmtId="0" fontId="0" fillId="0" borderId="0" xfId="0" applyAlignment="1">
      <alignment horizontal="right"/>
    </xf>
    <xf numFmtId="0" fontId="6" fillId="0" borderId="16" xfId="0" applyFont="1" applyBorder="1" applyAlignment="1">
      <alignment horizontal="left"/>
    </xf>
    <xf numFmtId="0" fontId="83" fillId="17" borderId="49" xfId="0" applyFont="1" applyFill="1" applyBorder="1" applyAlignment="1">
      <alignment horizontal="center" vertical="center" wrapText="1"/>
    </xf>
    <xf numFmtId="0" fontId="85" fillId="17" borderId="29" xfId="0" applyFont="1" applyFill="1" applyBorder="1" applyAlignment="1">
      <alignment horizontal="center" vertical="center" wrapText="1"/>
    </xf>
    <xf numFmtId="0" fontId="85" fillId="17" borderId="53" xfId="0" applyFont="1" applyFill="1" applyBorder="1" applyAlignment="1">
      <alignment horizontal="center" vertical="center" wrapText="1"/>
    </xf>
    <xf numFmtId="0" fontId="85" fillId="17" borderId="61" xfId="0" applyFont="1" applyFill="1" applyBorder="1" applyAlignment="1">
      <alignment horizontal="center" vertical="center" wrapText="1"/>
    </xf>
    <xf numFmtId="2" fontId="5" fillId="0" borderId="16" xfId="0" applyNumberFormat="1" applyFont="1" applyBorder="1" applyAlignment="1" applyProtection="1">
      <alignment horizontal="left"/>
      <protection hidden="1"/>
    </xf>
    <xf numFmtId="0" fontId="5" fillId="0" borderId="16" xfId="0" applyFont="1" applyBorder="1" applyAlignment="1" applyProtection="1">
      <alignment horizontal="left"/>
      <protection hidden="1"/>
    </xf>
    <xf numFmtId="0" fontId="82" fillId="17" borderId="55" xfId="0" applyFont="1" applyFill="1" applyBorder="1" applyAlignment="1">
      <alignment horizontal="right" vertical="center" wrapText="1"/>
    </xf>
    <xf numFmtId="0" fontId="82" fillId="17" borderId="63" xfId="0" applyFont="1" applyFill="1" applyBorder="1" applyAlignment="1">
      <alignment horizontal="right" vertical="center" wrapText="1"/>
    </xf>
    <xf numFmtId="1" fontId="5" fillId="0" borderId="23" xfId="0" applyNumberFormat="1" applyFont="1" applyBorder="1" applyAlignment="1" applyProtection="1">
      <alignment horizontal="left" vertical="center"/>
      <protection hidden="1"/>
    </xf>
    <xf numFmtId="1" fontId="5" fillId="0" borderId="16" xfId="0" applyNumberFormat="1" applyFont="1" applyBorder="1" applyAlignment="1" applyProtection="1">
      <alignment horizontal="left" vertical="center"/>
      <protection hidden="1"/>
    </xf>
    <xf numFmtId="1" fontId="5" fillId="0" borderId="60" xfId="0" applyNumberFormat="1" applyFont="1" applyBorder="1" applyAlignment="1" applyProtection="1">
      <alignment horizontal="left" vertical="center"/>
      <protection hidden="1"/>
    </xf>
    <xf numFmtId="0" fontId="11" fillId="0" borderId="0" xfId="0" applyFont="1" applyAlignment="1" applyProtection="1">
      <alignment horizontal="right" vertical="top" wrapText="1"/>
      <protection hidden="1"/>
    </xf>
    <xf numFmtId="0" fontId="59" fillId="0" borderId="146" xfId="0" applyFont="1" applyBorder="1" applyAlignment="1" applyProtection="1">
      <alignment horizontal="right" vertical="center"/>
      <protection hidden="1"/>
    </xf>
    <xf numFmtId="0" fontId="83" fillId="17" borderId="12" xfId="0" applyFont="1" applyFill="1" applyBorder="1" applyAlignment="1">
      <alignment horizontal="left" vertical="center" indent="1"/>
    </xf>
    <xf numFmtId="0" fontId="83" fillId="17" borderId="2" xfId="0" applyFont="1" applyFill="1" applyBorder="1" applyAlignment="1">
      <alignment horizontal="left" vertical="center" indent="1"/>
    </xf>
    <xf numFmtId="0" fontId="83" fillId="17" borderId="27" xfId="0" applyFont="1" applyFill="1" applyBorder="1" applyAlignment="1">
      <alignment horizontal="left" vertical="center" indent="1"/>
    </xf>
    <xf numFmtId="0" fontId="83" fillId="17" borderId="0" xfId="0" applyFont="1" applyFill="1" applyAlignment="1">
      <alignment horizontal="left" vertical="center" indent="1"/>
    </xf>
    <xf numFmtId="0" fontId="83" fillId="17" borderId="13" xfId="0" applyFont="1" applyFill="1" applyBorder="1" applyAlignment="1">
      <alignment horizontal="left" vertical="center" indent="1"/>
    </xf>
    <xf numFmtId="0" fontId="83" fillId="17" borderId="34" xfId="0" applyFont="1" applyFill="1" applyBorder="1" applyAlignment="1">
      <alignment horizontal="left" vertical="center" indent="1"/>
    </xf>
    <xf numFmtId="0" fontId="59" fillId="0" borderId="188" xfId="0" applyFont="1" applyBorder="1" applyAlignment="1" applyProtection="1">
      <alignment horizontal="right" vertical="center"/>
      <protection locked="0" hidden="1"/>
    </xf>
    <xf numFmtId="0" fontId="59" fillId="0" borderId="189" xfId="0" applyFont="1" applyBorder="1" applyAlignment="1" applyProtection="1">
      <alignment horizontal="right" vertical="center"/>
      <protection locked="0" hidden="1"/>
    </xf>
    <xf numFmtId="0" fontId="59" fillId="0" borderId="190" xfId="0" applyFont="1" applyBorder="1" applyAlignment="1" applyProtection="1">
      <alignment horizontal="right" vertical="center"/>
      <protection locked="0" hidden="1"/>
    </xf>
    <xf numFmtId="0" fontId="59" fillId="0" borderId="237" xfId="0" applyFont="1" applyBorder="1" applyAlignment="1" applyProtection="1">
      <alignment horizontal="right" vertical="center"/>
      <protection locked="0" hidden="1"/>
    </xf>
    <xf numFmtId="0" fontId="59" fillId="0" borderId="238" xfId="0" applyFont="1" applyBorder="1" applyAlignment="1" applyProtection="1">
      <alignment horizontal="right" vertical="center"/>
      <protection locked="0" hidden="1"/>
    </xf>
    <xf numFmtId="0" fontId="59" fillId="0" borderId="239" xfId="0" applyFont="1" applyBorder="1" applyAlignment="1" applyProtection="1">
      <alignment horizontal="right" vertical="center"/>
      <protection locked="0" hidden="1"/>
    </xf>
    <xf numFmtId="0" fontId="12" fillId="0" borderId="150" xfId="0" applyFont="1" applyBorder="1" applyAlignment="1" applyProtection="1">
      <alignment horizontal="left" vertical="center"/>
      <protection hidden="1"/>
    </xf>
    <xf numFmtId="0" fontId="12" fillId="0" borderId="148" xfId="0" applyFont="1" applyBorder="1" applyAlignment="1" applyProtection="1">
      <alignment horizontal="left" vertical="center"/>
      <protection hidden="1"/>
    </xf>
    <xf numFmtId="0" fontId="12" fillId="0" borderId="145" xfId="0" applyFont="1" applyBorder="1" applyAlignment="1" applyProtection="1">
      <alignment horizontal="left" vertical="center"/>
      <protection hidden="1"/>
    </xf>
    <xf numFmtId="0" fontId="12" fillId="0" borderId="159" xfId="0" applyFont="1" applyBorder="1" applyAlignment="1" applyProtection="1">
      <alignment horizontal="left" vertical="center"/>
      <protection hidden="1"/>
    </xf>
    <xf numFmtId="0" fontId="12" fillId="0" borderId="160" xfId="0" applyFont="1" applyBorder="1" applyAlignment="1" applyProtection="1">
      <alignment horizontal="left" vertical="center"/>
      <protection hidden="1"/>
    </xf>
    <xf numFmtId="0" fontId="12" fillId="0" borderId="161" xfId="0" applyFont="1" applyBorder="1" applyAlignment="1" applyProtection="1">
      <alignment horizontal="left" vertical="center"/>
      <protection hidden="1"/>
    </xf>
    <xf numFmtId="0" fontId="12" fillId="0" borderId="149" xfId="0" applyFont="1" applyBorder="1" applyAlignment="1" applyProtection="1">
      <alignment horizontal="left" vertical="center"/>
      <protection hidden="1"/>
    </xf>
    <xf numFmtId="0" fontId="12" fillId="0" borderId="146" xfId="0" applyFont="1" applyBorder="1" applyAlignment="1" applyProtection="1">
      <alignment horizontal="left" vertical="center"/>
      <protection hidden="1"/>
    </xf>
    <xf numFmtId="0" fontId="12" fillId="0" borderId="147" xfId="0" applyFont="1" applyBorder="1" applyAlignment="1" applyProtection="1">
      <alignment horizontal="left" vertical="center"/>
      <protection hidden="1"/>
    </xf>
    <xf numFmtId="0" fontId="12" fillId="0" borderId="71" xfId="0" applyFont="1" applyBorder="1" applyAlignment="1" applyProtection="1">
      <alignment horizontal="left" vertical="center"/>
      <protection hidden="1"/>
    </xf>
    <xf numFmtId="0" fontId="12" fillId="0" borderId="72" xfId="0" applyFont="1" applyBorder="1" applyAlignment="1" applyProtection="1">
      <alignment horizontal="left" vertical="center"/>
      <protection hidden="1"/>
    </xf>
    <xf numFmtId="0" fontId="12" fillId="0" borderId="241" xfId="0" applyFont="1" applyBorder="1" applyAlignment="1" applyProtection="1">
      <alignment horizontal="left" vertical="center"/>
      <protection hidden="1"/>
    </xf>
    <xf numFmtId="0" fontId="12" fillId="0" borderId="0" xfId="0" applyFont="1" applyAlignment="1">
      <alignment horizontal="center" vertical="center" wrapText="1"/>
    </xf>
    <xf numFmtId="0" fontId="52" fillId="0" borderId="15" xfId="0" applyFont="1" applyBorder="1" applyAlignment="1" applyProtection="1">
      <alignment horizontal="right" vertical="center"/>
      <protection hidden="1"/>
    </xf>
    <xf numFmtId="0" fontId="52" fillId="0" borderId="4" xfId="0" applyFont="1" applyBorder="1" applyAlignment="1" applyProtection="1">
      <alignment horizontal="right" vertical="center"/>
      <protection hidden="1"/>
    </xf>
    <xf numFmtId="0" fontId="52" fillId="0" borderId="105" xfId="0" applyFont="1" applyBorder="1" applyAlignment="1" applyProtection="1">
      <alignment horizontal="right" vertical="center"/>
      <protection hidden="1"/>
    </xf>
    <xf numFmtId="0" fontId="8" fillId="0" borderId="0" xfId="0" applyFont="1" applyAlignment="1" applyProtection="1">
      <alignment horizontal="left" vertical="center"/>
      <protection hidden="1"/>
    </xf>
    <xf numFmtId="0" fontId="83" fillId="17" borderId="12" xfId="0" applyFont="1" applyFill="1" applyBorder="1" applyAlignment="1" applyProtection="1">
      <alignment horizontal="left" vertical="center" wrapText="1" indent="1"/>
      <protection hidden="1"/>
    </xf>
    <xf numFmtId="0" fontId="83" fillId="17" borderId="2" xfId="0" applyFont="1" applyFill="1" applyBorder="1" applyAlignment="1" applyProtection="1">
      <alignment horizontal="left" vertical="center" wrapText="1" indent="1"/>
      <protection hidden="1"/>
    </xf>
    <xf numFmtId="0" fontId="83" fillId="17" borderId="9" xfId="0" applyFont="1" applyFill="1" applyBorder="1" applyAlignment="1" applyProtection="1">
      <alignment horizontal="left" vertical="center" wrapText="1" indent="1"/>
      <protection hidden="1"/>
    </xf>
    <xf numFmtId="0" fontId="83" fillId="17" borderId="27" xfId="0" applyFont="1" applyFill="1" applyBorder="1" applyAlignment="1" applyProtection="1">
      <alignment horizontal="left" vertical="center" wrapText="1" indent="1"/>
      <protection hidden="1"/>
    </xf>
    <xf numFmtId="0" fontId="83" fillId="17" borderId="0" xfId="0" applyFont="1" applyFill="1" applyAlignment="1" applyProtection="1">
      <alignment horizontal="left" vertical="center" wrapText="1" indent="1"/>
      <protection hidden="1"/>
    </xf>
    <xf numFmtId="0" fontId="83" fillId="17" borderId="31" xfId="0" applyFont="1" applyFill="1" applyBorder="1" applyAlignment="1" applyProtection="1">
      <alignment horizontal="left" vertical="center" wrapText="1" indent="1"/>
      <protection hidden="1"/>
    </xf>
    <xf numFmtId="0" fontId="83" fillId="17" borderId="13" xfId="0" applyFont="1" applyFill="1" applyBorder="1" applyAlignment="1" applyProtection="1">
      <alignment horizontal="left" vertical="center" wrapText="1" indent="1"/>
      <protection hidden="1"/>
    </xf>
    <xf numFmtId="0" fontId="83" fillId="17" borderId="34" xfId="0" applyFont="1" applyFill="1" applyBorder="1" applyAlignment="1" applyProtection="1">
      <alignment horizontal="left" vertical="center" wrapText="1" indent="1"/>
      <protection hidden="1"/>
    </xf>
    <xf numFmtId="0" fontId="83" fillId="17" borderId="43" xfId="0" applyFont="1" applyFill="1" applyBorder="1" applyAlignment="1" applyProtection="1">
      <alignment horizontal="left" vertical="center" wrapText="1" indent="1"/>
      <protection hidden="1"/>
    </xf>
    <xf numFmtId="0" fontId="9" fillId="0" borderId="0" xfId="0" applyFont="1" applyAlignment="1" applyProtection="1">
      <alignment horizontal="left" vertical="center"/>
      <protection hidden="1"/>
    </xf>
    <xf numFmtId="0" fontId="12" fillId="0" borderId="0" xfId="0" applyFont="1" applyAlignment="1">
      <alignment horizontal="left" vertical="center" wrapText="1"/>
    </xf>
    <xf numFmtId="0" fontId="83" fillId="17" borderId="12" xfId="0" applyFont="1" applyFill="1" applyBorder="1" applyAlignment="1" applyProtection="1">
      <alignment horizontal="left" vertical="center"/>
      <protection hidden="1"/>
    </xf>
    <xf numFmtId="0" fontId="83" fillId="17" borderId="2" xfId="0" applyFont="1" applyFill="1" applyBorder="1" applyAlignment="1" applyProtection="1">
      <alignment horizontal="left" vertical="center"/>
      <protection hidden="1"/>
    </xf>
    <xf numFmtId="0" fontId="83" fillId="17" borderId="9" xfId="0" applyFont="1" applyFill="1" applyBorder="1" applyAlignment="1" applyProtection="1">
      <alignment horizontal="left" vertical="center"/>
      <protection hidden="1"/>
    </xf>
    <xf numFmtId="0" fontId="83" fillId="17" borderId="13" xfId="0" applyFont="1" applyFill="1" applyBorder="1" applyAlignment="1" applyProtection="1">
      <alignment horizontal="left" vertical="center"/>
      <protection hidden="1"/>
    </xf>
    <xf numFmtId="0" fontId="83" fillId="17" borderId="34" xfId="0" applyFont="1" applyFill="1" applyBorder="1" applyAlignment="1" applyProtection="1">
      <alignment horizontal="left" vertical="center"/>
      <protection hidden="1"/>
    </xf>
    <xf numFmtId="0" fontId="83" fillId="17" borderId="43" xfId="0" applyFont="1" applyFill="1" applyBorder="1" applyAlignment="1" applyProtection="1">
      <alignment horizontal="left" vertical="center"/>
      <protection hidden="1"/>
    </xf>
    <xf numFmtId="0" fontId="9" fillId="0" borderId="18" xfId="0" applyFont="1" applyBorder="1" applyAlignment="1">
      <alignment horizontal="left" vertical="center"/>
    </xf>
    <xf numFmtId="0" fontId="9" fillId="0" borderId="8" xfId="0" applyFont="1" applyBorder="1" applyAlignment="1">
      <alignment horizontal="left" vertical="center"/>
    </xf>
    <xf numFmtId="0" fontId="0" fillId="0" borderId="23" xfId="0" applyBorder="1" applyAlignment="1" applyProtection="1">
      <alignment horizontal="left" vertical="center"/>
      <protection hidden="1"/>
    </xf>
    <xf numFmtId="0" fontId="0" fillId="0" borderId="60" xfId="0" applyBorder="1" applyAlignment="1" applyProtection="1">
      <alignment horizontal="left" vertical="center"/>
      <protection hidden="1"/>
    </xf>
    <xf numFmtId="0" fontId="9" fillId="0" borderId="18" xfId="0" applyFont="1" applyBorder="1" applyAlignment="1" applyProtection="1">
      <alignment horizontal="left" vertical="center"/>
      <protection hidden="1"/>
    </xf>
    <xf numFmtId="0" fontId="9" fillId="0" borderId="7" xfId="0" applyFont="1" applyBorder="1" applyAlignment="1" applyProtection="1">
      <alignment horizontal="left" vertical="center"/>
      <protection hidden="1"/>
    </xf>
    <xf numFmtId="0" fontId="9" fillId="0" borderId="8" xfId="0" applyFont="1" applyBorder="1" applyAlignment="1" applyProtection="1">
      <alignment horizontal="left" vertical="center"/>
      <protection hidden="1"/>
    </xf>
    <xf numFmtId="0" fontId="43" fillId="0" borderId="141" xfId="0" applyFont="1" applyBorder="1" applyAlignment="1">
      <alignment horizontal="center" vertical="center"/>
    </xf>
    <xf numFmtId="0" fontId="43" fillId="0" borderId="61" xfId="0" applyFont="1" applyBorder="1" applyAlignment="1">
      <alignment horizontal="center" vertical="center"/>
    </xf>
    <xf numFmtId="0" fontId="43" fillId="0" borderId="32" xfId="0" applyFont="1" applyBorder="1" applyAlignment="1">
      <alignment horizontal="center" vertical="center"/>
    </xf>
    <xf numFmtId="0" fontId="44" fillId="0" borderId="20" xfId="0" applyFont="1" applyBorder="1" applyAlignment="1">
      <alignment horizontal="left" vertical="top"/>
    </xf>
    <xf numFmtId="0" fontId="44" fillId="0" borderId="1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center"/>
    </xf>
    <xf numFmtId="0" fontId="2" fillId="0" borderId="10" xfId="0" applyFont="1" applyBorder="1" applyAlignment="1">
      <alignment horizontal="left" vertical="center"/>
    </xf>
    <xf numFmtId="0" fontId="2" fillId="0" borderId="44" xfId="0" applyFont="1" applyBorder="1" applyAlignment="1">
      <alignment horizontal="left" vertical="center"/>
    </xf>
    <xf numFmtId="0" fontId="57" fillId="0" borderId="0" xfId="0" applyFont="1" applyAlignment="1" applyProtection="1">
      <alignment horizontal="center" vertical="center"/>
    </xf>
    <xf numFmtId="0" fontId="8" fillId="2" borderId="0" xfId="0" applyFont="1" applyFill="1" applyAlignment="1">
      <alignment horizontal="right" vertical="center"/>
    </xf>
    <xf numFmtId="0" fontId="56" fillId="13" borderId="23" xfId="0" applyFont="1" applyFill="1" applyBorder="1" applyAlignment="1" applyProtection="1">
      <alignment vertical="center"/>
      <protection hidden="1"/>
    </xf>
    <xf numFmtId="0" fontId="56" fillId="13" borderId="16" xfId="0" applyFont="1" applyFill="1" applyBorder="1" applyAlignment="1" applyProtection="1">
      <alignment vertical="center"/>
      <protection hidden="1"/>
    </xf>
    <xf numFmtId="0" fontId="56" fillId="13" borderId="60" xfId="0" applyFont="1" applyFill="1" applyBorder="1" applyAlignment="1" applyProtection="1">
      <alignment vertical="center"/>
      <protection hidden="1"/>
    </xf>
    <xf numFmtId="0" fontId="54" fillId="0" borderId="44" xfId="0" applyFont="1" applyBorder="1" applyAlignment="1">
      <alignment horizontal="left" vertical="center"/>
    </xf>
    <xf numFmtId="0" fontId="44" fillId="0" borderId="10" xfId="0" applyFont="1" applyBorder="1" applyAlignment="1">
      <alignment horizontal="left" vertical="center"/>
    </xf>
    <xf numFmtId="0" fontId="44" fillId="0" borderId="44" xfId="0" applyFont="1" applyBorder="1" applyAlignment="1">
      <alignment horizontal="left" vertical="center"/>
    </xf>
    <xf numFmtId="0" fontId="8" fillId="2" borderId="0" xfId="0" applyFont="1" applyFill="1" applyAlignment="1">
      <alignment horizontal="left"/>
    </xf>
    <xf numFmtId="0" fontId="8" fillId="7" borderId="0" xfId="0" applyFont="1" applyFill="1" applyAlignment="1" applyProtection="1">
      <alignment horizontal="center" vertical="center"/>
      <protection locked="0"/>
    </xf>
    <xf numFmtId="0" fontId="28" fillId="7" borderId="0" xfId="0" applyFont="1" applyFill="1" applyAlignment="1" applyProtection="1">
      <alignment horizontal="center"/>
      <protection locked="0"/>
    </xf>
    <xf numFmtId="0" fontId="11" fillId="0" borderId="0" xfId="0" applyFont="1" applyAlignment="1">
      <alignment horizontal="right"/>
    </xf>
    <xf numFmtId="0" fontId="12" fillId="0" borderId="0" xfId="0" applyFont="1" applyAlignment="1">
      <alignment horizontal="right"/>
    </xf>
    <xf numFmtId="0" fontId="0" fillId="0" borderId="0" xfId="0" applyAlignment="1">
      <alignment horizontal="center" vertical="center"/>
    </xf>
    <xf numFmtId="0" fontId="44" fillId="0" borderId="89" xfId="0" applyFont="1" applyBorder="1" applyAlignment="1">
      <alignment horizontal="left" vertical="center"/>
    </xf>
    <xf numFmtId="0" fontId="44" fillId="0" borderId="90" xfId="0" applyFont="1" applyBorder="1" applyAlignment="1">
      <alignment horizontal="left" vertical="center"/>
    </xf>
    <xf numFmtId="0" fontId="44" fillId="0" borderId="92" xfId="0" applyFont="1" applyBorder="1" applyAlignment="1">
      <alignment horizontal="left" vertical="center"/>
    </xf>
    <xf numFmtId="0" fontId="69" fillId="17" borderId="0" xfId="0" applyFont="1" applyFill="1" applyBorder="1" applyAlignment="1">
      <alignment horizontal="left" vertical="center" indent="3"/>
    </xf>
    <xf numFmtId="0" fontId="53" fillId="8" borderId="97" xfId="0" applyFont="1" applyFill="1" applyBorder="1" applyAlignment="1">
      <alignment horizontal="left" indent="3"/>
    </xf>
    <xf numFmtId="0" fontId="53" fillId="8" borderId="100" xfId="0" applyFont="1" applyFill="1" applyBorder="1" applyAlignment="1">
      <alignment horizontal="left" indent="3"/>
    </xf>
    <xf numFmtId="0" fontId="53" fillId="8" borderId="98" xfId="0" applyFont="1" applyFill="1" applyBorder="1" applyAlignment="1">
      <alignment horizontal="left" indent="3"/>
    </xf>
    <xf numFmtId="0" fontId="82" fillId="17" borderId="20" xfId="0" applyFont="1" applyFill="1" applyBorder="1" applyAlignment="1">
      <alignment horizontal="center" vertical="center"/>
    </xf>
    <xf numFmtId="0" fontId="82" fillId="17" borderId="10" xfId="0" applyFont="1" applyFill="1" applyBorder="1" applyAlignment="1">
      <alignment horizontal="center" vertical="center"/>
    </xf>
    <xf numFmtId="0" fontId="11" fillId="3" borderId="23" xfId="0" applyFont="1" applyFill="1" applyBorder="1" applyAlignment="1" applyProtection="1">
      <alignment horizontal="left" vertical="center"/>
      <protection hidden="1"/>
    </xf>
    <xf numFmtId="0" fontId="11" fillId="3" borderId="16" xfId="0" applyFont="1" applyFill="1" applyBorder="1" applyAlignment="1" applyProtection="1">
      <alignment horizontal="left" vertical="center"/>
      <protection hidden="1"/>
    </xf>
    <xf numFmtId="0" fontId="11" fillId="3" borderId="60" xfId="0" applyFont="1" applyFill="1" applyBorder="1" applyAlignment="1" applyProtection="1">
      <alignment horizontal="left" vertical="center"/>
      <protection hidden="1"/>
    </xf>
    <xf numFmtId="0" fontId="11" fillId="3" borderId="20" xfId="0" applyFont="1" applyFill="1" applyBorder="1" applyAlignment="1" applyProtection="1">
      <alignment horizontal="left" vertical="center"/>
      <protection hidden="1"/>
    </xf>
    <xf numFmtId="0" fontId="11" fillId="3" borderId="10" xfId="0" applyFont="1" applyFill="1" applyBorder="1" applyAlignment="1" applyProtection="1">
      <alignment horizontal="left" vertical="center"/>
      <protection hidden="1"/>
    </xf>
    <xf numFmtId="0" fontId="11" fillId="3" borderId="44" xfId="0" applyFont="1" applyFill="1" applyBorder="1" applyAlignment="1" applyProtection="1">
      <alignment horizontal="left" vertical="center"/>
      <protection hidden="1"/>
    </xf>
    <xf numFmtId="0" fontId="6" fillId="3" borderId="10" xfId="0" applyFont="1" applyFill="1" applyBorder="1" applyAlignment="1" applyProtection="1">
      <alignment horizontal="left" vertical="center"/>
      <protection hidden="1"/>
    </xf>
    <xf numFmtId="0" fontId="6" fillId="3" borderId="44" xfId="0" applyFont="1" applyFill="1" applyBorder="1" applyAlignment="1" applyProtection="1">
      <alignment horizontal="left" vertical="center"/>
      <protection hidden="1"/>
    </xf>
    <xf numFmtId="0" fontId="6" fillId="0" borderId="0" xfId="0" applyFont="1" applyBorder="1" applyAlignment="1">
      <alignment horizontal="center" vertical="center"/>
    </xf>
    <xf numFmtId="0" fontId="44" fillId="0" borderId="23" xfId="0" applyFont="1" applyBorder="1" applyAlignment="1">
      <alignment horizontal="left" vertical="center"/>
    </xf>
    <xf numFmtId="0" fontId="2" fillId="0" borderId="16" xfId="0" applyFont="1" applyBorder="1" applyAlignment="1">
      <alignment horizontal="left" vertical="center"/>
    </xf>
    <xf numFmtId="0" fontId="2" fillId="0" borderId="60" xfId="0" applyFont="1" applyBorder="1" applyAlignment="1">
      <alignment horizontal="left" vertical="center"/>
    </xf>
    <xf numFmtId="0" fontId="44" fillId="0" borderId="20" xfId="0" applyFont="1" applyBorder="1" applyAlignment="1">
      <alignment horizontal="left"/>
    </xf>
    <xf numFmtId="0" fontId="2" fillId="0" borderId="10" xfId="0" applyFont="1" applyBorder="1" applyAlignment="1">
      <alignment horizontal="left"/>
    </xf>
    <xf numFmtId="0" fontId="2" fillId="0" borderId="44" xfId="0" applyFont="1" applyBorder="1" applyAlignment="1">
      <alignment horizontal="left"/>
    </xf>
    <xf numFmtId="0" fontId="8" fillId="0" borderId="0" xfId="0" applyFont="1" applyAlignment="1">
      <alignment horizontal="left"/>
    </xf>
    <xf numFmtId="0" fontId="55" fillId="0" borderId="97" xfId="0" applyFont="1" applyBorder="1" applyAlignment="1" applyProtection="1">
      <alignment horizontal="center"/>
      <protection hidden="1"/>
    </xf>
    <xf numFmtId="0" fontId="55" fillId="0" borderId="100" xfId="0" applyFont="1" applyBorder="1" applyAlignment="1" applyProtection="1">
      <alignment horizontal="center"/>
      <protection hidden="1"/>
    </xf>
    <xf numFmtId="0" fontId="55" fillId="0" borderId="98" xfId="0" applyFont="1" applyBorder="1" applyAlignment="1" applyProtection="1">
      <alignment horizontal="center"/>
      <protection hidden="1"/>
    </xf>
    <xf numFmtId="0" fontId="56" fillId="0" borderId="97" xfId="0" applyFont="1" applyBorder="1" applyAlignment="1" applyProtection="1">
      <alignment horizontal="center"/>
      <protection hidden="1"/>
    </xf>
    <xf numFmtId="0" fontId="56" fillId="0" borderId="100" xfId="0" applyFont="1" applyBorder="1" applyAlignment="1" applyProtection="1">
      <alignment horizontal="center"/>
      <protection hidden="1"/>
    </xf>
    <xf numFmtId="0" fontId="56" fillId="0" borderId="98" xfId="0" applyFont="1" applyBorder="1" applyAlignment="1" applyProtection="1">
      <alignment horizontal="center"/>
      <protection hidden="1"/>
    </xf>
    <xf numFmtId="16" fontId="44" fillId="0" borderId="20" xfId="0" quotePrefix="1" applyNumberFormat="1" applyFont="1" applyBorder="1" applyAlignment="1">
      <alignment horizontal="left" vertical="center"/>
    </xf>
    <xf numFmtId="16" fontId="74" fillId="0" borderId="10" xfId="0" quotePrefix="1" applyNumberFormat="1" applyFont="1" applyBorder="1" applyAlignment="1">
      <alignment horizontal="left" vertical="center"/>
    </xf>
    <xf numFmtId="16" fontId="74" fillId="0" borderId="44" xfId="0" quotePrefix="1" applyNumberFormat="1" applyFont="1" applyBorder="1" applyAlignment="1">
      <alignment horizontal="left" vertical="center"/>
    </xf>
    <xf numFmtId="0" fontId="29" fillId="0" borderId="61" xfId="0" applyFont="1" applyBorder="1" applyAlignment="1">
      <alignment horizontal="center" vertical="center"/>
    </xf>
    <xf numFmtId="0" fontId="29" fillId="0" borderId="86" xfId="0" applyFont="1" applyBorder="1" applyAlignment="1">
      <alignment horizontal="center" vertical="center"/>
    </xf>
    <xf numFmtId="166" fontId="43" fillId="0" borderId="19" xfId="0" applyNumberFormat="1" applyFont="1" applyBorder="1" applyAlignment="1">
      <alignment horizontal="center" vertical="center"/>
    </xf>
    <xf numFmtId="166" fontId="43" fillId="0" borderId="61" xfId="0" applyNumberFormat="1" applyFont="1" applyBorder="1" applyAlignment="1">
      <alignment horizontal="center" vertical="center"/>
    </xf>
    <xf numFmtId="166" fontId="43" fillId="0" borderId="86" xfId="0" applyNumberFormat="1" applyFont="1" applyBorder="1" applyAlignment="1">
      <alignment horizontal="center" vertical="center"/>
    </xf>
    <xf numFmtId="0" fontId="4" fillId="0" borderId="17" xfId="0" applyFont="1" applyBorder="1" applyAlignment="1">
      <alignment horizontal="center"/>
    </xf>
    <xf numFmtId="0" fontId="7" fillId="0" borderId="19"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hidden="1"/>
    </xf>
    <xf numFmtId="0" fontId="7" fillId="0" borderId="19"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12" fillId="0" borderId="61" xfId="0" applyFont="1" applyBorder="1" applyAlignment="1" applyProtection="1">
      <alignment horizontal="center" vertical="center"/>
      <protection hidden="1"/>
    </xf>
    <xf numFmtId="0" fontId="12" fillId="0" borderId="32" xfId="0" applyFont="1" applyBorder="1" applyAlignment="1" applyProtection="1">
      <alignment horizontal="center" vertical="center"/>
      <protection hidden="1"/>
    </xf>
    <xf numFmtId="0" fontId="56" fillId="13" borderId="20" xfId="0" applyFont="1" applyFill="1" applyBorder="1" applyAlignment="1" applyProtection="1">
      <alignment horizontal="left"/>
      <protection hidden="1"/>
    </xf>
    <xf numFmtId="0" fontId="56" fillId="13" borderId="10" xfId="0" applyFont="1" applyFill="1" applyBorder="1" applyAlignment="1" applyProtection="1">
      <alignment horizontal="left"/>
      <protection hidden="1"/>
    </xf>
    <xf numFmtId="0" fontId="56" fillId="13" borderId="44" xfId="0" applyFont="1" applyFill="1" applyBorder="1" applyAlignment="1" applyProtection="1">
      <alignment horizontal="left"/>
      <protection hidden="1"/>
    </xf>
    <xf numFmtId="0" fontId="44" fillId="7" borderId="20" xfId="0" applyFont="1" applyFill="1" applyBorder="1" applyAlignment="1" applyProtection="1">
      <alignment horizontal="left" vertical="center"/>
      <protection locked="0"/>
    </xf>
    <xf numFmtId="0" fontId="44" fillId="7" borderId="10" xfId="0" applyFont="1" applyFill="1" applyBorder="1" applyAlignment="1" applyProtection="1">
      <alignment horizontal="left" vertical="center"/>
      <protection locked="0"/>
    </xf>
    <xf numFmtId="0" fontId="44" fillId="7" borderId="44" xfId="0" applyFont="1" applyFill="1" applyBorder="1" applyAlignment="1" applyProtection="1">
      <alignment horizontal="left" vertical="center"/>
      <protection locked="0"/>
    </xf>
    <xf numFmtId="0" fontId="11" fillId="0" borderId="17" xfId="0" applyFont="1" applyBorder="1" applyAlignment="1" applyProtection="1">
      <alignment horizontal="center" vertical="center"/>
      <protection hidden="1"/>
    </xf>
    <xf numFmtId="10" fontId="4" fillId="5" borderId="38" xfId="2" applyNumberFormat="1" applyFont="1" applyFill="1" applyBorder="1" applyAlignment="1" applyProtection="1">
      <alignment horizontal="right" vertical="center"/>
      <protection hidden="1"/>
    </xf>
    <xf numFmtId="10" fontId="4" fillId="5" borderId="17" xfId="2" applyNumberFormat="1" applyFont="1" applyFill="1" applyBorder="1" applyAlignment="1" applyProtection="1">
      <alignment horizontal="right" vertical="center"/>
      <protection hidden="1"/>
    </xf>
    <xf numFmtId="10" fontId="4" fillId="5" borderId="44" xfId="2" applyNumberFormat="1" applyFont="1" applyFill="1" applyBorder="1" applyAlignment="1" applyProtection="1">
      <alignment horizontal="right" vertical="center"/>
      <protection hidden="1"/>
    </xf>
    <xf numFmtId="17" fontId="7" fillId="0" borderId="20" xfId="0" applyNumberFormat="1" applyFont="1" applyBorder="1" applyAlignment="1" applyProtection="1">
      <alignment horizontal="center" vertical="center"/>
      <protection hidden="1"/>
    </xf>
    <xf numFmtId="17" fontId="7" fillId="0" borderId="68" xfId="0" applyNumberFormat="1" applyFont="1" applyBorder="1" applyAlignment="1" applyProtection="1">
      <alignment horizontal="center" vertical="center"/>
      <protection hidden="1"/>
    </xf>
    <xf numFmtId="2" fontId="4" fillId="0" borderId="117" xfId="0" applyNumberFormat="1" applyFont="1" applyBorder="1" applyAlignment="1" applyProtection="1">
      <alignment horizontal="left" vertical="center"/>
      <protection hidden="1"/>
    </xf>
    <xf numFmtId="14" fontId="7" fillId="0" borderId="117" xfId="0" applyNumberFormat="1" applyFont="1" applyBorder="1" applyAlignment="1">
      <alignment horizontal="left" vertical="center"/>
    </xf>
    <xf numFmtId="14" fontId="7" fillId="0" borderId="0" xfId="0" applyNumberFormat="1" applyFont="1" applyAlignment="1" applyProtection="1">
      <alignment horizontal="left"/>
      <protection hidden="1"/>
    </xf>
    <xf numFmtId="0" fontId="7" fillId="0" borderId="0" xfId="0" applyFont="1" applyAlignment="1" applyProtection="1">
      <alignment horizontal="left"/>
      <protection hidden="1"/>
    </xf>
    <xf numFmtId="0" fontId="7" fillId="7" borderId="0" xfId="0" applyFont="1" applyFill="1" applyBorder="1" applyAlignment="1" applyProtection="1">
      <alignment horizontal="left" vertical="center"/>
      <protection locked="0"/>
    </xf>
    <xf numFmtId="0" fontId="7" fillId="7" borderId="117" xfId="0" applyFont="1" applyFill="1" applyBorder="1" applyAlignment="1" applyProtection="1">
      <alignment horizontal="left" vertical="center"/>
      <protection locked="0"/>
    </xf>
    <xf numFmtId="14" fontId="9" fillId="0" borderId="0" xfId="0" applyNumberFormat="1" applyFont="1" applyBorder="1" applyAlignment="1" applyProtection="1">
      <alignment horizontal="left" shrinkToFit="1"/>
      <protection hidden="1"/>
    </xf>
    <xf numFmtId="0" fontId="9" fillId="0" borderId="0" xfId="0" applyFont="1" applyBorder="1" applyAlignment="1" applyProtection="1">
      <alignment horizontal="left" shrinkToFit="1"/>
      <protection hidden="1"/>
    </xf>
    <xf numFmtId="0" fontId="81" fillId="17" borderId="115" xfId="0" applyFont="1" applyFill="1" applyBorder="1" applyAlignment="1">
      <alignment horizontal="center" vertical="center"/>
    </xf>
    <xf numFmtId="0" fontId="81" fillId="17" borderId="181" xfId="0" applyFont="1" applyFill="1" applyBorder="1" applyAlignment="1" applyProtection="1">
      <alignment horizontal="center"/>
      <protection hidden="1"/>
    </xf>
    <xf numFmtId="0" fontId="81" fillId="17" borderId="115" xfId="0" applyFont="1" applyFill="1" applyBorder="1" applyAlignment="1" applyProtection="1">
      <alignment horizontal="center"/>
      <protection hidden="1"/>
    </xf>
    <xf numFmtId="0" fontId="81" fillId="17" borderId="182" xfId="0" applyFont="1" applyFill="1" applyBorder="1" applyAlignment="1" applyProtection="1">
      <alignment horizontal="center"/>
      <protection hidden="1"/>
    </xf>
    <xf numFmtId="0" fontId="81" fillId="17" borderId="108" xfId="0" applyFont="1" applyFill="1" applyBorder="1" applyAlignment="1" applyProtection="1">
      <alignment horizontal="center" vertical="center"/>
      <protection hidden="1"/>
    </xf>
    <xf numFmtId="0" fontId="81" fillId="17" borderId="0" xfId="0" applyFont="1" applyFill="1" applyBorder="1" applyAlignment="1" applyProtection="1">
      <alignment horizontal="center" vertical="center"/>
      <protection hidden="1"/>
    </xf>
    <xf numFmtId="0" fontId="81" fillId="17" borderId="111" xfId="0" applyFont="1" applyFill="1" applyBorder="1" applyAlignment="1" applyProtection="1">
      <alignment horizontal="center" vertical="center"/>
      <protection hidden="1"/>
    </xf>
    <xf numFmtId="167" fontId="7" fillId="8" borderId="246" xfId="0" applyNumberFormat="1" applyFont="1" applyFill="1" applyBorder="1" applyAlignment="1" applyProtection="1">
      <alignment horizontal="center" vertical="center"/>
      <protection hidden="1"/>
    </xf>
    <xf numFmtId="167" fontId="7" fillId="8" borderId="222" xfId="0" applyNumberFormat="1" applyFont="1" applyFill="1" applyBorder="1" applyAlignment="1" applyProtection="1">
      <alignment horizontal="center" vertical="center"/>
      <protection hidden="1"/>
    </xf>
    <xf numFmtId="167" fontId="7" fillId="0" borderId="268" xfId="0" applyNumberFormat="1" applyFont="1" applyBorder="1" applyAlignment="1" applyProtection="1">
      <alignment horizontal="center" vertical="center"/>
      <protection hidden="1"/>
    </xf>
    <xf numFmtId="167" fontId="7" fillId="0" borderId="222" xfId="0" applyNumberFormat="1" applyFont="1" applyBorder="1" applyAlignment="1" applyProtection="1">
      <alignment horizontal="center" vertical="center"/>
      <protection hidden="1"/>
    </xf>
    <xf numFmtId="167" fontId="7" fillId="0" borderId="246" xfId="0" applyNumberFormat="1" applyFont="1" applyBorder="1" applyAlignment="1" applyProtection="1">
      <alignment horizontal="center" vertical="center"/>
      <protection hidden="1"/>
    </xf>
    <xf numFmtId="167" fontId="7" fillId="0" borderId="252" xfId="0" applyNumberFormat="1" applyFont="1" applyBorder="1" applyAlignment="1" applyProtection="1">
      <alignment horizontal="center" vertical="center"/>
      <protection hidden="1"/>
    </xf>
    <xf numFmtId="167" fontId="7" fillId="0" borderId="170" xfId="0" applyNumberFormat="1" applyFont="1" applyBorder="1" applyAlignment="1" applyProtection="1">
      <alignment horizontal="center" vertical="center"/>
      <protection hidden="1"/>
    </xf>
    <xf numFmtId="167" fontId="4" fillId="0" borderId="243" xfId="0" applyNumberFormat="1" applyFont="1" applyBorder="1" applyAlignment="1" applyProtection="1">
      <alignment horizontal="center" vertical="center"/>
      <protection hidden="1"/>
    </xf>
    <xf numFmtId="167" fontId="4" fillId="0" borderId="219" xfId="0" applyNumberFormat="1" applyFont="1" applyBorder="1" applyAlignment="1" applyProtection="1">
      <alignment horizontal="center" vertical="center"/>
      <protection hidden="1"/>
    </xf>
    <xf numFmtId="167" fontId="4" fillId="0" borderId="270" xfId="0" applyNumberFormat="1" applyFont="1" applyBorder="1" applyAlignment="1" applyProtection="1">
      <alignment horizontal="center" vertical="center"/>
      <protection hidden="1"/>
    </xf>
    <xf numFmtId="167" fontId="4" fillId="0" borderId="250" xfId="0" applyNumberFormat="1" applyFont="1" applyBorder="1" applyAlignment="1" applyProtection="1">
      <alignment horizontal="center" vertical="center"/>
      <protection hidden="1"/>
    </xf>
    <xf numFmtId="167" fontId="4" fillId="0" borderId="128" xfId="0" applyNumberFormat="1" applyFont="1" applyBorder="1" applyAlignment="1" applyProtection="1">
      <alignment horizontal="center" vertical="center"/>
      <protection hidden="1"/>
    </xf>
    <xf numFmtId="167" fontId="4" fillId="0" borderId="216" xfId="0" applyNumberFormat="1" applyFont="1" applyFill="1" applyBorder="1" applyAlignment="1" applyProtection="1">
      <alignment horizontal="center" vertical="center"/>
    </xf>
    <xf numFmtId="167" fontId="4" fillId="0" borderId="217" xfId="0" applyNumberFormat="1" applyFont="1" applyFill="1" applyBorder="1" applyAlignment="1" applyProtection="1">
      <alignment horizontal="center" vertical="center"/>
    </xf>
    <xf numFmtId="167" fontId="4" fillId="0" borderId="256" xfId="0" applyNumberFormat="1" applyFont="1" applyBorder="1" applyAlignment="1" applyProtection="1">
      <alignment horizontal="center" vertical="center"/>
    </xf>
    <xf numFmtId="167" fontId="4" fillId="0" borderId="224" xfId="0" applyNumberFormat="1" applyFont="1" applyBorder="1" applyAlignment="1" applyProtection="1">
      <alignment horizontal="center" vertical="center"/>
    </xf>
    <xf numFmtId="167" fontId="4" fillId="0" borderId="216" xfId="0" applyNumberFormat="1" applyFont="1" applyBorder="1" applyAlignment="1" applyProtection="1">
      <alignment horizontal="center" vertical="center"/>
    </xf>
    <xf numFmtId="167" fontId="7" fillId="0" borderId="297" xfId="0" applyNumberFormat="1" applyFont="1" applyFill="1" applyBorder="1" applyAlignment="1" applyProtection="1">
      <alignment horizontal="center" vertical="center"/>
      <protection hidden="1"/>
    </xf>
    <xf numFmtId="167" fontId="7" fillId="6" borderId="298" xfId="0" applyNumberFormat="1" applyFont="1" applyFill="1" applyBorder="1" applyAlignment="1" applyProtection="1">
      <alignment horizontal="center" vertical="center"/>
    </xf>
    <xf numFmtId="167" fontId="7" fillId="0" borderId="302" xfId="0" applyNumberFormat="1" applyFont="1" applyBorder="1" applyAlignment="1" applyProtection="1">
      <alignment horizontal="center" vertical="center"/>
      <protection hidden="1"/>
    </xf>
    <xf numFmtId="167" fontId="7" fillId="0" borderId="303" xfId="0" applyNumberFormat="1" applyFont="1" applyBorder="1" applyAlignment="1" applyProtection="1">
      <alignment horizontal="center" vertical="center"/>
      <protection hidden="1"/>
    </xf>
    <xf numFmtId="167" fontId="7" fillId="0" borderId="307" xfId="0" applyNumberFormat="1" applyFont="1" applyBorder="1" applyAlignment="1" applyProtection="1">
      <alignment horizontal="center" vertical="center"/>
      <protection hidden="1"/>
    </xf>
    <xf numFmtId="167" fontId="7" fillId="0" borderId="297" xfId="0" applyNumberFormat="1" applyFont="1" applyBorder="1" applyAlignment="1" applyProtection="1">
      <alignment horizontal="center" vertical="center"/>
      <protection hidden="1"/>
    </xf>
    <xf numFmtId="164" fontId="71" fillId="5" borderId="297" xfId="2" applyNumberFormat="1" applyFont="1" applyFill="1" applyBorder="1" applyAlignment="1" applyProtection="1">
      <alignment horizontal="center" vertical="center"/>
      <protection hidden="1"/>
    </xf>
    <xf numFmtId="166" fontId="71" fillId="5" borderId="297" xfId="2" applyNumberFormat="1" applyFont="1" applyFill="1" applyBorder="1" applyAlignment="1" applyProtection="1">
      <alignment horizontal="center" vertical="center"/>
      <protection hidden="1"/>
    </xf>
    <xf numFmtId="167" fontId="7" fillId="0" borderId="131" xfId="0" applyNumberFormat="1" applyFont="1" applyBorder="1" applyAlignment="1" applyProtection="1">
      <alignment horizontal="center" vertical="center"/>
      <protection hidden="1"/>
    </xf>
    <xf numFmtId="0" fontId="4" fillId="8" borderId="0" xfId="0" applyFont="1" applyFill="1" applyBorder="1" applyAlignment="1" applyProtection="1">
      <alignment horizontal="center" wrapText="1"/>
    </xf>
    <xf numFmtId="0" fontId="4" fillId="8" borderId="117" xfId="0" applyFont="1" applyFill="1" applyBorder="1" applyAlignment="1" applyProtection="1">
      <alignment horizontal="center" wrapText="1"/>
    </xf>
    <xf numFmtId="0" fontId="4" fillId="8" borderId="0" xfId="0" applyFont="1" applyFill="1" applyBorder="1" applyAlignment="1" applyProtection="1">
      <alignment horizontal="center" vertical="center" wrapText="1"/>
    </xf>
    <xf numFmtId="0" fontId="4" fillId="8" borderId="117" xfId="0" applyFont="1" applyFill="1" applyBorder="1" applyAlignment="1" applyProtection="1">
      <alignment horizontal="center" vertical="center" wrapText="1"/>
    </xf>
    <xf numFmtId="0" fontId="69" fillId="17" borderId="115" xfId="0" applyFont="1" applyFill="1" applyBorder="1" applyAlignment="1" applyProtection="1">
      <alignment horizontal="left" vertical="center"/>
      <protection hidden="1"/>
    </xf>
    <xf numFmtId="0" fontId="79" fillId="17" borderId="115" xfId="0" applyFont="1" applyFill="1" applyBorder="1" applyAlignment="1" applyProtection="1">
      <alignment horizontal="left" vertical="center"/>
      <protection hidden="1"/>
    </xf>
    <xf numFmtId="0" fontId="79" fillId="17" borderId="0" xfId="0" applyFont="1" applyFill="1" applyBorder="1" applyAlignment="1" applyProtection="1">
      <alignment horizontal="left" vertical="center"/>
      <protection hidden="1"/>
    </xf>
    <xf numFmtId="0" fontId="79" fillId="17" borderId="117" xfId="0" applyFont="1" applyFill="1" applyBorder="1" applyAlignment="1">
      <alignment horizontal="left" vertical="center"/>
    </xf>
    <xf numFmtId="0" fontId="4" fillId="0" borderId="0" xfId="0" applyFont="1" applyBorder="1" applyAlignment="1" applyProtection="1">
      <alignment horizontal="left" vertical="center"/>
      <protection hidden="1"/>
    </xf>
    <xf numFmtId="0" fontId="4" fillId="0" borderId="114" xfId="0" applyFont="1" applyBorder="1" applyAlignment="1" applyProtection="1">
      <alignment horizontal="left" vertical="center"/>
      <protection hidden="1"/>
    </xf>
    <xf numFmtId="0" fontId="4" fillId="0" borderId="162" xfId="0" applyFont="1" applyBorder="1" applyAlignment="1" applyProtection="1">
      <alignment horizontal="left" vertical="center"/>
      <protection hidden="1"/>
    </xf>
    <xf numFmtId="0" fontId="4" fillId="0" borderId="315" xfId="0" applyFont="1" applyBorder="1" applyAlignment="1" applyProtection="1">
      <alignment horizontal="left" vertical="center"/>
      <protection hidden="1"/>
    </xf>
    <xf numFmtId="0" fontId="81" fillId="17" borderId="136" xfId="0" applyFont="1" applyFill="1" applyBorder="1" applyAlignment="1" applyProtection="1">
      <alignment horizontal="center"/>
      <protection hidden="1"/>
    </xf>
    <xf numFmtId="0" fontId="81" fillId="17" borderId="116" xfId="0" applyFont="1" applyFill="1" applyBorder="1" applyAlignment="1" applyProtection="1">
      <alignment horizontal="center"/>
      <protection hidden="1"/>
    </xf>
    <xf numFmtId="0" fontId="81" fillId="17" borderId="138" xfId="0" applyFont="1" applyFill="1" applyBorder="1" applyAlignment="1" applyProtection="1">
      <alignment horizontal="center"/>
      <protection hidden="1"/>
    </xf>
    <xf numFmtId="0" fontId="81" fillId="17" borderId="114" xfId="0" applyFont="1" applyFill="1" applyBorder="1" applyAlignment="1" applyProtection="1">
      <alignment horizontal="center"/>
      <protection hidden="1"/>
    </xf>
    <xf numFmtId="0" fontId="71" fillId="5" borderId="191" xfId="0" applyFont="1" applyFill="1" applyBorder="1" applyAlignment="1" applyProtection="1">
      <alignment horizontal="right" vertical="center"/>
      <protection hidden="1"/>
    </xf>
    <xf numFmtId="0" fontId="71" fillId="5" borderId="121" xfId="0" applyFont="1" applyFill="1" applyBorder="1" applyAlignment="1" applyProtection="1">
      <alignment horizontal="right" vertical="center"/>
      <protection hidden="1"/>
    </xf>
    <xf numFmtId="0" fontId="72" fillId="5" borderId="185" xfId="0" applyFont="1" applyFill="1" applyBorder="1" applyAlignment="1" applyProtection="1">
      <alignment horizontal="right" vertical="center"/>
    </xf>
    <xf numFmtId="164" fontId="71" fillId="5" borderId="297" xfId="0" applyNumberFormat="1" applyFont="1" applyFill="1" applyBorder="1" applyAlignment="1" applyProtection="1">
      <alignment horizontal="center" vertical="center"/>
      <protection hidden="1"/>
    </xf>
    <xf numFmtId="166" fontId="71" fillId="5" borderId="297" xfId="0" applyNumberFormat="1" applyFont="1" applyFill="1" applyBorder="1" applyAlignment="1" applyProtection="1">
      <alignment horizontal="center" vertical="center"/>
      <protection hidden="1"/>
    </xf>
    <xf numFmtId="167" fontId="71" fillId="5" borderId="297" xfId="0" applyNumberFormat="1" applyFont="1" applyFill="1" applyBorder="1" applyAlignment="1" applyProtection="1">
      <alignment horizontal="center" vertical="center"/>
      <protection hidden="1"/>
    </xf>
    <xf numFmtId="167" fontId="7" fillId="0" borderId="128" xfId="0" applyNumberFormat="1" applyFont="1" applyFill="1" applyBorder="1" applyAlignment="1" applyProtection="1">
      <alignment horizontal="center" vertical="center"/>
      <protection hidden="1"/>
    </xf>
    <xf numFmtId="0" fontId="81" fillId="17" borderId="243" xfId="0" applyFont="1" applyFill="1" applyBorder="1" applyAlignment="1">
      <alignment horizontal="center"/>
    </xf>
    <xf numFmtId="0" fontId="81" fillId="17" borderId="219" xfId="0" applyFont="1" applyFill="1" applyBorder="1" applyAlignment="1">
      <alignment horizontal="center"/>
    </xf>
    <xf numFmtId="0" fontId="81" fillId="17" borderId="258" xfId="0" applyFont="1" applyFill="1" applyBorder="1" applyAlignment="1">
      <alignment horizontal="center"/>
    </xf>
    <xf numFmtId="0" fontId="81" fillId="17" borderId="262" xfId="0" applyFont="1" applyFill="1" applyBorder="1" applyAlignment="1">
      <alignment horizontal="center"/>
    </xf>
    <xf numFmtId="0" fontId="81" fillId="17" borderId="134" xfId="0" applyFont="1" applyFill="1" applyBorder="1" applyAlignment="1">
      <alignment horizontal="center"/>
    </xf>
    <xf numFmtId="0" fontId="81" fillId="17" borderId="263" xfId="0" applyFont="1" applyFill="1" applyBorder="1" applyAlignment="1">
      <alignment horizontal="center"/>
    </xf>
    <xf numFmtId="167" fontId="7" fillId="8" borderId="302" xfId="0" applyNumberFormat="1" applyFont="1" applyFill="1" applyBorder="1" applyAlignment="1" applyProtection="1">
      <alignment horizontal="center" vertical="center"/>
      <protection hidden="1"/>
    </xf>
    <xf numFmtId="167" fontId="7" fillId="8" borderId="303" xfId="0" applyNumberFormat="1" applyFont="1" applyFill="1" applyBorder="1" applyAlignment="1" applyProtection="1">
      <alignment horizontal="center" vertical="center"/>
      <protection hidden="1"/>
    </xf>
    <xf numFmtId="167" fontId="7" fillId="0" borderId="305" xfId="0" applyNumberFormat="1" applyFont="1" applyBorder="1" applyAlignment="1" applyProtection="1">
      <alignment horizontal="center" vertical="center"/>
      <protection hidden="1"/>
    </xf>
    <xf numFmtId="0" fontId="7" fillId="0" borderId="130" xfId="0" applyFont="1" applyBorder="1" applyAlignment="1" applyProtection="1">
      <alignment horizontal="left" vertical="center"/>
    </xf>
    <xf numFmtId="167" fontId="7" fillId="8" borderId="245" xfId="0" applyNumberFormat="1" applyFont="1" applyFill="1" applyBorder="1" applyAlignment="1" applyProtection="1">
      <alignment horizontal="center" vertical="center"/>
      <protection hidden="1"/>
    </xf>
    <xf numFmtId="167" fontId="7" fillId="8" borderId="221" xfId="0" applyNumberFormat="1" applyFont="1" applyFill="1" applyBorder="1" applyAlignment="1" applyProtection="1">
      <alignment horizontal="center" vertical="center"/>
      <protection hidden="1"/>
    </xf>
    <xf numFmtId="167" fontId="7" fillId="0" borderId="266" xfId="0" applyNumberFormat="1" applyFont="1" applyBorder="1" applyAlignment="1" applyProtection="1">
      <alignment horizontal="center" vertical="center"/>
      <protection hidden="1"/>
    </xf>
    <xf numFmtId="167" fontId="7" fillId="0" borderId="221" xfId="0" applyNumberFormat="1" applyFont="1" applyBorder="1" applyAlignment="1" applyProtection="1">
      <alignment horizontal="center" vertical="center"/>
      <protection hidden="1"/>
    </xf>
    <xf numFmtId="0" fontId="87" fillId="17" borderId="182" xfId="0" applyFont="1" applyFill="1" applyBorder="1" applyAlignment="1">
      <alignment horizontal="center" vertical="center" wrapText="1"/>
    </xf>
    <xf numFmtId="0" fontId="87" fillId="17" borderId="111" xfId="0" applyFont="1" applyFill="1" applyBorder="1" applyAlignment="1">
      <alignment horizontal="center" vertical="center" wrapText="1"/>
    </xf>
    <xf numFmtId="0" fontId="87" fillId="17" borderId="197" xfId="0" applyFont="1" applyFill="1" applyBorder="1" applyAlignment="1">
      <alignment horizontal="center" vertical="center" wrapText="1"/>
    </xf>
    <xf numFmtId="0" fontId="81" fillId="17" borderId="242" xfId="0" applyFont="1" applyFill="1" applyBorder="1" applyAlignment="1" applyProtection="1">
      <alignment horizontal="center"/>
      <protection hidden="1"/>
    </xf>
    <xf numFmtId="0" fontId="81" fillId="17" borderId="218" xfId="0" applyFont="1" applyFill="1" applyBorder="1" applyAlignment="1" applyProtection="1">
      <alignment horizontal="center"/>
      <protection hidden="1"/>
    </xf>
    <xf numFmtId="0" fontId="81" fillId="17" borderId="257" xfId="0" applyFont="1" applyFill="1" applyBorder="1" applyAlignment="1" applyProtection="1">
      <alignment horizontal="center"/>
      <protection hidden="1"/>
    </xf>
    <xf numFmtId="0" fontId="89" fillId="0" borderId="0" xfId="0" applyFont="1" applyFill="1" applyBorder="1" applyAlignment="1" applyProtection="1">
      <alignment horizontal="left" vertical="center"/>
      <protection hidden="1"/>
    </xf>
    <xf numFmtId="0" fontId="82" fillId="17" borderId="182" xfId="0" applyFont="1" applyFill="1" applyBorder="1" applyAlignment="1">
      <alignment horizontal="center" vertical="center"/>
    </xf>
    <xf numFmtId="0" fontId="82" fillId="17" borderId="111" xfId="0" applyFont="1" applyFill="1" applyBorder="1" applyAlignment="1">
      <alignment horizontal="center" vertical="center"/>
    </xf>
    <xf numFmtId="0" fontId="87" fillId="17" borderId="181" xfId="0" applyFont="1" applyFill="1" applyBorder="1" applyAlignment="1">
      <alignment horizontal="center" vertical="center" wrapText="1"/>
    </xf>
    <xf numFmtId="0" fontId="87" fillId="17" borderId="108" xfId="0" applyFont="1" applyFill="1" applyBorder="1" applyAlignment="1">
      <alignment horizontal="center" vertical="center" wrapText="1"/>
    </xf>
    <xf numFmtId="0" fontId="87" fillId="17" borderId="262" xfId="0" applyFont="1" applyFill="1" applyBorder="1" applyAlignment="1">
      <alignment horizontal="center" vertical="center" wrapText="1"/>
    </xf>
    <xf numFmtId="0" fontId="87" fillId="17" borderId="226" xfId="0" applyFont="1" applyFill="1" applyBorder="1" applyAlignment="1">
      <alignment horizontal="center" vertical="center" wrapText="1"/>
    </xf>
    <xf numFmtId="0" fontId="87" fillId="17" borderId="228" xfId="0" applyFont="1" applyFill="1" applyBorder="1" applyAlignment="1">
      <alignment horizontal="center" vertical="center" wrapText="1"/>
    </xf>
    <xf numFmtId="0" fontId="87" fillId="17" borderId="278" xfId="0" applyFont="1" applyFill="1" applyBorder="1" applyAlignment="1">
      <alignment horizontal="center" vertical="center" wrapText="1"/>
    </xf>
    <xf numFmtId="6" fontId="81" fillId="17" borderId="136" xfId="0" applyNumberFormat="1" applyFont="1" applyFill="1" applyBorder="1" applyAlignment="1" applyProtection="1">
      <alignment horizontal="center" vertical="center"/>
      <protection hidden="1"/>
    </xf>
    <xf numFmtId="6" fontId="81" fillId="17" borderId="119" xfId="0" applyNumberFormat="1" applyFont="1" applyFill="1" applyBorder="1" applyAlignment="1" applyProtection="1">
      <alignment horizontal="center" vertical="center"/>
      <protection hidden="1"/>
    </xf>
    <xf numFmtId="0" fontId="81" fillId="17" borderId="176" xfId="0" applyFont="1" applyFill="1" applyBorder="1" applyAlignment="1" applyProtection="1">
      <alignment horizontal="left" vertical="center"/>
      <protection hidden="1"/>
    </xf>
    <xf numFmtId="0" fontId="81" fillId="17" borderId="115" xfId="0" applyFont="1" applyFill="1" applyBorder="1" applyAlignment="1" applyProtection="1">
      <alignment horizontal="left" vertical="center"/>
      <protection hidden="1"/>
    </xf>
    <xf numFmtId="0" fontId="81" fillId="17" borderId="177" xfId="0" applyFont="1" applyFill="1" applyBorder="1" applyAlignment="1" applyProtection="1">
      <alignment horizontal="left" vertical="center"/>
      <protection hidden="1"/>
    </xf>
    <xf numFmtId="0" fontId="81" fillId="17" borderId="117" xfId="0" applyFont="1" applyFill="1" applyBorder="1" applyAlignment="1" applyProtection="1">
      <alignment horizontal="left" vertical="center"/>
      <protection hidden="1"/>
    </xf>
    <xf numFmtId="0" fontId="4" fillId="3" borderId="193" xfId="0" applyFont="1" applyFill="1" applyBorder="1" applyAlignment="1" applyProtection="1">
      <alignment horizontal="center" vertical="center"/>
      <protection hidden="1"/>
    </xf>
    <xf numFmtId="0" fontId="4" fillId="3" borderId="203" xfId="0" applyFont="1" applyFill="1" applyBorder="1" applyAlignment="1" applyProtection="1">
      <alignment horizontal="center" vertical="center"/>
      <protection hidden="1"/>
    </xf>
    <xf numFmtId="0" fontId="4" fillId="3" borderId="200" xfId="0" applyFont="1" applyFill="1" applyBorder="1" applyAlignment="1" applyProtection="1">
      <alignment horizontal="center" vertical="center"/>
      <protection hidden="1"/>
    </xf>
    <xf numFmtId="0" fontId="4" fillId="3" borderId="199" xfId="0" applyFont="1" applyFill="1" applyBorder="1" applyAlignment="1" applyProtection="1">
      <alignment horizontal="center" vertical="center"/>
      <protection hidden="1"/>
    </xf>
    <xf numFmtId="0" fontId="4" fillId="8" borderId="0" xfId="0" applyFont="1" applyFill="1" applyBorder="1" applyAlignment="1" applyProtection="1">
      <alignment horizontal="left" vertical="center"/>
    </xf>
    <xf numFmtId="0" fontId="69" fillId="17" borderId="206" xfId="0" applyFont="1" applyFill="1" applyBorder="1" applyAlignment="1" applyProtection="1">
      <alignment horizontal="center" vertical="center"/>
      <protection hidden="1"/>
    </xf>
    <xf numFmtId="0" fontId="69" fillId="17" borderId="186" xfId="0" applyFont="1" applyFill="1" applyBorder="1" applyAlignment="1" applyProtection="1">
      <alignment horizontal="center" vertical="center"/>
      <protection hidden="1"/>
    </xf>
    <xf numFmtId="0" fontId="69" fillId="17" borderId="205" xfId="0" applyFont="1" applyFill="1" applyBorder="1" applyAlignment="1" applyProtection="1">
      <alignment horizontal="center" vertical="center"/>
      <protection hidden="1"/>
    </xf>
    <xf numFmtId="0" fontId="69" fillId="17" borderId="139" xfId="0" applyFont="1" applyFill="1" applyBorder="1" applyAlignment="1" applyProtection="1">
      <alignment horizontal="center" vertical="center"/>
      <protection hidden="1"/>
    </xf>
    <xf numFmtId="0" fontId="4" fillId="0" borderId="205" xfId="0" applyFont="1" applyBorder="1" applyAlignment="1" applyProtection="1">
      <alignment horizontal="center" vertical="center"/>
      <protection hidden="1"/>
    </xf>
    <xf numFmtId="0" fontId="4" fillId="0" borderId="139" xfId="0" applyFont="1" applyBorder="1" applyAlignment="1" applyProtection="1">
      <alignment horizontal="center" vertical="center"/>
      <protection hidden="1"/>
    </xf>
    <xf numFmtId="0" fontId="4" fillId="3" borderId="117" xfId="0" applyFont="1" applyFill="1" applyBorder="1" applyAlignment="1">
      <alignment horizontal="left" vertical="center"/>
    </xf>
    <xf numFmtId="0" fontId="4" fillId="12" borderId="133" xfId="0" applyNumberFormat="1" applyFont="1" applyFill="1" applyBorder="1" applyAlignment="1" applyProtection="1">
      <alignment horizontal="left" vertical="center"/>
      <protection hidden="1"/>
    </xf>
    <xf numFmtId="0" fontId="4" fillId="12" borderId="117" xfId="0" applyNumberFormat="1" applyFont="1" applyFill="1" applyBorder="1" applyAlignment="1" applyProtection="1">
      <alignment horizontal="left" vertical="center"/>
      <protection hidden="1"/>
    </xf>
    <xf numFmtId="0" fontId="82" fillId="17" borderId="129" xfId="0" applyFont="1" applyFill="1" applyBorder="1" applyAlignment="1">
      <alignment horizontal="center" vertical="center" wrapText="1"/>
    </xf>
    <xf numFmtId="0" fontId="82" fillId="17" borderId="0" xfId="0" applyFont="1" applyFill="1" applyBorder="1" applyAlignment="1">
      <alignment horizontal="center" vertical="center" wrapText="1"/>
    </xf>
    <xf numFmtId="0" fontId="87" fillId="17" borderId="247" xfId="0" applyFont="1" applyFill="1" applyBorder="1" applyAlignment="1">
      <alignment horizontal="center" vertical="center" wrapText="1"/>
    </xf>
    <xf numFmtId="0" fontId="87" fillId="17" borderId="248" xfId="0" applyFont="1" applyFill="1" applyBorder="1" applyAlignment="1">
      <alignment horizontal="center" vertical="center" wrapText="1"/>
    </xf>
    <xf numFmtId="0" fontId="87" fillId="17" borderId="249" xfId="0" applyFont="1" applyFill="1" applyBorder="1" applyAlignment="1">
      <alignment horizontal="center" vertical="center" wrapText="1"/>
    </xf>
    <xf numFmtId="0" fontId="87" fillId="17" borderId="204" xfId="0" applyFont="1" applyFill="1" applyBorder="1" applyAlignment="1">
      <alignment horizontal="center" vertical="center" wrapText="1"/>
    </xf>
    <xf numFmtId="0" fontId="87" fillId="17" borderId="174" xfId="0" applyFont="1" applyFill="1" applyBorder="1" applyAlignment="1">
      <alignment horizontal="center" vertical="center" wrapText="1"/>
    </xf>
    <xf numFmtId="0" fontId="87" fillId="17" borderId="212" xfId="0" applyFont="1" applyFill="1" applyBorder="1" applyAlignment="1">
      <alignment horizontal="center" vertical="center" wrapText="1"/>
    </xf>
    <xf numFmtId="0" fontId="69" fillId="17" borderId="116" xfId="0" applyFont="1" applyFill="1" applyBorder="1" applyAlignment="1" applyProtection="1">
      <alignment horizontal="center" vertical="center"/>
      <protection hidden="1"/>
    </xf>
    <xf numFmtId="0" fontId="69" fillId="17" borderId="132" xfId="0" applyFont="1" applyFill="1" applyBorder="1" applyAlignment="1" applyProtection="1">
      <alignment horizontal="center" vertical="center"/>
      <protection hidden="1"/>
    </xf>
    <xf numFmtId="0" fontId="69" fillId="17" borderId="118" xfId="0" applyFont="1" applyFill="1" applyBorder="1" applyAlignment="1" applyProtection="1">
      <alignment horizontal="center" vertical="center"/>
      <protection hidden="1"/>
    </xf>
    <xf numFmtId="0" fontId="69" fillId="17" borderId="131" xfId="0" applyFont="1" applyFill="1" applyBorder="1" applyAlignment="1" applyProtection="1">
      <alignment horizontal="center" vertical="center"/>
      <protection hidden="1"/>
    </xf>
    <xf numFmtId="14" fontId="4" fillId="0" borderId="0" xfId="0" applyNumberFormat="1" applyFont="1" applyBorder="1" applyAlignment="1">
      <alignment horizontal="left"/>
    </xf>
    <xf numFmtId="0" fontId="7" fillId="0" borderId="0" xfId="0" applyFont="1" applyAlignment="1" applyProtection="1">
      <alignment shrinkToFit="1"/>
      <protection hidden="1"/>
    </xf>
    <xf numFmtId="0" fontId="3" fillId="0" borderId="0" xfId="0" applyFont="1" applyAlignment="1">
      <alignment shrinkToFit="1"/>
    </xf>
    <xf numFmtId="0" fontId="7" fillId="0" borderId="0" xfId="0" applyFont="1" applyAlignment="1">
      <alignment shrinkToFit="1"/>
    </xf>
    <xf numFmtId="0" fontId="4" fillId="0" borderId="0" xfId="0" applyFont="1" applyAlignment="1" applyProtection="1">
      <alignment horizontal="right" shrinkToFit="1"/>
      <protection hidden="1"/>
    </xf>
    <xf numFmtId="6" fontId="81" fillId="17" borderId="182" xfId="0" applyNumberFormat="1" applyFont="1" applyFill="1" applyBorder="1" applyAlignment="1" applyProtection="1">
      <alignment horizontal="center" vertical="center"/>
      <protection hidden="1"/>
    </xf>
    <xf numFmtId="6" fontId="81" fillId="17" borderId="197" xfId="0" applyNumberFormat="1" applyFont="1" applyFill="1" applyBorder="1" applyAlignment="1" applyProtection="1">
      <alignment horizontal="center" vertical="center"/>
      <protection hidden="1"/>
    </xf>
    <xf numFmtId="0" fontId="81" fillId="17" borderId="181" xfId="0" applyFont="1" applyFill="1" applyBorder="1" applyAlignment="1" applyProtection="1">
      <alignment horizontal="left" vertical="center"/>
      <protection hidden="1"/>
    </xf>
    <xf numFmtId="0" fontId="81" fillId="17" borderId="198" xfId="0" applyFont="1" applyFill="1" applyBorder="1" applyAlignment="1" applyProtection="1">
      <alignment horizontal="left" vertical="center"/>
      <protection hidden="1"/>
    </xf>
    <xf numFmtId="0" fontId="89" fillId="0" borderId="0" xfId="0" applyFont="1" applyFill="1" applyBorder="1" applyAlignment="1" applyProtection="1">
      <alignment horizontal="left"/>
      <protection hidden="1"/>
    </xf>
    <xf numFmtId="0" fontId="7" fillId="7" borderId="183" xfId="0" applyFont="1" applyFill="1" applyBorder="1" applyAlignment="1" applyProtection="1">
      <alignment horizontal="left" vertical="center" indent="1"/>
      <protection locked="0"/>
    </xf>
    <xf numFmtId="0" fontId="7" fillId="7" borderId="120" xfId="0" applyFont="1" applyFill="1" applyBorder="1" applyAlignment="1" applyProtection="1">
      <alignment horizontal="left" vertical="center" indent="1"/>
      <protection locked="0"/>
    </xf>
    <xf numFmtId="164" fontId="7" fillId="7" borderId="120" xfId="0" applyNumberFormat="1" applyFont="1" applyFill="1" applyBorder="1" applyAlignment="1" applyProtection="1">
      <alignment horizontal="center" vertical="center" wrapText="1"/>
      <protection locked="0"/>
    </xf>
    <xf numFmtId="0" fontId="7" fillId="7" borderId="120" xfId="0" applyFont="1" applyFill="1" applyBorder="1" applyAlignment="1" applyProtection="1">
      <alignment horizontal="left" vertical="center" wrapText="1"/>
      <protection locked="0"/>
    </xf>
    <xf numFmtId="0" fontId="7" fillId="7" borderId="135" xfId="0" applyFont="1" applyFill="1" applyBorder="1" applyAlignment="1" applyProtection="1">
      <alignment horizontal="left" vertical="center" wrapText="1"/>
      <protection locked="0"/>
    </xf>
    <xf numFmtId="0" fontId="7" fillId="7" borderId="183" xfId="0" applyFont="1" applyFill="1" applyBorder="1" applyAlignment="1" applyProtection="1">
      <alignment horizontal="left" vertical="center" wrapText="1" indent="1"/>
      <protection locked="0"/>
    </xf>
    <xf numFmtId="0" fontId="7" fillId="7" borderId="120" xfId="0" applyFont="1" applyFill="1" applyBorder="1" applyAlignment="1" applyProtection="1">
      <alignment horizontal="left" vertical="center" wrapText="1" indent="1"/>
      <protection locked="0"/>
    </xf>
    <xf numFmtId="169" fontId="7" fillId="0" borderId="117" xfId="0" applyNumberFormat="1" applyFont="1" applyBorder="1" applyAlignment="1" applyProtection="1">
      <alignment horizontal="left" vertical="center"/>
      <protection hidden="1"/>
    </xf>
    <xf numFmtId="0" fontId="69" fillId="17" borderId="117" xfId="0" applyFont="1" applyFill="1" applyBorder="1" applyAlignment="1" applyProtection="1">
      <alignment horizontal="left" vertical="center"/>
      <protection hidden="1"/>
    </xf>
    <xf numFmtId="0" fontId="69" fillId="17" borderId="116" xfId="0" applyFont="1" applyFill="1" applyBorder="1" applyAlignment="1" applyProtection="1">
      <alignment horizontal="left" vertical="center"/>
      <protection hidden="1"/>
    </xf>
    <xf numFmtId="0" fontId="69" fillId="17" borderId="118" xfId="0" applyFont="1" applyFill="1" applyBorder="1" applyAlignment="1" applyProtection="1">
      <alignment horizontal="left" vertical="center"/>
      <protection hidden="1"/>
    </xf>
    <xf numFmtId="0" fontId="82" fillId="17" borderId="327" xfId="0" applyFont="1" applyFill="1" applyBorder="1" applyAlignment="1" applyProtection="1">
      <alignment horizontal="center" vertical="center"/>
      <protection hidden="1"/>
    </xf>
    <xf numFmtId="0" fontId="82" fillId="17" borderId="328" xfId="0" applyFont="1" applyFill="1" applyBorder="1" applyAlignment="1" applyProtection="1">
      <alignment horizontal="center" vertical="center"/>
      <protection hidden="1"/>
    </xf>
    <xf numFmtId="0" fontId="82" fillId="17" borderId="330" xfId="0" applyFont="1" applyFill="1" applyBorder="1" applyAlignment="1" applyProtection="1">
      <alignment horizontal="center" vertical="center"/>
      <protection hidden="1"/>
    </xf>
    <xf numFmtId="0" fontId="82" fillId="17" borderId="331" xfId="0" applyFont="1" applyFill="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14" fontId="7" fillId="0" borderId="0" xfId="0" applyNumberFormat="1" applyFont="1" applyAlignment="1" applyProtection="1">
      <alignment horizontal="left" vertical="center"/>
      <protection hidden="1"/>
    </xf>
    <xf numFmtId="3" fontId="7" fillId="0" borderId="131" xfId="0" applyNumberFormat="1" applyFont="1" applyBorder="1" applyAlignment="1" applyProtection="1">
      <alignment horizontal="center" vertical="center"/>
      <protection hidden="1"/>
    </xf>
    <xf numFmtId="167" fontId="7" fillId="0" borderId="295" xfId="0" applyNumberFormat="1" applyFont="1" applyBorder="1" applyAlignment="1" applyProtection="1">
      <alignment horizontal="center" vertical="center"/>
      <protection hidden="1"/>
    </xf>
    <xf numFmtId="0" fontId="4" fillId="3" borderId="202" xfId="0" applyFont="1" applyFill="1" applyBorder="1" applyAlignment="1" applyProtection="1">
      <alignment horizontal="center" vertical="center"/>
      <protection hidden="1"/>
    </xf>
    <xf numFmtId="3" fontId="81" fillId="17" borderId="132" xfId="0" applyNumberFormat="1" applyFont="1" applyFill="1" applyBorder="1" applyAlignment="1" applyProtection="1">
      <alignment horizontal="center" vertical="center"/>
      <protection hidden="1"/>
    </xf>
    <xf numFmtId="1" fontId="82" fillId="17" borderId="131" xfId="0" applyNumberFormat="1" applyFont="1" applyFill="1" applyBorder="1" applyAlignment="1">
      <alignment horizontal="center" vertical="center"/>
    </xf>
    <xf numFmtId="1" fontId="82" fillId="17" borderId="131" xfId="0" applyNumberFormat="1" applyFont="1" applyFill="1" applyBorder="1" applyAlignment="1" applyProtection="1">
      <alignment horizontal="center" vertical="center"/>
      <protection hidden="1"/>
    </xf>
    <xf numFmtId="167" fontId="7" fillId="0" borderId="128" xfId="0" applyNumberFormat="1" applyFont="1" applyBorder="1" applyAlignment="1" applyProtection="1">
      <alignment horizontal="center" vertical="center"/>
      <protection hidden="1"/>
    </xf>
    <xf numFmtId="3" fontId="71" fillId="5" borderId="297" xfId="0" applyNumberFormat="1" applyFont="1" applyFill="1" applyBorder="1" applyAlignment="1" applyProtection="1">
      <alignment horizontal="center" vertical="center"/>
      <protection hidden="1"/>
    </xf>
    <xf numFmtId="3" fontId="81" fillId="17" borderId="132" xfId="0" applyNumberFormat="1" applyFont="1" applyFill="1" applyBorder="1" applyAlignment="1">
      <alignment horizontal="center" vertical="center"/>
    </xf>
    <xf numFmtId="0" fontId="71" fillId="0" borderId="114" xfId="0" applyFont="1" applyBorder="1" applyAlignment="1" applyProtection="1">
      <alignment horizontal="right" vertical="center"/>
      <protection hidden="1"/>
    </xf>
    <xf numFmtId="0" fontId="71" fillId="0" borderId="128" xfId="0" applyFont="1" applyBorder="1" applyAlignment="1" applyProtection="1">
      <alignment horizontal="right" vertical="center"/>
      <protection hidden="1"/>
    </xf>
    <xf numFmtId="0" fontId="4" fillId="0" borderId="0" xfId="0" applyFont="1" applyAlignment="1">
      <alignment horizontal="right" vertical="center"/>
    </xf>
    <xf numFmtId="0" fontId="87" fillId="17" borderId="263" xfId="0" applyFont="1" applyFill="1" applyBorder="1" applyAlignment="1">
      <alignment horizontal="center" vertical="center" wrapText="1"/>
    </xf>
    <xf numFmtId="0" fontId="81" fillId="17" borderId="181" xfId="0" applyFont="1" applyFill="1" applyBorder="1" applyAlignment="1">
      <alignment horizontal="center" vertical="center"/>
    </xf>
    <xf numFmtId="0" fontId="81" fillId="17" borderId="0" xfId="0" applyFont="1" applyFill="1" applyBorder="1" applyAlignment="1" applyProtection="1">
      <alignment horizontal="center"/>
      <protection hidden="1"/>
    </xf>
    <xf numFmtId="0" fontId="12" fillId="0" borderId="0" xfId="0" applyFont="1" applyAlignment="1">
      <alignment horizontal="center" vertical="center"/>
    </xf>
    <xf numFmtId="0" fontId="7" fillId="0" borderId="0" xfId="0" applyFont="1" applyAlignment="1">
      <alignment horizontal="left"/>
    </xf>
    <xf numFmtId="0" fontId="4" fillId="0" borderId="0" xfId="0" applyFont="1" applyAlignment="1">
      <alignment horizontal="right"/>
    </xf>
    <xf numFmtId="49" fontId="81" fillId="17" borderId="262" xfId="0" applyNumberFormat="1" applyFont="1" applyFill="1" applyBorder="1" applyAlignment="1">
      <alignment horizontal="center"/>
    </xf>
    <xf numFmtId="0" fontId="81" fillId="17" borderId="182" xfId="0" applyFont="1" applyFill="1" applyBorder="1" applyAlignment="1">
      <alignment horizontal="center" vertical="center"/>
    </xf>
    <xf numFmtId="167" fontId="7" fillId="0" borderId="245" xfId="0" applyNumberFormat="1" applyFont="1" applyBorder="1" applyAlignment="1" applyProtection="1">
      <alignment horizontal="center" vertical="center"/>
      <protection hidden="1"/>
    </xf>
    <xf numFmtId="167" fontId="7" fillId="0" borderId="250" xfId="0" applyNumberFormat="1" applyFont="1" applyBorder="1" applyAlignment="1" applyProtection="1">
      <alignment horizontal="center" vertical="center"/>
      <protection hidden="1"/>
    </xf>
    <xf numFmtId="0" fontId="11" fillId="0" borderId="214" xfId="0" applyFont="1" applyBorder="1" applyAlignment="1">
      <alignment horizontal="center" vertical="center"/>
    </xf>
    <xf numFmtId="0" fontId="11" fillId="0" borderId="115" xfId="0" applyFont="1" applyBorder="1" applyAlignment="1">
      <alignment horizontal="center" vertical="center"/>
    </xf>
    <xf numFmtId="0" fontId="4" fillId="0" borderId="244" xfId="0" applyFont="1" applyBorder="1" applyAlignment="1">
      <alignment horizontal="center"/>
    </xf>
    <xf numFmtId="0" fontId="4" fillId="0" borderId="220" xfId="0" applyFont="1" applyBorder="1" applyAlignment="1">
      <alignment horizontal="center"/>
    </xf>
    <xf numFmtId="0" fontId="4" fillId="0" borderId="264" xfId="0" applyFont="1" applyBorder="1" applyAlignment="1">
      <alignment horizontal="center"/>
    </xf>
    <xf numFmtId="0" fontId="4" fillId="0" borderId="198" xfId="0" applyFont="1" applyBorder="1" applyAlignment="1">
      <alignment horizontal="center"/>
    </xf>
    <xf numFmtId="0" fontId="4" fillId="0" borderId="180" xfId="0" applyFont="1" applyBorder="1" applyAlignment="1">
      <alignment horizontal="center"/>
    </xf>
    <xf numFmtId="0" fontId="81" fillId="17" borderId="117" xfId="0" applyFont="1" applyFill="1" applyBorder="1" applyAlignment="1">
      <alignment horizontal="center" vertical="center"/>
    </xf>
    <xf numFmtId="3" fontId="88" fillId="17" borderId="280" xfId="0" applyNumberFormat="1" applyFont="1" applyFill="1" applyBorder="1" applyAlignment="1" applyProtection="1">
      <alignment horizontal="center" vertical="center" wrapText="1"/>
      <protection hidden="1"/>
    </xf>
    <xf numFmtId="3" fontId="88" fillId="17" borderId="282" xfId="0" applyNumberFormat="1" applyFont="1" applyFill="1" applyBorder="1" applyAlignment="1" applyProtection="1">
      <alignment horizontal="center" vertical="center" wrapText="1"/>
      <protection hidden="1"/>
    </xf>
    <xf numFmtId="0" fontId="88" fillId="17" borderId="226" xfId="0" applyFont="1" applyFill="1" applyBorder="1" applyAlignment="1" applyProtection="1">
      <alignment horizontal="center" vertical="center" wrapText="1"/>
      <protection hidden="1"/>
    </xf>
    <xf numFmtId="0" fontId="88" fillId="17" borderId="227" xfId="0" applyFont="1" applyFill="1" applyBorder="1" applyAlignment="1" applyProtection="1">
      <alignment horizontal="center" vertical="center" wrapText="1"/>
      <protection hidden="1"/>
    </xf>
    <xf numFmtId="0" fontId="88" fillId="17" borderId="281" xfId="0" applyFont="1" applyFill="1" applyBorder="1" applyAlignment="1" applyProtection="1">
      <alignment horizontal="center" vertical="center" wrapText="1"/>
      <protection hidden="1"/>
    </xf>
    <xf numFmtId="0" fontId="88" fillId="17" borderId="288" xfId="0" applyFont="1" applyFill="1" applyBorder="1" applyAlignment="1" applyProtection="1">
      <alignment horizontal="center" vertical="center" wrapText="1"/>
      <protection hidden="1"/>
    </xf>
    <xf numFmtId="0" fontId="81" fillId="17" borderId="116" xfId="0" applyFont="1" applyFill="1" applyBorder="1" applyAlignment="1">
      <alignment horizontal="center" vertical="center"/>
    </xf>
    <xf numFmtId="0" fontId="81" fillId="17" borderId="132" xfId="0" applyFont="1" applyFill="1" applyBorder="1" applyAlignment="1">
      <alignment horizontal="center" vertical="center"/>
    </xf>
    <xf numFmtId="0" fontId="81" fillId="17" borderId="136" xfId="0" applyFont="1" applyFill="1" applyBorder="1" applyAlignment="1">
      <alignment horizontal="center" vertical="center"/>
    </xf>
    <xf numFmtId="0" fontId="81" fillId="17" borderId="290" xfId="0" applyFont="1" applyFill="1" applyBorder="1" applyAlignment="1" applyProtection="1">
      <alignment horizontal="center"/>
      <protection hidden="1"/>
    </xf>
    <xf numFmtId="0" fontId="81" fillId="17" borderId="228" xfId="0" applyFont="1" applyFill="1" applyBorder="1" applyAlignment="1" applyProtection="1">
      <alignment horizontal="center"/>
      <protection hidden="1"/>
    </xf>
    <xf numFmtId="0" fontId="81" fillId="17" borderId="291" xfId="0" applyFont="1" applyFill="1" applyBorder="1" applyAlignment="1" applyProtection="1">
      <alignment horizontal="center"/>
      <protection hidden="1"/>
    </xf>
    <xf numFmtId="0" fontId="81" fillId="17" borderId="290" xfId="0" applyFont="1" applyFill="1" applyBorder="1" applyAlignment="1">
      <alignment horizontal="center" vertical="center"/>
    </xf>
    <xf numFmtId="0" fontId="81" fillId="17" borderId="228" xfId="0" applyFont="1" applyFill="1" applyBorder="1" applyAlignment="1">
      <alignment horizontal="center" vertical="center"/>
    </xf>
    <xf numFmtId="0" fontId="81" fillId="17" borderId="291" xfId="0" applyFont="1" applyFill="1" applyBorder="1" applyAlignment="1">
      <alignment horizontal="center" vertical="center"/>
    </xf>
    <xf numFmtId="0" fontId="4" fillId="0" borderId="117" xfId="0" applyFont="1" applyBorder="1" applyAlignment="1" applyProtection="1">
      <alignment horizontal="left" vertical="center" wrapText="1"/>
      <protection hidden="1"/>
    </xf>
    <xf numFmtId="0" fontId="4" fillId="0" borderId="192" xfId="0" applyFont="1" applyBorder="1" applyAlignment="1" applyProtection="1">
      <alignment horizontal="left" vertical="center" wrapText="1"/>
      <protection hidden="1"/>
    </xf>
    <xf numFmtId="0" fontId="7" fillId="0" borderId="0" xfId="0" applyFont="1" applyAlignment="1" applyProtection="1">
      <alignment horizontal="left" vertical="center"/>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9" fillId="17" borderId="113" xfId="0" applyFont="1" applyFill="1" applyBorder="1" applyAlignment="1" applyProtection="1">
      <alignment horizontal="center" vertical="center" wrapText="1"/>
      <protection hidden="1"/>
    </xf>
    <xf numFmtId="0" fontId="69" fillId="17" borderId="127" xfId="0" applyFont="1" applyFill="1" applyBorder="1" applyAlignment="1" applyProtection="1">
      <alignment horizontal="center" vertical="center" wrapText="1"/>
      <protection hidden="1"/>
    </xf>
    <xf numFmtId="0" fontId="69" fillId="17" borderId="114" xfId="0" applyFont="1" applyFill="1" applyBorder="1" applyAlignment="1" applyProtection="1">
      <alignment horizontal="center" vertical="center" wrapText="1"/>
      <protection hidden="1"/>
    </xf>
    <xf numFmtId="0" fontId="69" fillId="17" borderId="139" xfId="0" applyFont="1" applyFill="1" applyBorder="1" applyAlignment="1" applyProtection="1">
      <alignment horizontal="center" vertical="center" wrapText="1"/>
      <protection hidden="1"/>
    </xf>
    <xf numFmtId="0" fontId="7" fillId="0" borderId="191" xfId="0" applyFont="1" applyBorder="1" applyAlignment="1" applyProtection="1">
      <alignment horizontal="left" vertical="center" wrapText="1"/>
      <protection hidden="1"/>
    </xf>
    <xf numFmtId="0" fontId="7" fillId="0" borderId="121" xfId="0" applyFont="1" applyBorder="1" applyAlignment="1" applyProtection="1">
      <alignment horizontal="left" vertical="center" wrapText="1"/>
      <protection hidden="1"/>
    </xf>
    <xf numFmtId="0" fontId="7" fillId="7" borderId="136" xfId="0" applyFont="1" applyFill="1" applyBorder="1" applyAlignment="1" applyProtection="1">
      <alignment horizontal="left" vertical="center" wrapText="1"/>
      <protection locked="0"/>
    </xf>
    <xf numFmtId="0" fontId="7" fillId="7" borderId="115" xfId="0" applyFont="1" applyFill="1" applyBorder="1" applyAlignment="1" applyProtection="1">
      <alignment horizontal="left" vertical="center" wrapText="1"/>
      <protection locked="0"/>
    </xf>
    <xf numFmtId="0" fontId="7" fillId="7" borderId="119" xfId="0" applyFont="1" applyFill="1" applyBorder="1" applyAlignment="1" applyProtection="1">
      <alignment horizontal="left" vertical="center" wrapText="1"/>
      <protection locked="0"/>
    </xf>
    <xf numFmtId="0" fontId="7" fillId="7" borderId="117" xfId="0" applyFont="1" applyFill="1" applyBorder="1" applyAlignment="1" applyProtection="1">
      <alignment horizontal="left" vertical="center" wrapText="1"/>
      <protection locked="0"/>
    </xf>
    <xf numFmtId="3" fontId="81" fillId="17" borderId="136" xfId="0" applyNumberFormat="1" applyFont="1" applyFill="1" applyBorder="1" applyAlignment="1" applyProtection="1">
      <alignment horizontal="center" vertical="center"/>
      <protection hidden="1"/>
    </xf>
    <xf numFmtId="1" fontId="82" fillId="17" borderId="119" xfId="0" applyNumberFormat="1" applyFont="1" applyFill="1" applyBorder="1" applyAlignment="1" applyProtection="1">
      <alignment horizontal="center" vertical="center"/>
      <protection hidden="1"/>
    </xf>
    <xf numFmtId="167" fontId="7" fillId="0" borderId="131" xfId="0" applyNumberFormat="1" applyFont="1" applyFill="1" applyBorder="1" applyAlignment="1" applyProtection="1">
      <alignment horizontal="center" vertical="center"/>
      <protection hidden="1"/>
    </xf>
    <xf numFmtId="0" fontId="11" fillId="3" borderId="12" xfId="0" applyFont="1" applyFill="1" applyBorder="1" applyAlignment="1">
      <alignment horizontal="center" vertical="center" wrapText="1"/>
    </xf>
    <xf numFmtId="0" fontId="0" fillId="3" borderId="27" xfId="0" applyFill="1" applyBorder="1" applyAlignment="1">
      <alignment horizontal="center" vertical="center" wrapText="1"/>
    </xf>
    <xf numFmtId="2" fontId="6" fillId="3" borderId="41" xfId="0" applyNumberFormat="1" applyFont="1" applyFill="1" applyBorder="1" applyAlignment="1">
      <alignment horizontal="center"/>
    </xf>
    <xf numFmtId="2" fontId="6" fillId="3" borderId="70" xfId="0" applyNumberFormat="1" applyFont="1" applyFill="1" applyBorder="1" applyAlignment="1">
      <alignment horizontal="center"/>
    </xf>
    <xf numFmtId="167" fontId="12" fillId="0" borderId="20" xfId="0" applyNumberFormat="1" applyFont="1" applyBorder="1" applyAlignment="1">
      <alignment horizontal="center"/>
    </xf>
    <xf numFmtId="167" fontId="12" fillId="0" borderId="44" xfId="0" applyNumberFormat="1" applyFont="1" applyBorder="1" applyAlignment="1">
      <alignment horizontal="center"/>
    </xf>
    <xf numFmtId="0" fontId="6" fillId="3" borderId="12"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3" fontId="12" fillId="0" borderId="23" xfId="0" applyNumberFormat="1" applyFont="1" applyBorder="1" applyAlignment="1" applyProtection="1">
      <alignment horizontal="center" vertical="center"/>
      <protection hidden="1"/>
    </xf>
    <xf numFmtId="3" fontId="12" fillId="0" borderId="60" xfId="0" applyNumberFormat="1" applyFont="1" applyBorder="1" applyAlignment="1" applyProtection="1">
      <alignment horizontal="center" vertical="center"/>
      <protection hidden="1"/>
    </xf>
    <xf numFmtId="0" fontId="6" fillId="3" borderId="4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70" xfId="0" applyFont="1" applyFill="1" applyBorder="1" applyAlignment="1">
      <alignment horizontal="center" vertical="center"/>
    </xf>
    <xf numFmtId="3" fontId="6" fillId="3" borderId="12" xfId="0" applyNumberFormat="1" applyFont="1" applyFill="1" applyBorder="1" applyAlignment="1">
      <alignment horizontal="center"/>
    </xf>
    <xf numFmtId="3" fontId="6" fillId="3" borderId="2" xfId="0" applyNumberFormat="1" applyFont="1" applyFill="1" applyBorder="1" applyAlignment="1">
      <alignment horizontal="center"/>
    </xf>
    <xf numFmtId="3" fontId="6" fillId="3" borderId="1" xfId="0" applyNumberFormat="1" applyFont="1" applyFill="1" applyBorder="1" applyAlignment="1">
      <alignment horizontal="center"/>
    </xf>
    <xf numFmtId="0" fontId="5" fillId="0" borderId="0" xfId="0" applyFont="1" applyBorder="1" applyAlignment="1">
      <alignment horizont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26" xfId="0" applyFont="1" applyFill="1" applyBorder="1" applyAlignment="1">
      <alignment horizontal="center" vertical="center"/>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1" fontId="6" fillId="0" borderId="0" xfId="0" applyNumberFormat="1" applyFont="1" applyAlignment="1" applyProtection="1">
      <alignment horizontal="right"/>
      <protection hidden="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Fill="1" applyBorder="1" applyAlignment="1">
      <alignment horizontal="center"/>
    </xf>
    <xf numFmtId="0" fontId="6" fillId="3" borderId="10" xfId="0" applyFont="1" applyFill="1" applyBorder="1" applyAlignment="1">
      <alignment horizontal="center"/>
    </xf>
    <xf numFmtId="0" fontId="6" fillId="3" borderId="68" xfId="0" applyFont="1" applyFill="1" applyBorder="1" applyAlignment="1">
      <alignment horizontal="center"/>
    </xf>
    <xf numFmtId="167" fontId="0" fillId="0" borderId="0" xfId="0" applyNumberFormat="1" applyFill="1" applyBorder="1"/>
    <xf numFmtId="0" fontId="0" fillId="0" borderId="0" xfId="0" applyFill="1" applyBorder="1"/>
    <xf numFmtId="167" fontId="0" fillId="0" borderId="0" xfId="0" applyNumberFormat="1" applyBorder="1"/>
    <xf numFmtId="0" fontId="0" fillId="0" borderId="0" xfId="0" applyBorder="1"/>
  </cellXfs>
  <cellStyles count="4">
    <cellStyle name="Hyperlinkki" xfId="3" builtinId="8"/>
    <cellStyle name="Normaali" xfId="0" builtinId="0"/>
    <cellStyle name="Normaali 13" xfId="1" xr:uid="{00000000-0005-0000-0000-000002000000}"/>
    <cellStyle name="Prosenttia" xfId="2" builtinId="5"/>
  </cellStyles>
  <dxfs count="43">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9" defaultPivotStyle="PivotStyleLight16"/>
  <colors>
    <mruColors>
      <color rgb="FFF79646"/>
      <color rgb="FFFFFF66"/>
      <color rgb="FFFFFFCC"/>
      <color rgb="FF0152A1"/>
      <color rgb="FF33CC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3268731086842309"/>
        </c:manualLayout>
      </c:layout>
      <c:barChart>
        <c:barDir val="col"/>
        <c:grouping val="clustered"/>
        <c:varyColors val="0"/>
        <c:ser>
          <c:idx val="0"/>
          <c:order val="0"/>
          <c:tx>
            <c:strRef>
              <c:f>'10. T5 KASSABUDGET '!$C$59</c:f>
              <c:strCache>
                <c:ptCount val="1"/>
                <c:pt idx="0">
                  <c:v> INTÄKTER - UTGIFTER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T5 KASSABUDGET '!$G$14:$R$14</c:f>
              <c:strCache>
                <c:ptCount val="12"/>
                <c:pt idx="0">
                  <c:v>jan.23</c:v>
                </c:pt>
                <c:pt idx="1">
                  <c:v>feb.23</c:v>
                </c:pt>
                <c:pt idx="2">
                  <c:v>mars.23</c:v>
                </c:pt>
                <c:pt idx="3">
                  <c:v>april.23</c:v>
                </c:pt>
                <c:pt idx="4">
                  <c:v>mai.23</c:v>
                </c:pt>
                <c:pt idx="5">
                  <c:v>juni.23</c:v>
                </c:pt>
                <c:pt idx="6">
                  <c:v>juli.23</c:v>
                </c:pt>
                <c:pt idx="7">
                  <c:v>aug.23</c:v>
                </c:pt>
                <c:pt idx="8">
                  <c:v>sep.23</c:v>
                </c:pt>
                <c:pt idx="9">
                  <c:v>okt.23</c:v>
                </c:pt>
                <c:pt idx="10">
                  <c:v>nov.23</c:v>
                </c:pt>
                <c:pt idx="11">
                  <c:v>dec.23</c:v>
                </c:pt>
              </c:strCache>
            </c:strRef>
          </c:cat>
          <c:val>
            <c:numRef>
              <c:f>'10. T5 KASSABUDGET '!$G$59:$R$59</c:f>
              <c:numCache>
                <c:formatCode>#,##0</c:formatCode>
                <c:ptCount val="12"/>
                <c:pt idx="0">
                  <c:v>229931.07172993649</c:v>
                </c:pt>
                <c:pt idx="1">
                  <c:v>4471.6928632698127</c:v>
                </c:pt>
                <c:pt idx="2">
                  <c:v>1493.7118574756569</c:v>
                </c:pt>
                <c:pt idx="3">
                  <c:v>1493.7118574756569</c:v>
                </c:pt>
                <c:pt idx="4">
                  <c:v>1493.7118574756569</c:v>
                </c:pt>
                <c:pt idx="5">
                  <c:v>-6974.2881425243431</c:v>
                </c:pt>
                <c:pt idx="6">
                  <c:v>1493.7118574756569</c:v>
                </c:pt>
                <c:pt idx="7">
                  <c:v>1493.7118574756569</c:v>
                </c:pt>
                <c:pt idx="8">
                  <c:v>1493.7118574756569</c:v>
                </c:pt>
                <c:pt idx="9">
                  <c:v>1493.7118574756569</c:v>
                </c:pt>
                <c:pt idx="10">
                  <c:v>1493.7118574756569</c:v>
                </c:pt>
                <c:pt idx="11">
                  <c:v>-6319.1696891910105</c:v>
                </c:pt>
              </c:numCache>
            </c:numRef>
          </c:val>
          <c:extLst>
            <c:ext xmlns:c16="http://schemas.microsoft.com/office/drawing/2014/chart" uri="{C3380CC4-5D6E-409C-BE32-E72D297353CC}">
              <c16:uniqueId val="{00000000-168C-45CA-8B77-28A141CA2FB3}"/>
            </c:ext>
          </c:extLst>
        </c:ser>
        <c:ser>
          <c:idx val="1"/>
          <c:order val="1"/>
          <c:tx>
            <c:strRef>
              <c:f>'10. T5 KASSABUDGET '!$C$60</c:f>
              <c:strCache>
                <c:ptCount val="1"/>
                <c:pt idx="0">
                  <c:v> KUMALATIVT KASSA I SLUTET AV MÅNADEN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T5 KASSABUDGET '!$G$14:$R$14</c:f>
              <c:strCache>
                <c:ptCount val="12"/>
                <c:pt idx="0">
                  <c:v>jan.23</c:v>
                </c:pt>
                <c:pt idx="1">
                  <c:v>feb.23</c:v>
                </c:pt>
                <c:pt idx="2">
                  <c:v>mars.23</c:v>
                </c:pt>
                <c:pt idx="3">
                  <c:v>april.23</c:v>
                </c:pt>
                <c:pt idx="4">
                  <c:v>mai.23</c:v>
                </c:pt>
                <c:pt idx="5">
                  <c:v>juni.23</c:v>
                </c:pt>
                <c:pt idx="6">
                  <c:v>juli.23</c:v>
                </c:pt>
                <c:pt idx="7">
                  <c:v>aug.23</c:v>
                </c:pt>
                <c:pt idx="8">
                  <c:v>sep.23</c:v>
                </c:pt>
                <c:pt idx="9">
                  <c:v>okt.23</c:v>
                </c:pt>
                <c:pt idx="10">
                  <c:v>nov.23</c:v>
                </c:pt>
                <c:pt idx="11">
                  <c:v>dec.23</c:v>
                </c:pt>
              </c:strCache>
            </c:strRef>
          </c:cat>
          <c:val>
            <c:numRef>
              <c:f>'10. T5 KASSABUDGET '!$G$60:$R$60</c:f>
              <c:numCache>
                <c:formatCode>#,##0</c:formatCode>
                <c:ptCount val="12"/>
                <c:pt idx="0">
                  <c:v>237587.07172993649</c:v>
                </c:pt>
                <c:pt idx="1">
                  <c:v>242058.76459320632</c:v>
                </c:pt>
                <c:pt idx="2">
                  <c:v>243552.47645068198</c:v>
                </c:pt>
                <c:pt idx="3">
                  <c:v>245046.18830815764</c:v>
                </c:pt>
                <c:pt idx="4">
                  <c:v>246539.9001656333</c:v>
                </c:pt>
                <c:pt idx="5">
                  <c:v>239565.61202310896</c:v>
                </c:pt>
                <c:pt idx="6">
                  <c:v>241059.32388058462</c:v>
                </c:pt>
                <c:pt idx="7">
                  <c:v>242553.03573806028</c:v>
                </c:pt>
                <c:pt idx="8">
                  <c:v>244046.74759553594</c:v>
                </c:pt>
                <c:pt idx="9">
                  <c:v>245540.4594530116</c:v>
                </c:pt>
                <c:pt idx="10">
                  <c:v>247034.17131048726</c:v>
                </c:pt>
                <c:pt idx="11">
                  <c:v>240715.00162129625</c:v>
                </c:pt>
              </c:numCache>
            </c:numRef>
          </c:val>
          <c:extLst>
            <c:ext xmlns:c16="http://schemas.microsoft.com/office/drawing/2014/chart" uri="{C3380CC4-5D6E-409C-BE32-E72D297353CC}">
              <c16:uniqueId val="{00000001-168C-45CA-8B77-28A141CA2FB3}"/>
            </c:ext>
          </c:extLst>
        </c:ser>
        <c:dLbls>
          <c:dLblPos val="outEnd"/>
          <c:showLegendKey val="0"/>
          <c:showVal val="1"/>
          <c:showCatName val="0"/>
          <c:showSerName val="0"/>
          <c:showPercent val="0"/>
          <c:showBubbleSize val="0"/>
        </c:dLbls>
        <c:gapWidth val="100"/>
        <c:overlap val="-24"/>
        <c:axId val="-688741008"/>
        <c:axId val="-612282544"/>
      </c:barChart>
      <c:catAx>
        <c:axId val="-688741008"/>
        <c:scaling>
          <c:orientation val="minMax"/>
        </c:scaling>
        <c:delete val="0"/>
        <c:axPos val="b"/>
        <c:numFmt formatCode="mmm\-yy" sourceLinked="0"/>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612282544"/>
        <c:crosses val="autoZero"/>
        <c:auto val="1"/>
        <c:lblAlgn val="ctr"/>
        <c:lblOffset val="100"/>
        <c:noMultiLvlLbl val="1"/>
      </c:catAx>
      <c:valAx>
        <c:axId val="-612282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88741008"/>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ayout>
        <c:manualLayout>
          <c:xMode val="edge"/>
          <c:yMode val="edge"/>
          <c:x val="0.25686789151356082"/>
          <c:y val="0.94962275139761287"/>
          <c:w val="0.46997414877202659"/>
          <c:h val="4.5371756080358226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AFFÄRSVERKSAMHETENS VOLYM 1000 €</a:t>
            </a:r>
          </a:p>
        </c:rich>
      </c:tx>
      <c:layout>
        <c:manualLayout>
          <c:xMode val="edge"/>
          <c:yMode val="edge"/>
          <c:x val="0.27945957397221211"/>
          <c:y val="3.240763950945179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4.3526964915832474E-2"/>
          <c:y val="0.20844854276414612"/>
          <c:w val="0.9454103014871279"/>
          <c:h val="0.59236840186643336"/>
        </c:manualLayout>
      </c:layout>
      <c:barChart>
        <c:barDir val="col"/>
        <c:grouping val="clustered"/>
        <c:varyColors val="0"/>
        <c:ser>
          <c:idx val="0"/>
          <c:order val="0"/>
          <c:tx>
            <c:strRef>
              <c:f>Kaavio!$B$3</c:f>
              <c:strCache>
                <c:ptCount val="1"/>
                <c:pt idx="0">
                  <c:v>Omsättning</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7.2778085063025824E-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mn-cs"/>
                    </a:defRPr>
                  </a:pPr>
                  <a:endParaRPr lang="fi-FI"/>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55-49B0-ADE0-4503D8685ECC}"/>
                </c:ext>
              </c:extLst>
            </c:dLbl>
            <c:dLbl>
              <c:idx val="1"/>
              <c:layout>
                <c:manualLayout>
                  <c:x val="-2.0592710083342102E-3"/>
                  <c:y val="-7.2778085063025824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55-49B0-ADE0-4503D8685ECC}"/>
                </c:ext>
              </c:extLst>
            </c:dLbl>
            <c:dLbl>
              <c:idx val="2"/>
              <c:layout>
                <c:manualLayout>
                  <c:x val="-7.5505731390268871E-17"/>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55-49B0-ADE0-4503D8685ECC}"/>
                </c:ext>
              </c:extLst>
            </c:dLbl>
            <c:dLbl>
              <c:idx val="3"/>
              <c:layout>
                <c:manualLayout>
                  <c:x val="0"/>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55-49B0-ADE0-4503D8685ECC}"/>
                </c:ext>
              </c:extLst>
            </c:dLbl>
            <c:dLbl>
              <c:idx val="4"/>
              <c:layout>
                <c:manualLayout>
                  <c:x val="-1.5101146278053774E-16"/>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55-49B0-ADE0-4503D8685ECC}"/>
                </c:ext>
              </c:extLst>
            </c:dLbl>
            <c:dLbl>
              <c:idx val="5"/>
              <c:layout>
                <c:manualLayout>
                  <c:x val="-1.5101146278053774E-16"/>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555-49B0-ADE0-4503D8685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Kaavio!$C$3:$H$3</c:f>
              <c:numCache>
                <c:formatCode>#,##0</c:formatCode>
                <c:ptCount val="6"/>
                <c:pt idx="0">
                  <c:v>0</c:v>
                </c:pt>
                <c:pt idx="1">
                  <c:v>175.886</c:v>
                </c:pt>
                <c:pt idx="2">
                  <c:v>192.35</c:v>
                </c:pt>
                <c:pt idx="3">
                  <c:v>219.35291999999998</c:v>
                </c:pt>
                <c:pt idx="4">
                  <c:v>258.73759649999994</c:v>
                </c:pt>
                <c:pt idx="5">
                  <c:v>266.49972439500004</c:v>
                </c:pt>
              </c:numCache>
            </c:numRef>
          </c:val>
          <c:extLst>
            <c:ext xmlns:c16="http://schemas.microsoft.com/office/drawing/2014/chart" uri="{C3380CC4-5D6E-409C-BE32-E72D297353CC}">
              <c16:uniqueId val="{00000000-D42C-4845-828E-FD11C392E02C}"/>
            </c:ext>
          </c:extLst>
        </c:ser>
        <c:ser>
          <c:idx val="1"/>
          <c:order val="1"/>
          <c:tx>
            <c:strRef>
              <c:f>Kaavio!$B$4</c:f>
              <c:strCache>
                <c:ptCount val="1"/>
                <c:pt idx="0">
                  <c:v>Slutsumma av balansen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2.0592710083342102E-3"/>
                  <c:y val="-7.2778085063025824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55-49B0-ADE0-4503D8685ECC}"/>
                </c:ext>
              </c:extLst>
            </c:dLbl>
            <c:dLbl>
              <c:idx val="1"/>
              <c:layout>
                <c:manualLayout>
                  <c:x val="0"/>
                  <c:y val="4.7918623375707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55-49B0-ADE0-4503D8685ECC}"/>
                </c:ext>
              </c:extLst>
            </c:dLbl>
            <c:dLbl>
              <c:idx val="2"/>
              <c:layout>
                <c:manualLayout>
                  <c:x val="0"/>
                  <c:y val="-7.2778085063025824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55-49B0-ADE0-4503D8685ECC}"/>
                </c:ext>
              </c:extLst>
            </c:dLbl>
            <c:dLbl>
              <c:idx val="3"/>
              <c:layout>
                <c:manualLayout>
                  <c:x val="-2.0592710083342102E-3"/>
                  <c:y val="4.7918623375707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55-49B0-ADE0-4503D8685ECC}"/>
                </c:ext>
              </c:extLst>
            </c:dLbl>
            <c:dLbl>
              <c:idx val="4"/>
              <c:layout>
                <c:manualLayout>
                  <c:x val="0"/>
                  <c:y val="-7.2778085063025824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55-49B0-ADE0-4503D8685ECC}"/>
                </c:ext>
              </c:extLst>
            </c:dLbl>
            <c:dLbl>
              <c:idx val="5"/>
              <c:layout>
                <c:manualLayout>
                  <c:x val="0"/>
                  <c:y val="4.7918623375707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555-49B0-ADE0-4503D8685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Kaavio!$C$4:$H$4</c:f>
              <c:numCache>
                <c:formatCode>#,##0</c:formatCode>
                <c:ptCount val="6"/>
                <c:pt idx="0">
                  <c:v>0</c:v>
                </c:pt>
                <c:pt idx="1">
                  <c:v>21.927</c:v>
                </c:pt>
                <c:pt idx="2">
                  <c:v>230.53202033268596</c:v>
                </c:pt>
                <c:pt idx="3">
                  <c:v>227.75264475812645</c:v>
                </c:pt>
                <c:pt idx="4">
                  <c:v>252.98699275409234</c:v>
                </c:pt>
                <c:pt idx="5">
                  <c:v>278.645693516292</c:v>
                </c:pt>
              </c:numCache>
            </c:numRef>
          </c:val>
          <c:extLst>
            <c:ext xmlns:c16="http://schemas.microsoft.com/office/drawing/2014/chart" uri="{C3380CC4-5D6E-409C-BE32-E72D297353CC}">
              <c16:uniqueId val="{00000001-D42C-4845-828E-FD11C392E02C}"/>
            </c:ext>
          </c:extLst>
        </c:ser>
        <c:ser>
          <c:idx val="2"/>
          <c:order val="2"/>
          <c:tx>
            <c:strRef>
              <c:f>Kaavio!$B$5</c:f>
              <c:strCache>
                <c:ptCount val="1"/>
                <c:pt idx="0">
                  <c:v>Investerad kapital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2.0592710083342292E-3"/>
                  <c:y val="-7.2778085063025824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55-49B0-ADE0-4503D8685ECC}"/>
                </c:ext>
              </c:extLst>
            </c:dLbl>
            <c:dLbl>
              <c:idx val="1"/>
              <c:layout>
                <c:manualLayout>
                  <c:x val="-3.7752865695134436E-17"/>
                  <c:y val="4.7918623375707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55-49B0-ADE0-4503D8685ECC}"/>
                </c:ext>
              </c:extLst>
            </c:dLbl>
            <c:dLbl>
              <c:idx val="2"/>
              <c:layout>
                <c:manualLayout>
                  <c:x val="-2.0592710083342102E-3"/>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55-49B0-ADE0-4503D8685ECC}"/>
                </c:ext>
              </c:extLst>
            </c:dLbl>
            <c:dLbl>
              <c:idx val="3"/>
              <c:layout>
                <c:manualLayout>
                  <c:x val="0"/>
                  <c:y val="4.7918623375707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55-49B0-ADE0-4503D8685ECC}"/>
                </c:ext>
              </c:extLst>
            </c:dLbl>
            <c:dLbl>
              <c:idx val="4"/>
              <c:layout>
                <c:manualLayout>
                  <c:x val="2.0592710083342102E-3"/>
                  <c:y val="9.65650276020459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555-49B0-ADE0-4503D8685ECC}"/>
                </c:ext>
              </c:extLst>
            </c:dLbl>
            <c:dLbl>
              <c:idx val="5"/>
              <c:layout>
                <c:manualLayout>
                  <c:x val="-1.5101146278053774E-16"/>
                  <c:y val="4.79186233757080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555-49B0-ADE0-4503D8685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Kaavio!$C$5:$H$5</c:f>
              <c:numCache>
                <c:formatCode>#,##0</c:formatCode>
                <c:ptCount val="6"/>
                <c:pt idx="0">
                  <c:v>0</c:v>
                </c:pt>
                <c:pt idx="1">
                  <c:v>9.2245000000000008</c:v>
                </c:pt>
                <c:pt idx="2">
                  <c:v>116.75317164485394</c:v>
                </c:pt>
                <c:pt idx="3">
                  <c:v>213.56725887390215</c:v>
                </c:pt>
                <c:pt idx="4">
                  <c:v>224.41513031750259</c:v>
                </c:pt>
                <c:pt idx="5">
                  <c:v>249.34129799574467</c:v>
                </c:pt>
              </c:numCache>
            </c:numRef>
          </c:val>
          <c:extLst>
            <c:ext xmlns:c16="http://schemas.microsoft.com/office/drawing/2014/chart" uri="{C3380CC4-5D6E-409C-BE32-E72D297353CC}">
              <c16:uniqueId val="{00000002-D42C-4845-828E-FD11C392E02C}"/>
            </c:ext>
          </c:extLst>
        </c:ser>
        <c:dLbls>
          <c:dLblPos val="inEnd"/>
          <c:showLegendKey val="0"/>
          <c:showVal val="1"/>
          <c:showCatName val="0"/>
          <c:showSerName val="0"/>
          <c:showPercent val="0"/>
          <c:showBubbleSize val="0"/>
        </c:dLbls>
        <c:gapWidth val="100"/>
        <c:overlap val="-24"/>
        <c:axId val="1772874063"/>
        <c:axId val="1772875311"/>
      </c:barChart>
      <c:catAx>
        <c:axId val="177287406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72875311"/>
        <c:crosses val="autoZero"/>
        <c:auto val="1"/>
        <c:lblAlgn val="ctr"/>
        <c:lblOffset val="100"/>
        <c:noMultiLvlLbl val="0"/>
      </c:catAx>
      <c:valAx>
        <c:axId val="1772875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72874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NETTOFÖRMÖGENHET 1000 €</a:t>
            </a:r>
          </a:p>
        </c:rich>
      </c:tx>
      <c:layout>
        <c:manualLayout>
          <c:xMode val="edge"/>
          <c:yMode val="edge"/>
          <c:x val="0.3361517630480616"/>
          <c:y val="3.24074400980239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8022837358728346E-2"/>
          <c:y val="0.1888796928463998"/>
          <c:w val="0.9380581427502177"/>
          <c:h val="0.63769374744715557"/>
        </c:manualLayout>
      </c:layout>
      <c:barChart>
        <c:barDir val="col"/>
        <c:grouping val="clustered"/>
        <c:varyColors val="0"/>
        <c:ser>
          <c:idx val="0"/>
          <c:order val="0"/>
          <c:tx>
            <c:strRef>
              <c:f>Kaavio!$B$51</c:f>
              <c:strCache>
                <c:ptCount val="1"/>
                <c:pt idx="0">
                  <c:v> Bolagstillgångar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7A-4508-BECF-426482B530AB}"/>
                </c:ext>
              </c:extLst>
            </c:dLbl>
            <c:dLbl>
              <c:idx val="1"/>
              <c:layout>
                <c:manualLayout>
                  <c:x val="-2.0480960689295601E-3"/>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7A-4508-BECF-426482B530AB}"/>
                </c:ext>
              </c:extLst>
            </c:dLbl>
            <c:dLbl>
              <c:idx val="2"/>
              <c:layout>
                <c:manualLayout>
                  <c:x val="-7.5095988345484981E-17"/>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7A-4508-BECF-426482B530AB}"/>
                </c:ext>
              </c:extLst>
            </c:dLbl>
            <c:dLbl>
              <c:idx val="3"/>
              <c:layout>
                <c:manualLayout>
                  <c:x val="-7.5095988345484981E-17"/>
                  <c:y val="4.48239290269875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7A-4508-BECF-426482B530AB}"/>
                </c:ext>
              </c:extLst>
            </c:dLbl>
            <c:dLbl>
              <c:idx val="4"/>
              <c:layout>
                <c:manualLayout>
                  <c:x val="0"/>
                  <c:y val="4.48239290269875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7A-4508-BECF-426482B530AB}"/>
                </c:ext>
              </c:extLst>
            </c:dLbl>
            <c:dLbl>
              <c:idx val="5"/>
              <c:layout>
                <c:manualLayout>
                  <c:x val="-1.5019197669096996E-16"/>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7A-4508-BECF-426482B530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Kaavio!$C$50:$H$50</c:f>
              <c:numCache>
                <c:formatCode>0</c:formatCode>
                <c:ptCount val="6"/>
                <c:pt idx="0">
                  <c:v>2021</c:v>
                </c:pt>
                <c:pt idx="1">
                  <c:v>2022</c:v>
                </c:pt>
                <c:pt idx="2">
                  <c:v>2023</c:v>
                </c:pt>
                <c:pt idx="3">
                  <c:v>2024</c:v>
                </c:pt>
                <c:pt idx="4">
                  <c:v>2025</c:v>
                </c:pt>
                <c:pt idx="5">
                  <c:v>2026</c:v>
                </c:pt>
              </c:numCache>
            </c:numRef>
          </c:cat>
          <c:val>
            <c:numRef>
              <c:f>Kaavio!$C$51:$H$51</c:f>
              <c:numCache>
                <c:formatCode>#,##0</c:formatCode>
                <c:ptCount val="6"/>
                <c:pt idx="0">
                  <c:v>0</c:v>
                </c:pt>
                <c:pt idx="1">
                  <c:v>21.927</c:v>
                </c:pt>
                <c:pt idx="2">
                  <c:v>230.53202033268596</c:v>
                </c:pt>
                <c:pt idx="3">
                  <c:v>227.75264475812645</c:v>
                </c:pt>
                <c:pt idx="4">
                  <c:v>252.98699275409234</c:v>
                </c:pt>
                <c:pt idx="5">
                  <c:v>278.645693516292</c:v>
                </c:pt>
              </c:numCache>
            </c:numRef>
          </c:val>
          <c:extLst>
            <c:ext xmlns:c16="http://schemas.microsoft.com/office/drawing/2014/chart" uri="{C3380CC4-5D6E-409C-BE32-E72D297353CC}">
              <c16:uniqueId val="{00000000-B9AF-4F45-83BD-C68A229D95CE}"/>
            </c:ext>
          </c:extLst>
        </c:ser>
        <c:ser>
          <c:idx val="1"/>
          <c:order val="1"/>
          <c:tx>
            <c:strRef>
              <c:f>Kaavio!$B$52</c:f>
              <c:strCache>
                <c:ptCount val="1"/>
                <c:pt idx="0">
                  <c:v> Skulder</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9.03286371519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7A-4508-BECF-426482B530AB}"/>
                </c:ext>
              </c:extLst>
            </c:dLbl>
            <c:dLbl>
              <c:idx val="1"/>
              <c:layout>
                <c:manualLayout>
                  <c:x val="-2.35462769628051E-3"/>
                  <c:y val="4.69687493195519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AF-4F45-83BD-C68A229D95CE}"/>
                </c:ext>
              </c:extLst>
            </c:dLbl>
            <c:dLbl>
              <c:idx val="2"/>
              <c:layout>
                <c:manualLayout>
                  <c:x val="0"/>
                  <c:y val="4.69649951232990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AF-4F45-83BD-C68A229D95CE}"/>
                </c:ext>
              </c:extLst>
            </c:dLbl>
            <c:dLbl>
              <c:idx val="3"/>
              <c:layout>
                <c:manualLayout>
                  <c:x val="-2.3546276962804671E-3"/>
                  <c:y val="9.46432875346427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AF-4F45-83BD-C68A229D95CE}"/>
                </c:ext>
              </c:extLst>
            </c:dLbl>
            <c:dLbl>
              <c:idx val="4"/>
              <c:layout>
                <c:manualLayout>
                  <c:x val="-8.6335351510269187E-17"/>
                  <c:y val="4.6964995123299066E-3"/>
                </c:manualLayout>
              </c:layout>
              <c:tx>
                <c:rich>
                  <a:bodyPr/>
                  <a:lstStyle/>
                  <a:p>
                    <a:fld id="{3D3A1307-2900-46F6-8F60-EE177A1AB3D2}" type="VALUE">
                      <a:rPr lang="en-US" b="1"/>
                      <a:pPr/>
                      <a:t>[ARVO]</a:t>
                    </a:fld>
                    <a:endParaRPr lang="fi-FI"/>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9AF-4F45-83BD-C68A229D95CE}"/>
                </c:ext>
              </c:extLst>
            </c:dLbl>
            <c:dLbl>
              <c:idx val="5"/>
              <c:layout>
                <c:manualLayout>
                  <c:x val="2.3546276962804671E-3"/>
                  <c:y val="4.69649951232999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AF-4F45-83BD-C68A229D95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Kaavio!$C$50:$H$50</c:f>
              <c:numCache>
                <c:formatCode>0</c:formatCode>
                <c:ptCount val="6"/>
                <c:pt idx="0">
                  <c:v>2021</c:v>
                </c:pt>
                <c:pt idx="1">
                  <c:v>2022</c:v>
                </c:pt>
                <c:pt idx="2">
                  <c:v>2023</c:v>
                </c:pt>
                <c:pt idx="3">
                  <c:v>2024</c:v>
                </c:pt>
                <c:pt idx="4">
                  <c:v>2025</c:v>
                </c:pt>
                <c:pt idx="5">
                  <c:v>2026</c:v>
                </c:pt>
              </c:numCache>
            </c:numRef>
          </c:cat>
          <c:val>
            <c:numRef>
              <c:f>Kaavio!$C$52:$H$52</c:f>
              <c:numCache>
                <c:formatCode>#,##0</c:formatCode>
                <c:ptCount val="6"/>
                <c:pt idx="0">
                  <c:v>0</c:v>
                </c:pt>
                <c:pt idx="1">
                  <c:v>-13.159000000000001</c:v>
                </c:pt>
                <c:pt idx="2">
                  <c:v>-238.21967704297808</c:v>
                </c:pt>
                <c:pt idx="3">
                  <c:v>-213.00547030003</c:v>
                </c:pt>
                <c:pt idx="4">
                  <c:v>-188.89390657718357</c:v>
                </c:pt>
                <c:pt idx="5">
                  <c:v>-164.70618370171138</c:v>
                </c:pt>
              </c:numCache>
            </c:numRef>
          </c:val>
          <c:extLst>
            <c:ext xmlns:c16="http://schemas.microsoft.com/office/drawing/2014/chart" uri="{C3380CC4-5D6E-409C-BE32-E72D297353CC}">
              <c16:uniqueId val="{00000006-B9AF-4F45-83BD-C68A229D95CE}"/>
            </c:ext>
          </c:extLst>
        </c:ser>
        <c:ser>
          <c:idx val="2"/>
          <c:order val="2"/>
          <c:tx>
            <c:strRef>
              <c:f>Kaavio!$B$53</c:f>
              <c:strCache>
                <c:ptCount val="1"/>
                <c:pt idx="0">
                  <c:v> Nettoförmögenhet</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8773997086371245E-17"/>
                  <c:y val="-6.8077909793186472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7A-4508-BECF-426482B530AB}"/>
                </c:ext>
              </c:extLst>
            </c:dLbl>
            <c:dLbl>
              <c:idx val="1"/>
              <c:layout>
                <c:manualLayout>
                  <c:x val="0"/>
                  <c:y val="-6.8077909793228187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7A-4508-BECF-426482B530AB}"/>
                </c:ext>
              </c:extLst>
            </c:dLbl>
            <c:dLbl>
              <c:idx val="2"/>
              <c:layout>
                <c:manualLayout>
                  <c:x val="-2.0480960689296351E-3"/>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7A-4508-BECF-426482B530AB}"/>
                </c:ext>
              </c:extLst>
            </c:dLbl>
            <c:dLbl>
              <c:idx val="3"/>
              <c:layout>
                <c:manualLayout>
                  <c:x val="0"/>
                  <c:y val="4.48239290269875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7A-4508-BECF-426482B530AB}"/>
                </c:ext>
              </c:extLst>
            </c:dLbl>
            <c:dLbl>
              <c:idx val="4"/>
              <c:layout>
                <c:manualLayout>
                  <c:x val="-1.5019197669096996E-16"/>
                  <c:y val="4.48239290269875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A7A-4508-BECF-426482B530AB}"/>
                </c:ext>
              </c:extLst>
            </c:dLbl>
            <c:dLbl>
              <c:idx val="5"/>
              <c:layout>
                <c:manualLayout>
                  <c:x val="-2.0480960689295601E-3"/>
                  <c:y val="4.482392902698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A7A-4508-BECF-426482B530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Kaavio!$C$50:$H$50</c:f>
              <c:numCache>
                <c:formatCode>0</c:formatCode>
                <c:ptCount val="6"/>
                <c:pt idx="0">
                  <c:v>2021</c:v>
                </c:pt>
                <c:pt idx="1">
                  <c:v>2022</c:v>
                </c:pt>
                <c:pt idx="2">
                  <c:v>2023</c:v>
                </c:pt>
                <c:pt idx="3">
                  <c:v>2024</c:v>
                </c:pt>
                <c:pt idx="4">
                  <c:v>2025</c:v>
                </c:pt>
                <c:pt idx="5">
                  <c:v>2026</c:v>
                </c:pt>
              </c:numCache>
            </c:numRef>
          </c:cat>
          <c:val>
            <c:numRef>
              <c:f>Kaavio!$C$53:$H$53</c:f>
              <c:numCache>
                <c:formatCode>#,##0</c:formatCode>
                <c:ptCount val="6"/>
                <c:pt idx="0">
                  <c:v>0</c:v>
                </c:pt>
                <c:pt idx="1">
                  <c:v>8.7680000000000007</c:v>
                </c:pt>
                <c:pt idx="2">
                  <c:v>-7.6876567102921252</c:v>
                </c:pt>
                <c:pt idx="3">
                  <c:v>14.747174458096444</c:v>
                </c:pt>
                <c:pt idx="4">
                  <c:v>64.093086176908784</c:v>
                </c:pt>
                <c:pt idx="5">
                  <c:v>113.93950981458065</c:v>
                </c:pt>
              </c:numCache>
            </c:numRef>
          </c:val>
          <c:extLst>
            <c:ext xmlns:c16="http://schemas.microsoft.com/office/drawing/2014/chart" uri="{C3380CC4-5D6E-409C-BE32-E72D297353CC}">
              <c16:uniqueId val="{00000007-B9AF-4F45-83BD-C68A229D95CE}"/>
            </c:ext>
          </c:extLst>
        </c:ser>
        <c:dLbls>
          <c:dLblPos val="inEnd"/>
          <c:showLegendKey val="0"/>
          <c:showVal val="1"/>
          <c:showCatName val="0"/>
          <c:showSerName val="0"/>
          <c:showPercent val="0"/>
          <c:showBubbleSize val="0"/>
        </c:dLbls>
        <c:gapWidth val="100"/>
        <c:overlap val="-24"/>
        <c:axId val="1772874063"/>
        <c:axId val="1772875311"/>
      </c:barChart>
      <c:catAx>
        <c:axId val="177287406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72875311"/>
        <c:crosses val="autoZero"/>
        <c:auto val="1"/>
        <c:lblAlgn val="ctr"/>
        <c:lblOffset val="100"/>
        <c:noMultiLvlLbl val="0"/>
      </c:catAx>
      <c:valAx>
        <c:axId val="1772875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72874063"/>
        <c:crosses val="autoZero"/>
        <c:crossBetween val="between"/>
      </c:valAx>
      <c:spPr>
        <a:noFill/>
        <a:ln>
          <a:noFill/>
        </a:ln>
        <a:effectLst/>
      </c:spPr>
    </c:plotArea>
    <c:legend>
      <c:legendPos val="b"/>
      <c:layout>
        <c:manualLayout>
          <c:xMode val="edge"/>
          <c:yMode val="edge"/>
          <c:x val="0.27412988312374681"/>
          <c:y val="0.89761856360128756"/>
          <c:w val="0.45515601655175381"/>
          <c:h val="8.822192598329624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AFFÄRVERKSAMHETENS</a:t>
            </a:r>
            <a:r>
              <a:rPr lang="en-US" baseline="0"/>
              <a:t> LÖNSAMHET (%/omsättning)</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0373820979644691E-2"/>
          <c:y val="0.17837962962962964"/>
          <c:w val="0.93256715479654095"/>
          <c:h val="0.61842592592592605"/>
        </c:manualLayout>
      </c:layout>
      <c:barChart>
        <c:barDir val="col"/>
        <c:grouping val="clustered"/>
        <c:varyColors val="0"/>
        <c:ser>
          <c:idx val="0"/>
          <c:order val="0"/>
          <c:tx>
            <c:strRef>
              <c:f>Kaavio!$B$27</c:f>
              <c:strCache>
                <c:ptCount val="1"/>
                <c:pt idx="0">
                  <c:v>Driftbidrags-%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Kaavio!$C$26:$H$26</c:f>
              <c:numCache>
                <c:formatCode>0</c:formatCode>
                <c:ptCount val="6"/>
                <c:pt idx="0">
                  <c:v>2021</c:v>
                </c:pt>
                <c:pt idx="1">
                  <c:v>2022</c:v>
                </c:pt>
                <c:pt idx="2">
                  <c:v>2023</c:v>
                </c:pt>
                <c:pt idx="3">
                  <c:v>2024</c:v>
                </c:pt>
                <c:pt idx="4">
                  <c:v>2025</c:v>
                </c:pt>
                <c:pt idx="5">
                  <c:v>2026</c:v>
                </c:pt>
              </c:numCache>
            </c:numRef>
          </c:cat>
          <c:val>
            <c:numRef>
              <c:f>Kaavio!$C$27:$H$27</c:f>
              <c:numCache>
                <c:formatCode>0</c:formatCode>
                <c:ptCount val="6"/>
                <c:pt idx="0">
                  <c:v>0</c:v>
                </c:pt>
                <c:pt idx="1">
                  <c:v>2.1119336152267807</c:v>
                </c:pt>
                <c:pt idx="2">
                  <c:v>-3.5907095807414255</c:v>
                </c:pt>
                <c:pt idx="3">
                  <c:v>16.47730434504961</c:v>
                </c:pt>
                <c:pt idx="4">
                  <c:v>27.146342683798046</c:v>
                </c:pt>
                <c:pt idx="5">
                  <c:v>28.088635272936585</c:v>
                </c:pt>
              </c:numCache>
            </c:numRef>
          </c:val>
          <c:extLst>
            <c:ext xmlns:c16="http://schemas.microsoft.com/office/drawing/2014/chart" uri="{C3380CC4-5D6E-409C-BE32-E72D297353CC}">
              <c16:uniqueId val="{00000000-46CD-4148-9A25-4A037FD75C2A}"/>
            </c:ext>
          </c:extLst>
        </c:ser>
        <c:ser>
          <c:idx val="1"/>
          <c:order val="1"/>
          <c:tx>
            <c:strRef>
              <c:f>Kaavio!$B$28</c:f>
              <c:strCache>
                <c:ptCount val="1"/>
                <c:pt idx="0">
                  <c:v>Rörelseresultats EBIT-%</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Kaavio!$C$26:$H$26</c:f>
              <c:numCache>
                <c:formatCode>0</c:formatCode>
                <c:ptCount val="6"/>
                <c:pt idx="0">
                  <c:v>2021</c:v>
                </c:pt>
                <c:pt idx="1">
                  <c:v>2022</c:v>
                </c:pt>
                <c:pt idx="2">
                  <c:v>2023</c:v>
                </c:pt>
                <c:pt idx="3">
                  <c:v>2024</c:v>
                </c:pt>
                <c:pt idx="4">
                  <c:v>2025</c:v>
                </c:pt>
                <c:pt idx="5">
                  <c:v>2026</c:v>
                </c:pt>
              </c:numCache>
            </c:numRef>
          </c:cat>
          <c:val>
            <c:numRef>
              <c:f>Kaavio!$C$28:$H$28</c:f>
              <c:numCache>
                <c:formatCode>0</c:formatCode>
                <c:ptCount val="6"/>
                <c:pt idx="0">
                  <c:v>0</c:v>
                </c:pt>
                <c:pt idx="1">
                  <c:v>2.1119336152267807</c:v>
                </c:pt>
                <c:pt idx="2">
                  <c:v>-3.5907095807414255</c:v>
                </c:pt>
                <c:pt idx="3">
                  <c:v>16.47730434504961</c:v>
                </c:pt>
                <c:pt idx="4">
                  <c:v>27.146342683798046</c:v>
                </c:pt>
                <c:pt idx="5">
                  <c:v>28.088635272936585</c:v>
                </c:pt>
              </c:numCache>
            </c:numRef>
          </c:val>
          <c:extLst>
            <c:ext xmlns:c16="http://schemas.microsoft.com/office/drawing/2014/chart" uri="{C3380CC4-5D6E-409C-BE32-E72D297353CC}">
              <c16:uniqueId val="{00000001-46CD-4148-9A25-4A037FD75C2A}"/>
            </c:ext>
          </c:extLst>
        </c:ser>
        <c:ser>
          <c:idx val="2"/>
          <c:order val="2"/>
          <c:tx>
            <c:strRef>
              <c:f>Kaavio!$B$29</c:f>
              <c:strCache>
                <c:ptCount val="1"/>
                <c:pt idx="0">
                  <c:v> Periodens vinst-%</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Kaavio!$C$26:$H$26</c:f>
              <c:numCache>
                <c:formatCode>0</c:formatCode>
                <c:ptCount val="6"/>
                <c:pt idx="0">
                  <c:v>2021</c:v>
                </c:pt>
                <c:pt idx="1">
                  <c:v>2022</c:v>
                </c:pt>
                <c:pt idx="2">
                  <c:v>2023</c:v>
                </c:pt>
                <c:pt idx="3">
                  <c:v>2024</c:v>
                </c:pt>
                <c:pt idx="4">
                  <c:v>2025</c:v>
                </c:pt>
                <c:pt idx="5">
                  <c:v>2026</c:v>
                </c:pt>
              </c:numCache>
            </c:numRef>
          </c:cat>
          <c:val>
            <c:numRef>
              <c:f>Kaavio!$C$29:$H$29</c:f>
              <c:numCache>
                <c:formatCode>0</c:formatCode>
                <c:ptCount val="6"/>
                <c:pt idx="0">
                  <c:v>0</c:v>
                </c:pt>
                <c:pt idx="1">
                  <c:v>1.5655288902996156</c:v>
                </c:pt>
                <c:pt idx="2">
                  <c:v>-8.1674616155799349</c:v>
                </c:pt>
                <c:pt idx="3">
                  <c:v>10.202115347747908</c:v>
                </c:pt>
                <c:pt idx="4">
                  <c:v>19.485460914979917</c:v>
                </c:pt>
                <c:pt idx="5">
                  <c:v>20.583854037092113</c:v>
                </c:pt>
              </c:numCache>
            </c:numRef>
          </c:val>
          <c:extLst>
            <c:ext xmlns:c16="http://schemas.microsoft.com/office/drawing/2014/chart" uri="{C3380CC4-5D6E-409C-BE32-E72D297353CC}">
              <c16:uniqueId val="{00000002-46CD-4148-9A25-4A037FD75C2A}"/>
            </c:ext>
          </c:extLst>
        </c:ser>
        <c:ser>
          <c:idx val="3"/>
          <c:order val="3"/>
          <c:tx>
            <c:strRef>
              <c:f>Kaavio!$B$30</c:f>
              <c:strCache>
                <c:ptCount val="1"/>
                <c:pt idx="0">
                  <c:v> Avkastning på investerat kapital (%)</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Kaavio!$C$26:$H$26</c:f>
              <c:numCache>
                <c:formatCode>0</c:formatCode>
                <c:ptCount val="6"/>
                <c:pt idx="0">
                  <c:v>2021</c:v>
                </c:pt>
                <c:pt idx="1">
                  <c:v>2022</c:v>
                </c:pt>
                <c:pt idx="2">
                  <c:v>2023</c:v>
                </c:pt>
                <c:pt idx="3">
                  <c:v>2024</c:v>
                </c:pt>
                <c:pt idx="4">
                  <c:v>2025</c:v>
                </c:pt>
                <c:pt idx="5">
                  <c:v>2026</c:v>
                </c:pt>
              </c:numCache>
            </c:numRef>
          </c:cat>
          <c:val>
            <c:numRef>
              <c:f>Kaavio!$C$30:$H$30</c:f>
              <c:numCache>
                <c:formatCode>0</c:formatCode>
                <c:ptCount val="6"/>
                <c:pt idx="0">
                  <c:v>0</c:v>
                </c:pt>
                <c:pt idx="1">
                  <c:v>40.565884329773972</c:v>
                </c:pt>
                <c:pt idx="2">
                  <c:v>-5.9322754257677719</c:v>
                </c:pt>
                <c:pt idx="3">
                  <c:v>16.966179835589742</c:v>
                </c:pt>
                <c:pt idx="4">
                  <c:v>31.366114662026938</c:v>
                </c:pt>
                <c:pt idx="5">
                  <c:v>30.086110390770855</c:v>
                </c:pt>
              </c:numCache>
            </c:numRef>
          </c:val>
          <c:extLst>
            <c:ext xmlns:c16="http://schemas.microsoft.com/office/drawing/2014/chart" uri="{C3380CC4-5D6E-409C-BE32-E72D297353CC}">
              <c16:uniqueId val="{00000003-46CD-4148-9A25-4A037FD75C2A}"/>
            </c:ext>
          </c:extLst>
        </c:ser>
        <c:dLbls>
          <c:dLblPos val="outEnd"/>
          <c:showLegendKey val="0"/>
          <c:showVal val="1"/>
          <c:showCatName val="0"/>
          <c:showSerName val="0"/>
          <c:showPercent val="0"/>
          <c:showBubbleSize val="0"/>
        </c:dLbls>
        <c:gapWidth val="100"/>
        <c:overlap val="-24"/>
        <c:axId val="1159821839"/>
        <c:axId val="1173092399"/>
      </c:barChart>
      <c:catAx>
        <c:axId val="115982183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3092399"/>
        <c:crosses val="autoZero"/>
        <c:auto val="1"/>
        <c:lblAlgn val="ctr"/>
        <c:lblOffset val="100"/>
        <c:noMultiLvlLbl val="0"/>
      </c:catAx>
      <c:valAx>
        <c:axId val="1173092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59821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Affärverksamhetens</a:t>
            </a:r>
            <a:r>
              <a:rPr lang="fi-FI" baseline="0"/>
              <a:t> volym 1000 €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Kaavio!$B$3</c:f>
              <c:strCache>
                <c:ptCount val="1"/>
                <c:pt idx="0">
                  <c:v>Omsättning</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Kaavio!$C$3:$H$3</c:f>
              <c:numCache>
                <c:formatCode>#,##0</c:formatCode>
                <c:ptCount val="6"/>
                <c:pt idx="0">
                  <c:v>0</c:v>
                </c:pt>
                <c:pt idx="1">
                  <c:v>175.886</c:v>
                </c:pt>
                <c:pt idx="2">
                  <c:v>192.35</c:v>
                </c:pt>
                <c:pt idx="3">
                  <c:v>219.35291999999998</c:v>
                </c:pt>
                <c:pt idx="4">
                  <c:v>258.73759649999994</c:v>
                </c:pt>
                <c:pt idx="5">
                  <c:v>266.49972439500004</c:v>
                </c:pt>
              </c:numCache>
            </c:numRef>
          </c:val>
          <c:smooth val="0"/>
          <c:extLst>
            <c:ext xmlns:c16="http://schemas.microsoft.com/office/drawing/2014/chart" uri="{C3380CC4-5D6E-409C-BE32-E72D297353CC}">
              <c16:uniqueId val="{00000000-C184-4FC4-9E5E-CA74450C0C98}"/>
            </c:ext>
          </c:extLst>
        </c:ser>
        <c:ser>
          <c:idx val="1"/>
          <c:order val="1"/>
          <c:tx>
            <c:strRef>
              <c:f>Kaavio!$B$4</c:f>
              <c:strCache>
                <c:ptCount val="1"/>
                <c:pt idx="0">
                  <c:v>Slutsumma av balansen</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Kaavio!$C$4:$H$4</c:f>
              <c:numCache>
                <c:formatCode>#,##0</c:formatCode>
                <c:ptCount val="6"/>
                <c:pt idx="0">
                  <c:v>0</c:v>
                </c:pt>
                <c:pt idx="1">
                  <c:v>21.927</c:v>
                </c:pt>
                <c:pt idx="2">
                  <c:v>230.53202033268596</c:v>
                </c:pt>
                <c:pt idx="3">
                  <c:v>227.75264475812645</c:v>
                </c:pt>
                <c:pt idx="4">
                  <c:v>252.98699275409234</c:v>
                </c:pt>
                <c:pt idx="5">
                  <c:v>278.645693516292</c:v>
                </c:pt>
              </c:numCache>
            </c:numRef>
          </c:val>
          <c:smooth val="0"/>
          <c:extLst>
            <c:ext xmlns:c16="http://schemas.microsoft.com/office/drawing/2014/chart" uri="{C3380CC4-5D6E-409C-BE32-E72D297353CC}">
              <c16:uniqueId val="{00000001-C184-4FC4-9E5E-CA74450C0C98}"/>
            </c:ext>
          </c:extLst>
        </c:ser>
        <c:ser>
          <c:idx val="2"/>
          <c:order val="2"/>
          <c:tx>
            <c:strRef>
              <c:f>Kaavio!$B$5</c:f>
              <c:strCache>
                <c:ptCount val="1"/>
                <c:pt idx="0">
                  <c:v>Investerad kapital</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Kaavio!$C$2:$H$2</c:f>
              <c:numCache>
                <c:formatCode>0</c:formatCode>
                <c:ptCount val="6"/>
                <c:pt idx="0">
                  <c:v>2021</c:v>
                </c:pt>
                <c:pt idx="1">
                  <c:v>2022</c:v>
                </c:pt>
                <c:pt idx="2">
                  <c:v>2023</c:v>
                </c:pt>
                <c:pt idx="3">
                  <c:v>2024</c:v>
                </c:pt>
                <c:pt idx="4">
                  <c:v>2025</c:v>
                </c:pt>
                <c:pt idx="5">
                  <c:v>2026</c:v>
                </c:pt>
              </c:numCache>
            </c:numRef>
          </c:cat>
          <c:val>
            <c:numRef>
              <c:f>Kaavio!$C$5:$H$5</c:f>
              <c:numCache>
                <c:formatCode>#,##0</c:formatCode>
                <c:ptCount val="6"/>
                <c:pt idx="0">
                  <c:v>0</c:v>
                </c:pt>
                <c:pt idx="1">
                  <c:v>9.2245000000000008</c:v>
                </c:pt>
                <c:pt idx="2">
                  <c:v>116.75317164485394</c:v>
                </c:pt>
                <c:pt idx="3">
                  <c:v>213.56725887390215</c:v>
                </c:pt>
                <c:pt idx="4">
                  <c:v>224.41513031750259</c:v>
                </c:pt>
                <c:pt idx="5">
                  <c:v>249.34129799574467</c:v>
                </c:pt>
              </c:numCache>
            </c:numRef>
          </c:val>
          <c:smooth val="0"/>
          <c:extLst>
            <c:ext xmlns:c16="http://schemas.microsoft.com/office/drawing/2014/chart" uri="{C3380CC4-5D6E-409C-BE32-E72D297353CC}">
              <c16:uniqueId val="{00000002-C184-4FC4-9E5E-CA74450C0C98}"/>
            </c:ext>
          </c:extLst>
        </c:ser>
        <c:dLbls>
          <c:dLblPos val="ctr"/>
          <c:showLegendKey val="0"/>
          <c:showVal val="1"/>
          <c:showCatName val="0"/>
          <c:showSerName val="0"/>
          <c:showPercent val="0"/>
          <c:showBubbleSize val="0"/>
        </c:dLbls>
        <c:marker val="1"/>
        <c:smooth val="0"/>
        <c:axId val="71170703"/>
        <c:axId val="71163215"/>
      </c:lineChart>
      <c:catAx>
        <c:axId val="7117070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71163215"/>
        <c:crosses val="autoZero"/>
        <c:auto val="1"/>
        <c:lblAlgn val="ctr"/>
        <c:lblOffset val="100"/>
        <c:noMultiLvlLbl val="0"/>
      </c:catAx>
      <c:valAx>
        <c:axId val="7116321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17070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5. E1 VERKSAMHETSKOSTN.'!A1"/><Relationship Id="rId13" Type="http://schemas.openxmlformats.org/officeDocument/2006/relationships/image" Target="../media/image8.png"/><Relationship Id="rId18" Type="http://schemas.openxmlformats.org/officeDocument/2006/relationships/image" Target="../media/image11.png"/><Relationship Id="rId3" Type="http://schemas.openxmlformats.org/officeDocument/2006/relationships/image" Target="../media/image3.jpeg"/><Relationship Id="rId21" Type="http://schemas.openxmlformats.org/officeDocument/2006/relationships/image" Target="../media/image13.svg"/><Relationship Id="rId7" Type="http://schemas.openxmlformats.org/officeDocument/2006/relationships/image" Target="../media/image5.png"/><Relationship Id="rId12" Type="http://schemas.openxmlformats.org/officeDocument/2006/relationships/hyperlink" Target="#'2. &amp; 7. T2  RESULTATB.'!A1"/><Relationship Id="rId17" Type="http://schemas.openxmlformats.org/officeDocument/2006/relationships/hyperlink" Target="#'10. T5 KASSABUDGET '!A1"/><Relationship Id="rId25" Type="http://schemas.openxmlformats.org/officeDocument/2006/relationships/image" Target="../media/image16.jpe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2.png"/><Relationship Id="rId1" Type="http://schemas.openxmlformats.org/officeDocument/2006/relationships/image" Target="../media/image1.jpeg"/><Relationship Id="rId6" Type="http://schemas.openxmlformats.org/officeDocument/2006/relationships/hyperlink" Target="#'4. T7 L&#197;N '!A1"/><Relationship Id="rId11" Type="http://schemas.openxmlformats.org/officeDocument/2006/relationships/image" Target="../media/image7.png"/><Relationship Id="rId24" Type="http://schemas.openxmlformats.org/officeDocument/2006/relationships/image" Target="../media/image15.png"/><Relationship Id="rId5" Type="http://schemas.openxmlformats.org/officeDocument/2006/relationships/image" Target="../media/image4.png"/><Relationship Id="rId15" Type="http://schemas.openxmlformats.org/officeDocument/2006/relationships/hyperlink" Target="#'9. T4 FINANSIERINGSB. '!A1"/><Relationship Id="rId23" Type="http://schemas.openxmlformats.org/officeDocument/2006/relationships/image" Target="../media/image14.png"/><Relationship Id="rId10" Type="http://schemas.openxmlformats.org/officeDocument/2006/relationships/hyperlink" Target="#'6. E2 OMS&#196;TTNING '!A1"/><Relationship Id="rId19" Type="http://schemas.openxmlformats.org/officeDocument/2006/relationships/hyperlink" Target="#UTSKRIVNING!A1"/><Relationship Id="rId4" Type="http://schemas.openxmlformats.org/officeDocument/2006/relationships/hyperlink" Target="#'3. &amp; 8. T3 BALANS'!A1"/><Relationship Id="rId9" Type="http://schemas.openxmlformats.org/officeDocument/2006/relationships/image" Target="../media/image6.png"/><Relationship Id="rId14" Type="http://schemas.openxmlformats.org/officeDocument/2006/relationships/image" Target="../media/image9.png"/><Relationship Id="rId22" Type="http://schemas.openxmlformats.org/officeDocument/2006/relationships/hyperlink" Target="#'1. T1 INVESTERINGSP. '!A1"/></Relationships>
</file>

<file path=xl/drawings/_rels/drawing10.xml.rels><?xml version="1.0" encoding="UTF-8" standalone="yes"?>
<Relationships xmlns="http://schemas.openxmlformats.org/package/2006/relationships"><Relationship Id="rId8" Type="http://schemas.openxmlformats.org/officeDocument/2006/relationships/image" Target="../media/image81.png"/><Relationship Id="rId13" Type="http://schemas.openxmlformats.org/officeDocument/2006/relationships/hyperlink" Target="#'5. E1 VERKSAMHETSKOSTN.'!A1"/><Relationship Id="rId18" Type="http://schemas.openxmlformats.org/officeDocument/2006/relationships/image" Target="../media/image84.png"/><Relationship Id="rId26" Type="http://schemas.openxmlformats.org/officeDocument/2006/relationships/image" Target="../media/image88.png"/><Relationship Id="rId3" Type="http://schemas.openxmlformats.org/officeDocument/2006/relationships/hyperlink" Target="#'10. T5 KASSABUDGET '!A1"/><Relationship Id="rId21" Type="http://schemas.openxmlformats.org/officeDocument/2006/relationships/image" Target="../media/image86.png"/><Relationship Id="rId7" Type="http://schemas.openxmlformats.org/officeDocument/2006/relationships/hyperlink" Target="#'3. &amp; 8. T3 BALANS'!A1"/><Relationship Id="rId12" Type="http://schemas.openxmlformats.org/officeDocument/2006/relationships/image" Target="../media/image82.png"/><Relationship Id="rId17" Type="http://schemas.openxmlformats.org/officeDocument/2006/relationships/image" Target="../media/image61.png"/><Relationship Id="rId25" Type="http://schemas.openxmlformats.org/officeDocument/2006/relationships/chart" Target="../charts/chart4.xml"/><Relationship Id="rId2" Type="http://schemas.openxmlformats.org/officeDocument/2006/relationships/image" Target="../media/image78.jpeg"/><Relationship Id="rId16" Type="http://schemas.openxmlformats.org/officeDocument/2006/relationships/image" Target="../media/image83.png"/><Relationship Id="rId20" Type="http://schemas.openxmlformats.org/officeDocument/2006/relationships/image" Target="../media/image85.png"/><Relationship Id="rId1" Type="http://schemas.openxmlformats.org/officeDocument/2006/relationships/hyperlink" Target="#'T2 RESULTATB.'!A1"/><Relationship Id="rId6" Type="http://schemas.openxmlformats.org/officeDocument/2006/relationships/image" Target="../media/image80.png"/><Relationship Id="rId11" Type="http://schemas.openxmlformats.org/officeDocument/2006/relationships/hyperlink" Target="#'6. E2 OMS&#196;TTNING '!A1"/><Relationship Id="rId24" Type="http://schemas.openxmlformats.org/officeDocument/2006/relationships/chart" Target="../charts/chart3.xml"/><Relationship Id="rId5" Type="http://schemas.openxmlformats.org/officeDocument/2006/relationships/hyperlink" Target="#'9. T4 FINANSIERINGSB. '!A1"/><Relationship Id="rId15" Type="http://schemas.openxmlformats.org/officeDocument/2006/relationships/hyperlink" Target="#'4. T7 L&#197;N '!A1"/><Relationship Id="rId23" Type="http://schemas.openxmlformats.org/officeDocument/2006/relationships/chart" Target="../charts/chart2.xml"/><Relationship Id="rId10" Type="http://schemas.openxmlformats.org/officeDocument/2006/relationships/image" Target="../media/image20.png"/><Relationship Id="rId19" Type="http://schemas.openxmlformats.org/officeDocument/2006/relationships/hyperlink" Target="#'1. T1 INVESTERINGSP. '!A1"/><Relationship Id="rId4" Type="http://schemas.openxmlformats.org/officeDocument/2006/relationships/image" Target="../media/image79.png"/><Relationship Id="rId9" Type="http://schemas.openxmlformats.org/officeDocument/2006/relationships/hyperlink" Target="#'2. &amp; 7. T2  RESULTATB.'!A1"/><Relationship Id="rId14" Type="http://schemas.openxmlformats.org/officeDocument/2006/relationships/image" Target="../media/image71.png"/><Relationship Id="rId22" Type="http://schemas.openxmlformats.org/officeDocument/2006/relationships/image" Target="../media/image87.svg"/><Relationship Id="rId27" Type="http://schemas.openxmlformats.org/officeDocument/2006/relationships/image" Target="../media/image89.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8" Type="http://schemas.openxmlformats.org/officeDocument/2006/relationships/hyperlink" Target="#'2. &amp; 7. T2  RESULTATB.'!A1"/><Relationship Id="rId13" Type="http://schemas.openxmlformats.org/officeDocument/2006/relationships/image" Target="../media/image22.png"/><Relationship Id="rId18" Type="http://schemas.openxmlformats.org/officeDocument/2006/relationships/image" Target="../media/image26.png"/><Relationship Id="rId3" Type="http://schemas.openxmlformats.org/officeDocument/2006/relationships/image" Target="../media/image11.png"/><Relationship Id="rId21" Type="http://schemas.openxmlformats.org/officeDocument/2006/relationships/image" Target="../media/image13.svg"/><Relationship Id="rId7" Type="http://schemas.openxmlformats.org/officeDocument/2006/relationships/image" Target="../media/image19.png"/><Relationship Id="rId12" Type="http://schemas.openxmlformats.org/officeDocument/2006/relationships/hyperlink" Target="#'5. E1 VERKSAMHETSKOSTN.'!A1"/><Relationship Id="rId17" Type="http://schemas.openxmlformats.org/officeDocument/2006/relationships/image" Target="../media/image25.png"/><Relationship Id="rId2" Type="http://schemas.openxmlformats.org/officeDocument/2006/relationships/hyperlink" Target="#'10. T5 KASSABUDGET '!A1"/><Relationship Id="rId16" Type="http://schemas.openxmlformats.org/officeDocument/2006/relationships/image" Target="../media/image24.png"/><Relationship Id="rId20" Type="http://schemas.openxmlformats.org/officeDocument/2006/relationships/image" Target="../media/image12.png"/><Relationship Id="rId1" Type="http://schemas.openxmlformats.org/officeDocument/2006/relationships/image" Target="../media/image17.jpeg"/><Relationship Id="rId6" Type="http://schemas.openxmlformats.org/officeDocument/2006/relationships/hyperlink" Target="#'3. &amp; 8. T3 BALANS'!A1"/><Relationship Id="rId11" Type="http://schemas.openxmlformats.org/officeDocument/2006/relationships/image" Target="../media/image21.png"/><Relationship Id="rId5" Type="http://schemas.openxmlformats.org/officeDocument/2006/relationships/image" Target="../media/image18.png"/><Relationship Id="rId15" Type="http://schemas.openxmlformats.org/officeDocument/2006/relationships/image" Target="../media/image23.png"/><Relationship Id="rId10" Type="http://schemas.openxmlformats.org/officeDocument/2006/relationships/hyperlink" Target="#'6. E2 OMS&#196;TTNING '!A1"/><Relationship Id="rId19" Type="http://schemas.openxmlformats.org/officeDocument/2006/relationships/hyperlink" Target="#UTSKRIVNING!A1"/><Relationship Id="rId4" Type="http://schemas.openxmlformats.org/officeDocument/2006/relationships/hyperlink" Target="#'9. T4 FINANSIERINGSB. '!A1"/><Relationship Id="rId9" Type="http://schemas.openxmlformats.org/officeDocument/2006/relationships/image" Target="../media/image20.png"/><Relationship Id="rId14" Type="http://schemas.openxmlformats.org/officeDocument/2006/relationships/hyperlink" Target="#'4. T7 L&#197;N '!A1"/></Relationships>
</file>

<file path=xl/drawings/_rels/drawing3.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34.png"/><Relationship Id="rId18" Type="http://schemas.openxmlformats.org/officeDocument/2006/relationships/hyperlink" Target="#'1. T1 INVESTERINGSP. '!A1"/><Relationship Id="rId3" Type="http://schemas.openxmlformats.org/officeDocument/2006/relationships/hyperlink" Target="#'10. T5 KASSABUDGET '!A1"/><Relationship Id="rId21" Type="http://schemas.openxmlformats.org/officeDocument/2006/relationships/image" Target="../media/image12.png"/><Relationship Id="rId7" Type="http://schemas.openxmlformats.org/officeDocument/2006/relationships/hyperlink" Target="#'3. &amp; 8. T3 BALANS'!A1"/><Relationship Id="rId12" Type="http://schemas.openxmlformats.org/officeDocument/2006/relationships/hyperlink" Target="#'5. E1 VERKSAMHETSKOSTN.'!A1"/><Relationship Id="rId17" Type="http://schemas.openxmlformats.org/officeDocument/2006/relationships/image" Target="../media/image37.png"/><Relationship Id="rId2" Type="http://schemas.openxmlformats.org/officeDocument/2006/relationships/image" Target="../media/image28.jpeg"/><Relationship Id="rId16" Type="http://schemas.openxmlformats.org/officeDocument/2006/relationships/image" Target="../media/image36.png"/><Relationship Id="rId20" Type="http://schemas.openxmlformats.org/officeDocument/2006/relationships/hyperlink" Target="#UTSKRIVNING!A1"/><Relationship Id="rId1" Type="http://schemas.openxmlformats.org/officeDocument/2006/relationships/image" Target="../media/image27.jpeg"/><Relationship Id="rId6" Type="http://schemas.openxmlformats.org/officeDocument/2006/relationships/image" Target="../media/image30.png"/><Relationship Id="rId11" Type="http://schemas.openxmlformats.org/officeDocument/2006/relationships/image" Target="../media/image33.png"/><Relationship Id="rId5" Type="http://schemas.openxmlformats.org/officeDocument/2006/relationships/hyperlink" Target="#'9. T4 FINANSIERINGSB. '!A1"/><Relationship Id="rId15" Type="http://schemas.openxmlformats.org/officeDocument/2006/relationships/image" Target="../media/image35.png"/><Relationship Id="rId10" Type="http://schemas.openxmlformats.org/officeDocument/2006/relationships/hyperlink" Target="#'6. E2 OMS&#196;TTNING '!A1"/><Relationship Id="rId19" Type="http://schemas.openxmlformats.org/officeDocument/2006/relationships/image" Target="../media/image38.png"/><Relationship Id="rId4" Type="http://schemas.openxmlformats.org/officeDocument/2006/relationships/image" Target="../media/image29.png"/><Relationship Id="rId9" Type="http://schemas.openxmlformats.org/officeDocument/2006/relationships/image" Target="../media/image32.png"/><Relationship Id="rId14" Type="http://schemas.openxmlformats.org/officeDocument/2006/relationships/hyperlink" Target="#'4. T7 L&#197;N '!A1"/><Relationship Id="rId22" Type="http://schemas.openxmlformats.org/officeDocument/2006/relationships/image" Target="../media/image13.svg"/></Relationships>
</file>

<file path=xl/drawings/_rels/drawing4.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4.png"/><Relationship Id="rId18" Type="http://schemas.openxmlformats.org/officeDocument/2006/relationships/hyperlink" Target="#UTSKRIVNING!A1"/><Relationship Id="rId3" Type="http://schemas.openxmlformats.org/officeDocument/2006/relationships/hyperlink" Target="#'2. &amp; 7. T2  RESULTATB.'!A1"/><Relationship Id="rId21" Type="http://schemas.openxmlformats.org/officeDocument/2006/relationships/image" Target="../media/image45.png"/><Relationship Id="rId7" Type="http://schemas.openxmlformats.org/officeDocument/2006/relationships/hyperlink" Target="#'4. T7 L&#197;N '!A1"/><Relationship Id="rId12" Type="http://schemas.openxmlformats.org/officeDocument/2006/relationships/image" Target="../media/image43.png"/><Relationship Id="rId17" Type="http://schemas.openxmlformats.org/officeDocument/2006/relationships/image" Target="../media/image11.png"/><Relationship Id="rId2" Type="http://schemas.openxmlformats.org/officeDocument/2006/relationships/image" Target="../media/image28.jpeg"/><Relationship Id="rId16" Type="http://schemas.openxmlformats.org/officeDocument/2006/relationships/hyperlink" Target="#'10. T5 KASSABUDGET '!A1"/><Relationship Id="rId20" Type="http://schemas.openxmlformats.org/officeDocument/2006/relationships/image" Target="../media/image13.svg"/><Relationship Id="rId1" Type="http://schemas.openxmlformats.org/officeDocument/2006/relationships/hyperlink" Target="#'T4 FINANSIERINGSB.'!A1"/><Relationship Id="rId6" Type="http://schemas.openxmlformats.org/officeDocument/2006/relationships/image" Target="../media/image40.png"/><Relationship Id="rId11" Type="http://schemas.openxmlformats.org/officeDocument/2006/relationships/hyperlink" Target="#'1. T1 INVESTERINGSP. '!A1"/><Relationship Id="rId5" Type="http://schemas.openxmlformats.org/officeDocument/2006/relationships/hyperlink" Target="#'5. E1 VERKSAMHETSKOSTN.'!A1"/><Relationship Id="rId15" Type="http://schemas.openxmlformats.org/officeDocument/2006/relationships/image" Target="../media/image18.png"/><Relationship Id="rId23" Type="http://schemas.openxmlformats.org/officeDocument/2006/relationships/image" Target="../media/image46.png"/><Relationship Id="rId10" Type="http://schemas.openxmlformats.org/officeDocument/2006/relationships/image" Target="../media/image42.png"/><Relationship Id="rId19" Type="http://schemas.openxmlformats.org/officeDocument/2006/relationships/image" Target="../media/image12.png"/><Relationship Id="rId4" Type="http://schemas.openxmlformats.org/officeDocument/2006/relationships/image" Target="../media/image39.png"/><Relationship Id="rId9" Type="http://schemas.openxmlformats.org/officeDocument/2006/relationships/hyperlink" Target="#'6. E2 OMS&#196;TTNING '!A1"/><Relationship Id="rId14" Type="http://schemas.openxmlformats.org/officeDocument/2006/relationships/hyperlink" Target="#'9. T4 FINANSIERINGSB. '!A1"/><Relationship Id="rId22" Type="http://schemas.openxmlformats.org/officeDocument/2006/relationships/image" Target="../media/image20.png"/></Relationships>
</file>

<file path=xl/drawings/_rels/drawing5.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hyperlink" Target="#'6. E2 OMS&#196;TTNING '!A1"/><Relationship Id="rId18" Type="http://schemas.openxmlformats.org/officeDocument/2006/relationships/image" Target="../media/image54.png"/><Relationship Id="rId3" Type="http://schemas.openxmlformats.org/officeDocument/2006/relationships/image" Target="../media/image12.png"/><Relationship Id="rId21" Type="http://schemas.openxmlformats.org/officeDocument/2006/relationships/image" Target="../media/image56.png"/><Relationship Id="rId7" Type="http://schemas.openxmlformats.org/officeDocument/2006/relationships/hyperlink" Target="#'9. T4 FINANSIERINGSB. '!A1"/><Relationship Id="rId12" Type="http://schemas.openxmlformats.org/officeDocument/2006/relationships/image" Target="../media/image50.png"/><Relationship Id="rId17" Type="http://schemas.openxmlformats.org/officeDocument/2006/relationships/image" Target="../media/image53.png"/><Relationship Id="rId2" Type="http://schemas.openxmlformats.org/officeDocument/2006/relationships/hyperlink" Target="#UTSKRIVNING!A1"/><Relationship Id="rId16" Type="http://schemas.openxmlformats.org/officeDocument/2006/relationships/image" Target="../media/image52.png"/><Relationship Id="rId20" Type="http://schemas.openxmlformats.org/officeDocument/2006/relationships/hyperlink" Target="#'1. T1 INVESTERINGSP. '!A1"/><Relationship Id="rId1" Type="http://schemas.openxmlformats.org/officeDocument/2006/relationships/image" Target="../media/image28.jpeg"/><Relationship Id="rId6" Type="http://schemas.openxmlformats.org/officeDocument/2006/relationships/image" Target="../media/image47.png"/><Relationship Id="rId11" Type="http://schemas.openxmlformats.org/officeDocument/2006/relationships/hyperlink" Target="#'2. &amp; 7. T2  RESULTATB.'!A1"/><Relationship Id="rId5" Type="http://schemas.openxmlformats.org/officeDocument/2006/relationships/hyperlink" Target="#'10. T5 KASSABUDGET '!A1"/><Relationship Id="rId15" Type="http://schemas.openxmlformats.org/officeDocument/2006/relationships/hyperlink" Target="#'5. E1 VERKSAMHETSKOSTN.'!A1"/><Relationship Id="rId10" Type="http://schemas.openxmlformats.org/officeDocument/2006/relationships/image" Target="../media/image49.png"/><Relationship Id="rId19" Type="http://schemas.openxmlformats.org/officeDocument/2006/relationships/image" Target="../media/image55.png"/><Relationship Id="rId4" Type="http://schemas.openxmlformats.org/officeDocument/2006/relationships/image" Target="../media/image13.svg"/><Relationship Id="rId9" Type="http://schemas.openxmlformats.org/officeDocument/2006/relationships/hyperlink" Target="#'3. &amp; 8. T3 BALANS'!A1"/><Relationship Id="rId14" Type="http://schemas.openxmlformats.org/officeDocument/2006/relationships/image" Target="../media/image5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hyperlink" Target="#'6. E2 OMS&#196;TTNING '!A1"/><Relationship Id="rId18" Type="http://schemas.openxmlformats.org/officeDocument/2006/relationships/image" Target="../media/image61.png"/><Relationship Id="rId3" Type="http://schemas.openxmlformats.org/officeDocument/2006/relationships/image" Target="../media/image12.png"/><Relationship Id="rId21" Type="http://schemas.openxmlformats.org/officeDocument/2006/relationships/image" Target="../media/image56.png"/><Relationship Id="rId7" Type="http://schemas.openxmlformats.org/officeDocument/2006/relationships/hyperlink" Target="#'9. T4 FINANSIERINGSB. '!A1"/><Relationship Id="rId12" Type="http://schemas.openxmlformats.org/officeDocument/2006/relationships/image" Target="../media/image57.png"/><Relationship Id="rId17" Type="http://schemas.openxmlformats.org/officeDocument/2006/relationships/image" Target="../media/image60.png"/><Relationship Id="rId2" Type="http://schemas.openxmlformats.org/officeDocument/2006/relationships/hyperlink" Target="#UTSKRIVNING!A1"/><Relationship Id="rId16" Type="http://schemas.openxmlformats.org/officeDocument/2006/relationships/hyperlink" Target="#'4. T7 L&#197;N '!A1"/><Relationship Id="rId20" Type="http://schemas.openxmlformats.org/officeDocument/2006/relationships/hyperlink" Target="#'1. T1 INVESTERINGSP. '!A1"/><Relationship Id="rId1" Type="http://schemas.openxmlformats.org/officeDocument/2006/relationships/image" Target="../media/image28.jpeg"/><Relationship Id="rId6" Type="http://schemas.openxmlformats.org/officeDocument/2006/relationships/image" Target="../media/image47.png"/><Relationship Id="rId11" Type="http://schemas.openxmlformats.org/officeDocument/2006/relationships/hyperlink" Target="#'2. &amp; 7. T2  RESULTATB.'!A1"/><Relationship Id="rId5" Type="http://schemas.openxmlformats.org/officeDocument/2006/relationships/hyperlink" Target="#'10. T5 KASSABUDGET '!A1"/><Relationship Id="rId15" Type="http://schemas.openxmlformats.org/officeDocument/2006/relationships/image" Target="../media/image59.png"/><Relationship Id="rId10" Type="http://schemas.openxmlformats.org/officeDocument/2006/relationships/image" Target="../media/image49.png"/><Relationship Id="rId19" Type="http://schemas.openxmlformats.org/officeDocument/2006/relationships/image" Target="../media/image62.png"/><Relationship Id="rId4" Type="http://schemas.openxmlformats.org/officeDocument/2006/relationships/image" Target="../media/image13.svg"/><Relationship Id="rId9" Type="http://schemas.openxmlformats.org/officeDocument/2006/relationships/hyperlink" Target="#'3. &amp; 8. T3 BALANS'!A1"/><Relationship Id="rId14" Type="http://schemas.openxmlformats.org/officeDocument/2006/relationships/image" Target="../media/image5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65.png"/><Relationship Id="rId18" Type="http://schemas.openxmlformats.org/officeDocument/2006/relationships/image" Target="../media/image24.png"/><Relationship Id="rId3" Type="http://schemas.openxmlformats.org/officeDocument/2006/relationships/image" Target="../media/image12.png"/><Relationship Id="rId21" Type="http://schemas.openxmlformats.org/officeDocument/2006/relationships/image" Target="../media/image67.png"/><Relationship Id="rId7" Type="http://schemas.openxmlformats.org/officeDocument/2006/relationships/hyperlink" Target="#'9. T4 FINANSIERINGSB. '!A1"/><Relationship Id="rId12" Type="http://schemas.openxmlformats.org/officeDocument/2006/relationships/image" Target="../media/image64.png"/><Relationship Id="rId17" Type="http://schemas.openxmlformats.org/officeDocument/2006/relationships/image" Target="../media/image5.png"/><Relationship Id="rId2" Type="http://schemas.openxmlformats.org/officeDocument/2006/relationships/hyperlink" Target="#UTSKRIVNING!A1"/><Relationship Id="rId16" Type="http://schemas.openxmlformats.org/officeDocument/2006/relationships/hyperlink" Target="#'4. T7 L&#197;N '!A1"/><Relationship Id="rId20" Type="http://schemas.openxmlformats.org/officeDocument/2006/relationships/hyperlink" Target="#'1. T1 INVESTERINGSP. '!A1"/><Relationship Id="rId1" Type="http://schemas.openxmlformats.org/officeDocument/2006/relationships/image" Target="../media/image28.jpeg"/><Relationship Id="rId6" Type="http://schemas.openxmlformats.org/officeDocument/2006/relationships/image" Target="../media/image63.png"/><Relationship Id="rId11" Type="http://schemas.openxmlformats.org/officeDocument/2006/relationships/hyperlink" Target="#'2. &amp; 7. T2  RESULTATB.'!A1"/><Relationship Id="rId5" Type="http://schemas.openxmlformats.org/officeDocument/2006/relationships/hyperlink" Target="#'10. T5 KASSABUDGET '!A1"/><Relationship Id="rId15" Type="http://schemas.openxmlformats.org/officeDocument/2006/relationships/image" Target="../media/image66.png"/><Relationship Id="rId10" Type="http://schemas.openxmlformats.org/officeDocument/2006/relationships/image" Target="../media/image49.png"/><Relationship Id="rId19" Type="http://schemas.openxmlformats.org/officeDocument/2006/relationships/image" Target="../media/image62.png"/><Relationship Id="rId4" Type="http://schemas.openxmlformats.org/officeDocument/2006/relationships/image" Target="../media/image13.svg"/><Relationship Id="rId9" Type="http://schemas.openxmlformats.org/officeDocument/2006/relationships/hyperlink" Target="#'3. &amp; 8. T3 BALANS'!A1"/><Relationship Id="rId14" Type="http://schemas.openxmlformats.org/officeDocument/2006/relationships/hyperlink" Target="#'5. E1 VERKSAMHETSKOSTN.'!A1"/></Relationships>
</file>

<file path=xl/drawings/_rels/drawing8.xml.rels><?xml version="1.0" encoding="UTF-8" standalone="yes"?>
<Relationships xmlns="http://schemas.openxmlformats.org/package/2006/relationships"><Relationship Id="rId8" Type="http://schemas.openxmlformats.org/officeDocument/2006/relationships/image" Target="../media/image70.png"/><Relationship Id="rId13" Type="http://schemas.openxmlformats.org/officeDocument/2006/relationships/image" Target="../media/image61.png"/><Relationship Id="rId18" Type="http://schemas.openxmlformats.org/officeDocument/2006/relationships/image" Target="../media/image12.png"/><Relationship Id="rId3" Type="http://schemas.openxmlformats.org/officeDocument/2006/relationships/hyperlink" Target="#'10. T5 KASSABUDGET '!A1"/><Relationship Id="rId21" Type="http://schemas.openxmlformats.org/officeDocument/2006/relationships/hyperlink" Target="#'4. T7 L&#197;N '!A1"/><Relationship Id="rId7" Type="http://schemas.openxmlformats.org/officeDocument/2006/relationships/hyperlink" Target="#'2. &amp; 7. T2  RESULTATB.'!A1"/><Relationship Id="rId12" Type="http://schemas.openxmlformats.org/officeDocument/2006/relationships/image" Target="../media/image71.png"/><Relationship Id="rId17" Type="http://schemas.openxmlformats.org/officeDocument/2006/relationships/hyperlink" Target="#UTSKRIVNING!A1"/><Relationship Id="rId2" Type="http://schemas.openxmlformats.org/officeDocument/2006/relationships/image" Target="../media/image69.jpeg"/><Relationship Id="rId16" Type="http://schemas.openxmlformats.org/officeDocument/2006/relationships/image" Target="../media/image56.png"/><Relationship Id="rId20" Type="http://schemas.openxmlformats.org/officeDocument/2006/relationships/image" Target="../media/image72.png"/><Relationship Id="rId1" Type="http://schemas.openxmlformats.org/officeDocument/2006/relationships/image" Target="../media/image68.jpeg"/><Relationship Id="rId6" Type="http://schemas.openxmlformats.org/officeDocument/2006/relationships/image" Target="../media/image49.png"/><Relationship Id="rId11" Type="http://schemas.openxmlformats.org/officeDocument/2006/relationships/hyperlink" Target="#'5. E1 VERKSAMHETSKOSTN.'!A1"/><Relationship Id="rId5" Type="http://schemas.openxmlformats.org/officeDocument/2006/relationships/hyperlink" Target="#'3. &amp; 8. T3 BALANS'!A1"/><Relationship Id="rId15" Type="http://schemas.openxmlformats.org/officeDocument/2006/relationships/hyperlink" Target="#'1. T1 INVESTERINGSP. '!A1"/><Relationship Id="rId10" Type="http://schemas.openxmlformats.org/officeDocument/2006/relationships/image" Target="../media/image58.png"/><Relationship Id="rId19" Type="http://schemas.openxmlformats.org/officeDocument/2006/relationships/image" Target="../media/image13.svg"/><Relationship Id="rId4" Type="http://schemas.openxmlformats.org/officeDocument/2006/relationships/image" Target="../media/image47.png"/><Relationship Id="rId9" Type="http://schemas.openxmlformats.org/officeDocument/2006/relationships/hyperlink" Target="#'6. E2 OMS&#196;TTNING '!A1"/><Relationship Id="rId14" Type="http://schemas.openxmlformats.org/officeDocument/2006/relationships/image" Target="../media/image62.png"/><Relationship Id="rId22" Type="http://schemas.openxmlformats.org/officeDocument/2006/relationships/image" Target="../media/image60.png"/></Relationships>
</file>

<file path=xl/drawings/_rels/drawing9.xml.rels><?xml version="1.0" encoding="UTF-8" standalone="yes"?>
<Relationships xmlns="http://schemas.openxmlformats.org/package/2006/relationships"><Relationship Id="rId8" Type="http://schemas.openxmlformats.org/officeDocument/2006/relationships/hyperlink" Target="#'6. E2 OMS&#196;TTNING '!A1"/><Relationship Id="rId13" Type="http://schemas.openxmlformats.org/officeDocument/2006/relationships/image" Target="../media/image55.png"/><Relationship Id="rId18" Type="http://schemas.openxmlformats.org/officeDocument/2006/relationships/image" Target="../media/image13.svg"/><Relationship Id="rId3" Type="http://schemas.openxmlformats.org/officeDocument/2006/relationships/image" Target="../media/image28.jpeg"/><Relationship Id="rId21" Type="http://schemas.openxmlformats.org/officeDocument/2006/relationships/image" Target="../media/image76.png"/><Relationship Id="rId7" Type="http://schemas.openxmlformats.org/officeDocument/2006/relationships/image" Target="../media/image20.png"/><Relationship Id="rId12" Type="http://schemas.openxmlformats.org/officeDocument/2006/relationships/image" Target="../media/image61.png"/><Relationship Id="rId17" Type="http://schemas.openxmlformats.org/officeDocument/2006/relationships/image" Target="../media/image12.png"/><Relationship Id="rId2" Type="http://schemas.openxmlformats.org/officeDocument/2006/relationships/image" Target="../media/image73.jpeg"/><Relationship Id="rId16" Type="http://schemas.openxmlformats.org/officeDocument/2006/relationships/hyperlink" Target="#UTSKRIVNING!A1"/><Relationship Id="rId20" Type="http://schemas.openxmlformats.org/officeDocument/2006/relationships/image" Target="../media/image75.png"/><Relationship Id="rId1" Type="http://schemas.openxmlformats.org/officeDocument/2006/relationships/chart" Target="../charts/chart1.xml"/><Relationship Id="rId6" Type="http://schemas.openxmlformats.org/officeDocument/2006/relationships/hyperlink" Target="#'2. &amp; 7. T2  RESULTATB.'!A1"/><Relationship Id="rId11" Type="http://schemas.openxmlformats.org/officeDocument/2006/relationships/image" Target="../media/image71.png"/><Relationship Id="rId5" Type="http://schemas.openxmlformats.org/officeDocument/2006/relationships/image" Target="../media/image49.png"/><Relationship Id="rId15" Type="http://schemas.openxmlformats.org/officeDocument/2006/relationships/image" Target="../media/image74.png"/><Relationship Id="rId23" Type="http://schemas.openxmlformats.org/officeDocument/2006/relationships/image" Target="../media/image77.png"/><Relationship Id="rId10" Type="http://schemas.openxmlformats.org/officeDocument/2006/relationships/hyperlink" Target="#'5. E1 VERKSAMHETSKOSTN.'!A1"/><Relationship Id="rId19" Type="http://schemas.openxmlformats.org/officeDocument/2006/relationships/hyperlink" Target="#'4. T7 L&#197;N '!A1"/><Relationship Id="rId4" Type="http://schemas.openxmlformats.org/officeDocument/2006/relationships/hyperlink" Target="#'3. &amp; 8. T3 BALANS'!A1"/><Relationship Id="rId9" Type="http://schemas.openxmlformats.org/officeDocument/2006/relationships/image" Target="../media/image58.png"/><Relationship Id="rId14" Type="http://schemas.openxmlformats.org/officeDocument/2006/relationships/hyperlink" Target="#'1. T1 INVESTERINGSP. '!A1"/><Relationship Id="rId22" Type="http://schemas.openxmlformats.org/officeDocument/2006/relationships/hyperlink" Target="#'9. T4 FINANSIERINGSB. '!A1"/></Relationships>
</file>

<file path=xl/drawings/drawing1.xml><?xml version="1.0" encoding="utf-8"?>
<xdr:wsDr xmlns:xdr="http://schemas.openxmlformats.org/drawingml/2006/spreadsheetDrawing" xmlns:a="http://schemas.openxmlformats.org/drawingml/2006/main">
  <xdr:twoCellAnchor editAs="oneCell">
    <xdr:from>
      <xdr:col>3</xdr:col>
      <xdr:colOff>622263</xdr:colOff>
      <xdr:row>6</xdr:row>
      <xdr:rowOff>406575</xdr:rowOff>
    </xdr:from>
    <xdr:to>
      <xdr:col>6</xdr:col>
      <xdr:colOff>130630</xdr:colOff>
      <xdr:row>20</xdr:row>
      <xdr:rowOff>370114</xdr:rowOff>
    </xdr:to>
    <xdr:pic>
      <xdr:nvPicPr>
        <xdr:cNvPr id="7" name="Kuva 6">
          <a:extLst>
            <a:ext uri="{FF2B5EF4-FFF2-40B4-BE49-F238E27FC236}">
              <a16:creationId xmlns:a16="http://schemas.microsoft.com/office/drawing/2014/main" id="{C42F1640-0A7C-4209-BB22-4BF23829A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034" y="1767289"/>
          <a:ext cx="5256025" cy="3773539"/>
        </a:xfrm>
        <a:prstGeom prst="rect">
          <a:avLst/>
        </a:prstGeom>
      </xdr:spPr>
    </xdr:pic>
    <xdr:clientData/>
  </xdr:twoCellAnchor>
  <xdr:twoCellAnchor>
    <xdr:from>
      <xdr:col>5</xdr:col>
      <xdr:colOff>375556</xdr:colOff>
      <xdr:row>20</xdr:row>
      <xdr:rowOff>190501</xdr:rowOff>
    </xdr:from>
    <xdr:to>
      <xdr:col>8</xdr:col>
      <xdr:colOff>152184</xdr:colOff>
      <xdr:row>23</xdr:row>
      <xdr:rowOff>19115</xdr:rowOff>
    </xdr:to>
    <xdr:sp macro="" textlink="">
      <xdr:nvSpPr>
        <xdr:cNvPr id="51" name="Suorakulmio: Vastakkaiset kulmat leikattu 50">
          <a:extLst>
            <a:ext uri="{FF2B5EF4-FFF2-40B4-BE49-F238E27FC236}">
              <a16:creationId xmlns:a16="http://schemas.microsoft.com/office/drawing/2014/main" id="{A5EB1504-60D4-4B04-939A-231048BED19B}"/>
            </a:ext>
          </a:extLst>
        </xdr:cNvPr>
        <xdr:cNvSpPr/>
      </xdr:nvSpPr>
      <xdr:spPr>
        <a:xfrm>
          <a:off x="3946070" y="5361215"/>
          <a:ext cx="3456000" cy="792000"/>
        </a:xfrm>
        <a:prstGeom prst="snip2DiagRect">
          <a:avLst/>
        </a:prstGeom>
        <a:solidFill>
          <a:schemeClr val="tx2">
            <a:lumMod val="60000"/>
            <a:lumOff val="40000"/>
            <a:alpha val="80000"/>
          </a:scheme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T5 KASSABUDGET </a:t>
          </a:r>
          <a:br>
            <a:rPr lang="fi-FI" sz="1200" b="1">
              <a:solidFill>
                <a:sysClr val="windowText" lastClr="000000"/>
              </a:solidFill>
              <a:latin typeface="+mn-lt"/>
              <a:cs typeface="Arial" pitchFamily="34" charset="0"/>
            </a:rPr>
          </a:br>
          <a:r>
            <a:rPr lang="fi-FI" sz="1100" b="0">
              <a:solidFill>
                <a:sysClr val="windowText" lastClr="000000"/>
              </a:solidFill>
              <a:latin typeface="+mn-lt"/>
              <a:cs typeface="Arial" pitchFamily="34" charset="0"/>
            </a:rPr>
            <a:t>Programmet gör ett budgetförslag, men månatlig fördelning av utgifter och inkomster bör justeras.</a:t>
          </a:r>
          <a:endParaRPr lang="fi-FI" sz="1100" b="1">
            <a:solidFill>
              <a:sysClr val="windowText" lastClr="000000"/>
            </a:solidFill>
            <a:latin typeface="+mn-lt"/>
            <a:cs typeface="Arial" pitchFamily="34" charset="0"/>
          </a:endParaRPr>
        </a:p>
      </xdr:txBody>
    </xdr:sp>
    <xdr:clientData/>
  </xdr:twoCellAnchor>
  <xdr:twoCellAnchor>
    <xdr:from>
      <xdr:col>0</xdr:col>
      <xdr:colOff>239485</xdr:colOff>
      <xdr:row>20</xdr:row>
      <xdr:rowOff>185058</xdr:rowOff>
    </xdr:from>
    <xdr:to>
      <xdr:col>5</xdr:col>
      <xdr:colOff>124971</xdr:colOff>
      <xdr:row>23</xdr:row>
      <xdr:rowOff>13672</xdr:rowOff>
    </xdr:to>
    <xdr:sp macro="" textlink="">
      <xdr:nvSpPr>
        <xdr:cNvPr id="49" name="Suorakulmio: Vastakkaiset kulmat leikattu 48">
          <a:extLst>
            <a:ext uri="{FF2B5EF4-FFF2-40B4-BE49-F238E27FC236}">
              <a16:creationId xmlns:a16="http://schemas.microsoft.com/office/drawing/2014/main" id="{28E44A62-A775-4480-9B05-C9DCF5AA0453}"/>
            </a:ext>
          </a:extLst>
        </xdr:cNvPr>
        <xdr:cNvSpPr/>
      </xdr:nvSpPr>
      <xdr:spPr>
        <a:xfrm>
          <a:off x="239485" y="5355772"/>
          <a:ext cx="3456000" cy="792000"/>
        </a:xfrm>
        <a:prstGeom prst="snip2DiagRect">
          <a:avLst/>
        </a:prstGeom>
        <a:solidFill>
          <a:schemeClr val="tx2">
            <a:lumMod val="60000"/>
            <a:lumOff val="40000"/>
            <a:alpha val="80000"/>
          </a:scheme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T4 FINANSIERINGSBUDGET</a:t>
          </a:r>
          <a:br>
            <a:rPr lang="fi-FI" sz="1200" b="1">
              <a:solidFill>
                <a:sysClr val="windowText" lastClr="000000"/>
              </a:solidFill>
              <a:latin typeface="+mn-lt"/>
              <a:cs typeface="Arial" pitchFamily="34" charset="0"/>
            </a:rPr>
          </a:br>
          <a:r>
            <a:rPr lang="fi-FI" sz="1100" b="0">
              <a:solidFill>
                <a:sysClr val="windowText" lastClr="000000"/>
              </a:solidFill>
              <a:latin typeface="+mn-lt"/>
              <a:cs typeface="Arial" pitchFamily="34" charset="0"/>
            </a:rPr>
            <a:t>Fylls i förverkligade siffrorna av balansen och prognos för framtiden.</a:t>
          </a:r>
          <a:endParaRPr lang="fi-FI" sz="1100" b="1">
            <a:solidFill>
              <a:sysClr val="windowText" lastClr="000000"/>
            </a:solidFill>
            <a:latin typeface="+mn-lt"/>
            <a:cs typeface="Arial" pitchFamily="34" charset="0"/>
          </a:endParaRPr>
        </a:p>
      </xdr:txBody>
    </xdr:sp>
    <xdr:clientData/>
  </xdr:twoCellAnchor>
  <xdr:twoCellAnchor>
    <xdr:from>
      <xdr:col>5</xdr:col>
      <xdr:colOff>364672</xdr:colOff>
      <xdr:row>16</xdr:row>
      <xdr:rowOff>342900</xdr:rowOff>
    </xdr:from>
    <xdr:to>
      <xdr:col>8</xdr:col>
      <xdr:colOff>141300</xdr:colOff>
      <xdr:row>20</xdr:row>
      <xdr:rowOff>46329</xdr:rowOff>
    </xdr:to>
    <xdr:sp macro="" textlink="">
      <xdr:nvSpPr>
        <xdr:cNvPr id="45" name="Suorakulmio: Vastakkaiset kulmat leikattu 44">
          <a:extLst>
            <a:ext uri="{FF2B5EF4-FFF2-40B4-BE49-F238E27FC236}">
              <a16:creationId xmlns:a16="http://schemas.microsoft.com/office/drawing/2014/main" id="{4E62DC28-4BE0-475D-AB34-3C8171EBFDA9}"/>
            </a:ext>
          </a:extLst>
        </xdr:cNvPr>
        <xdr:cNvSpPr/>
      </xdr:nvSpPr>
      <xdr:spPr>
        <a:xfrm>
          <a:off x="3935186" y="4425043"/>
          <a:ext cx="3456000" cy="792000"/>
        </a:xfrm>
        <a:prstGeom prst="snip2DiagRect">
          <a:avLst/>
        </a:prstGeom>
        <a:solidFill>
          <a:schemeClr val="tx2">
            <a:lumMod val="60000"/>
            <a:lumOff val="40000"/>
            <a:alpha val="80000"/>
          </a:scheme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T3 BALANS</a:t>
          </a:r>
          <a:br>
            <a:rPr lang="fi-FI" sz="1200" b="1">
              <a:solidFill>
                <a:sysClr val="windowText" lastClr="000000"/>
              </a:solidFill>
              <a:latin typeface="+mn-lt"/>
              <a:cs typeface="Arial" pitchFamily="34" charset="0"/>
            </a:rPr>
          </a:br>
          <a:r>
            <a:rPr lang="fi-FI" sz="1100" b="0">
              <a:solidFill>
                <a:sysClr val="windowText" lastClr="000000"/>
              </a:solidFill>
              <a:latin typeface="+mn-lt"/>
              <a:cs typeface="Arial" pitchFamily="34" charset="0"/>
            </a:rPr>
            <a:t>Fyll i blanketten slut och kontrollera, att balansens Aktiva och Passiva stämmer.</a:t>
          </a:r>
          <a:endParaRPr lang="fi-FI" sz="1100" b="1">
            <a:solidFill>
              <a:sysClr val="windowText" lastClr="000000"/>
            </a:solidFill>
            <a:latin typeface="+mn-lt"/>
            <a:cs typeface="Arial" pitchFamily="34" charset="0"/>
          </a:endParaRPr>
        </a:p>
      </xdr:txBody>
    </xdr:sp>
    <xdr:clientData/>
  </xdr:twoCellAnchor>
  <xdr:twoCellAnchor>
    <xdr:from>
      <xdr:col>0</xdr:col>
      <xdr:colOff>239484</xdr:colOff>
      <xdr:row>16</xdr:row>
      <xdr:rowOff>326570</xdr:rowOff>
    </xdr:from>
    <xdr:to>
      <xdr:col>5</xdr:col>
      <xdr:colOff>124970</xdr:colOff>
      <xdr:row>20</xdr:row>
      <xdr:rowOff>29999</xdr:rowOff>
    </xdr:to>
    <xdr:sp macro="" textlink="">
      <xdr:nvSpPr>
        <xdr:cNvPr id="43" name="Suorakulmio: Vastakkaiset kulmat leikattu 42">
          <a:extLst>
            <a:ext uri="{FF2B5EF4-FFF2-40B4-BE49-F238E27FC236}">
              <a16:creationId xmlns:a16="http://schemas.microsoft.com/office/drawing/2014/main" id="{A2C9ACC9-47AE-4DDD-B9C2-327D372020B6}"/>
            </a:ext>
          </a:extLst>
        </xdr:cNvPr>
        <xdr:cNvSpPr/>
      </xdr:nvSpPr>
      <xdr:spPr>
        <a:xfrm>
          <a:off x="239484" y="4408713"/>
          <a:ext cx="3456000" cy="792000"/>
        </a:xfrm>
        <a:prstGeom prst="snip2DiagRect">
          <a:avLst/>
        </a:prstGeom>
        <a:solidFill>
          <a:schemeClr val="tx2">
            <a:lumMod val="60000"/>
            <a:lumOff val="40000"/>
            <a:alpha val="80000"/>
          </a:scheme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effectLst/>
              <a:latin typeface="+mn-lt"/>
              <a:cs typeface="Arial" pitchFamily="34" charset="0"/>
            </a:rPr>
            <a:t>T2 RESULTATBUDGET</a:t>
          </a:r>
        </a:p>
        <a:p>
          <a:pPr algn="l"/>
          <a:r>
            <a:rPr lang="fi-FI" sz="1100" b="0">
              <a:solidFill>
                <a:sysClr val="windowText" lastClr="000000"/>
              </a:solidFill>
              <a:effectLst/>
              <a:latin typeface="+mn-lt"/>
              <a:cs typeface="Arial" pitchFamily="34" charset="0"/>
            </a:rPr>
            <a:t>Fylls i de gula cellerna av prognosåren.</a:t>
          </a:r>
          <a:endParaRPr lang="fi-FI" sz="1100" b="1">
            <a:solidFill>
              <a:sysClr val="windowText" lastClr="000000"/>
            </a:solidFill>
            <a:effectLst/>
            <a:latin typeface="+mn-lt"/>
            <a:cs typeface="Arial" pitchFamily="34" charset="0"/>
          </a:endParaRPr>
        </a:p>
      </xdr:txBody>
    </xdr:sp>
    <xdr:clientData/>
  </xdr:twoCellAnchor>
  <xdr:twoCellAnchor>
    <xdr:from>
      <xdr:col>5</xdr:col>
      <xdr:colOff>386441</xdr:colOff>
      <xdr:row>12</xdr:row>
      <xdr:rowOff>38100</xdr:rowOff>
    </xdr:from>
    <xdr:to>
      <xdr:col>8</xdr:col>
      <xdr:colOff>163069</xdr:colOff>
      <xdr:row>14</xdr:row>
      <xdr:rowOff>285814</xdr:rowOff>
    </xdr:to>
    <xdr:sp macro="" textlink="">
      <xdr:nvSpPr>
        <xdr:cNvPr id="42" name="Suorakulmio: Vastakkaiset kulmat leikattu 41">
          <a:extLst>
            <a:ext uri="{FF2B5EF4-FFF2-40B4-BE49-F238E27FC236}">
              <a16:creationId xmlns:a16="http://schemas.microsoft.com/office/drawing/2014/main" id="{DC0120D2-AA7E-4A54-AEAF-ECB789632C8B}"/>
            </a:ext>
          </a:extLst>
        </xdr:cNvPr>
        <xdr:cNvSpPr/>
      </xdr:nvSpPr>
      <xdr:spPr>
        <a:xfrm>
          <a:off x="3956955" y="3031671"/>
          <a:ext cx="3456000" cy="792000"/>
        </a:xfrm>
        <a:prstGeom prst="snip2DiagRect">
          <a:avLst/>
        </a:prstGeom>
        <a:solidFill>
          <a:srgbClr val="FFFF00">
            <a:alpha val="70000"/>
          </a:srgb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E2 OMSÄTTNING</a:t>
          </a:r>
        </a:p>
        <a:p>
          <a:pPr algn="l"/>
          <a:r>
            <a:rPr lang="fi-FI" sz="1100" b="0">
              <a:solidFill>
                <a:sysClr val="windowText" lastClr="000000"/>
              </a:solidFill>
              <a:latin typeface="+mn-lt"/>
              <a:cs typeface="Arial" pitchFamily="34" charset="0"/>
            </a:rPr>
            <a:t>Fyll i nuvarande lånen och ny finansiering.</a:t>
          </a:r>
          <a:endParaRPr lang="fi-FI" sz="1100" b="1">
            <a:solidFill>
              <a:sysClr val="windowText" lastClr="000000"/>
            </a:solidFill>
            <a:latin typeface="+mn-lt"/>
            <a:cs typeface="Arial" pitchFamily="34" charset="0"/>
          </a:endParaRPr>
        </a:p>
      </xdr:txBody>
    </xdr:sp>
    <xdr:clientData/>
  </xdr:twoCellAnchor>
  <xdr:twoCellAnchor>
    <xdr:from>
      <xdr:col>5</xdr:col>
      <xdr:colOff>364672</xdr:colOff>
      <xdr:row>8</xdr:row>
      <xdr:rowOff>146956</xdr:rowOff>
    </xdr:from>
    <xdr:to>
      <xdr:col>8</xdr:col>
      <xdr:colOff>130628</xdr:colOff>
      <xdr:row>10</xdr:row>
      <xdr:rowOff>394670</xdr:rowOff>
    </xdr:to>
    <xdr:sp macro="" textlink="">
      <xdr:nvSpPr>
        <xdr:cNvPr id="40" name="Suorakulmio: Vastakkaiset kulmat leikattu 39">
          <a:extLst>
            <a:ext uri="{FF2B5EF4-FFF2-40B4-BE49-F238E27FC236}">
              <a16:creationId xmlns:a16="http://schemas.microsoft.com/office/drawing/2014/main" id="{E44BAA57-5002-4918-9A17-CF0CABEDCDC6}"/>
            </a:ext>
          </a:extLst>
        </xdr:cNvPr>
        <xdr:cNvSpPr/>
      </xdr:nvSpPr>
      <xdr:spPr>
        <a:xfrm>
          <a:off x="3935186" y="2051956"/>
          <a:ext cx="3445328" cy="792000"/>
        </a:xfrm>
        <a:prstGeom prst="snip2DiagRect">
          <a:avLst/>
        </a:prstGeom>
        <a:solidFill>
          <a:srgbClr val="FFFF00">
            <a:alpha val="70000"/>
          </a:srgb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T7 LÅN</a:t>
          </a:r>
        </a:p>
        <a:p>
          <a:pPr algn="l"/>
          <a:r>
            <a:rPr lang="fi-FI" sz="1100" b="0">
              <a:solidFill>
                <a:sysClr val="windowText" lastClr="000000"/>
              </a:solidFill>
              <a:latin typeface="+mn-lt"/>
              <a:cs typeface="Arial" pitchFamily="34" charset="0"/>
            </a:rPr>
            <a:t>Fyll i de förverkligade verksamhetskostnaderna av resultaträkningen i gula cellerna. </a:t>
          </a:r>
          <a:endParaRPr lang="fi-FI" sz="1100" b="1">
            <a:solidFill>
              <a:sysClr val="windowText" lastClr="000000"/>
            </a:solidFill>
            <a:latin typeface="+mn-lt"/>
            <a:cs typeface="Arial" pitchFamily="34" charset="0"/>
          </a:endParaRPr>
        </a:p>
      </xdr:txBody>
    </xdr:sp>
    <xdr:clientData/>
  </xdr:twoCellAnchor>
  <xdr:twoCellAnchor>
    <xdr:from>
      <xdr:col>0</xdr:col>
      <xdr:colOff>244928</xdr:colOff>
      <xdr:row>8</xdr:row>
      <xdr:rowOff>141515</xdr:rowOff>
    </xdr:from>
    <xdr:to>
      <xdr:col>5</xdr:col>
      <xdr:colOff>130414</xdr:colOff>
      <xdr:row>10</xdr:row>
      <xdr:rowOff>389229</xdr:rowOff>
    </xdr:to>
    <xdr:sp macro="" textlink="">
      <xdr:nvSpPr>
        <xdr:cNvPr id="39" name="Suorakulmio: Vastakkaiset kulmat leikattu 38">
          <a:extLst>
            <a:ext uri="{FF2B5EF4-FFF2-40B4-BE49-F238E27FC236}">
              <a16:creationId xmlns:a16="http://schemas.microsoft.com/office/drawing/2014/main" id="{04DF2DA1-FEC9-445C-A2E4-0B7C07707C45}"/>
            </a:ext>
          </a:extLst>
        </xdr:cNvPr>
        <xdr:cNvSpPr/>
      </xdr:nvSpPr>
      <xdr:spPr>
        <a:xfrm>
          <a:off x="244928" y="2046515"/>
          <a:ext cx="3456000" cy="792000"/>
        </a:xfrm>
        <a:prstGeom prst="snip2DiagRect">
          <a:avLst/>
        </a:prstGeom>
        <a:solidFill>
          <a:srgbClr val="FFFF00">
            <a:alpha val="70000"/>
          </a:srgbClr>
        </a:solidFill>
        <a:ln>
          <a:noFill/>
        </a:ln>
        <a:effectLst>
          <a:outerShdw blurRad="254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T3 BALANS</a:t>
          </a:r>
        </a:p>
        <a:p>
          <a:pPr algn="l"/>
          <a:r>
            <a:rPr lang="fi-FI" sz="1100" b="0">
              <a:solidFill>
                <a:sysClr val="windowText" lastClr="000000"/>
              </a:solidFill>
              <a:latin typeface="+mn-lt"/>
              <a:cs typeface="Arial" pitchFamily="34" charset="0"/>
            </a:rPr>
            <a:t>Fyll i den förverkligade balansen i gula cellerna</a:t>
          </a:r>
          <a:r>
            <a:rPr lang="fi-FI" sz="1100" b="1">
              <a:solidFill>
                <a:sysClr val="windowText" lastClr="000000"/>
              </a:solidFill>
              <a:latin typeface="+mn-lt"/>
              <a:cs typeface="Arial" pitchFamily="34" charset="0"/>
            </a:rPr>
            <a:t>.</a:t>
          </a:r>
        </a:p>
      </xdr:txBody>
    </xdr:sp>
    <xdr:clientData/>
  </xdr:twoCellAnchor>
  <xdr:twoCellAnchor editAs="oneCell">
    <xdr:from>
      <xdr:col>0</xdr:col>
      <xdr:colOff>211594</xdr:colOff>
      <xdr:row>0</xdr:row>
      <xdr:rowOff>95250</xdr:rowOff>
    </xdr:from>
    <xdr:to>
      <xdr:col>11</xdr:col>
      <xdr:colOff>21773</xdr:colOff>
      <xdr:row>2</xdr:row>
      <xdr:rowOff>119743</xdr:rowOff>
    </xdr:to>
    <xdr:pic>
      <xdr:nvPicPr>
        <xdr:cNvPr id="4" name="Kuva 3">
          <a:extLst>
            <a:ext uri="{FF2B5EF4-FFF2-40B4-BE49-F238E27FC236}">
              <a16:creationId xmlns:a16="http://schemas.microsoft.com/office/drawing/2014/main" id="{F84CDB6D-5F51-471F-B688-F7F17726BF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594" y="95250"/>
          <a:ext cx="8948736" cy="340179"/>
        </a:xfrm>
        <a:prstGeom prst="rect">
          <a:avLst/>
        </a:prstGeom>
      </xdr:spPr>
    </xdr:pic>
    <xdr:clientData/>
  </xdr:twoCellAnchor>
  <xdr:twoCellAnchor>
    <xdr:from>
      <xdr:col>0</xdr:col>
      <xdr:colOff>206829</xdr:colOff>
      <xdr:row>0</xdr:row>
      <xdr:rowOff>95109</xdr:rowOff>
    </xdr:from>
    <xdr:to>
      <xdr:col>7</xdr:col>
      <xdr:colOff>522514</xdr:colOff>
      <xdr:row>2</xdr:row>
      <xdr:rowOff>113330</xdr:rowOff>
    </xdr:to>
    <xdr:sp macro="" textlink="">
      <xdr:nvSpPr>
        <xdr:cNvPr id="53" name="Tekstikehys 35">
          <a:extLst>
            <a:ext uri="{FF2B5EF4-FFF2-40B4-BE49-F238E27FC236}">
              <a16:creationId xmlns:a16="http://schemas.microsoft.com/office/drawing/2014/main" id="{00000000-0008-0000-0000-000035000000}"/>
            </a:ext>
          </a:extLst>
        </xdr:cNvPr>
        <xdr:cNvSpPr txBox="1"/>
      </xdr:nvSpPr>
      <xdr:spPr>
        <a:xfrm>
          <a:off x="206829" y="95109"/>
          <a:ext cx="7037614" cy="33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i-FI" sz="1500" b="1" i="1">
              <a:solidFill>
                <a:schemeClr val="bg1"/>
              </a:solidFill>
            </a:rPr>
            <a:t>FT22 DET AKTIVA FÖRETAGETS</a:t>
          </a:r>
          <a:r>
            <a:rPr lang="fi-FI" sz="1500" b="1" i="1" baseline="0">
              <a:solidFill>
                <a:schemeClr val="bg1"/>
              </a:solidFill>
            </a:rPr>
            <a:t> RESULTATPLAN</a:t>
          </a:r>
          <a:endParaRPr lang="fi-FI" sz="1500" b="1" i="1">
            <a:solidFill>
              <a:schemeClr val="bg1"/>
            </a:solidFill>
          </a:endParaRPr>
        </a:p>
      </xdr:txBody>
    </xdr:sp>
    <xdr:clientData/>
  </xdr:twoCellAnchor>
  <xdr:twoCellAnchor editAs="oneCell">
    <xdr:from>
      <xdr:col>9</xdr:col>
      <xdr:colOff>31784</xdr:colOff>
      <xdr:row>20</xdr:row>
      <xdr:rowOff>342901</xdr:rowOff>
    </xdr:from>
    <xdr:to>
      <xdr:col>11</xdr:col>
      <xdr:colOff>65311</xdr:colOff>
      <xdr:row>22</xdr:row>
      <xdr:rowOff>241029</xdr:rowOff>
    </xdr:to>
    <xdr:pic>
      <xdr:nvPicPr>
        <xdr:cNvPr id="52" name="Kuva 37" descr="Företagstolken logo Liten .jpg">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09627" y="5513615"/>
          <a:ext cx="1394241" cy="44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48986</xdr:colOff>
      <xdr:row>8</xdr:row>
      <xdr:rowOff>288473</xdr:rowOff>
    </xdr:from>
    <xdr:to>
      <xdr:col>2</xdr:col>
      <xdr:colOff>66086</xdr:colOff>
      <xdr:row>10</xdr:row>
      <xdr:rowOff>104187</xdr:rowOff>
    </xdr:to>
    <xdr:pic>
      <xdr:nvPicPr>
        <xdr:cNvPr id="64" name="Kuva 63">
          <a:hlinkClick xmlns:r="http://schemas.openxmlformats.org/officeDocument/2006/relationships" r:id="rId4"/>
          <a:extLst>
            <a:ext uri="{FF2B5EF4-FFF2-40B4-BE49-F238E27FC236}">
              <a16:creationId xmlns:a16="http://schemas.microsoft.com/office/drawing/2014/main" id="{4EDDB20C-FF0A-4056-B6CB-A3A152407E3F}"/>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0243" y="2193473"/>
          <a:ext cx="360000" cy="360000"/>
        </a:xfrm>
        <a:prstGeom prst="rect">
          <a:avLst/>
        </a:prstGeom>
      </xdr:spPr>
    </xdr:pic>
    <xdr:clientData/>
  </xdr:twoCellAnchor>
  <xdr:twoCellAnchor editAs="oneCell">
    <xdr:from>
      <xdr:col>5</xdr:col>
      <xdr:colOff>413657</xdr:colOff>
      <xdr:row>8</xdr:row>
      <xdr:rowOff>288471</xdr:rowOff>
    </xdr:from>
    <xdr:to>
      <xdr:col>5</xdr:col>
      <xdr:colOff>773657</xdr:colOff>
      <xdr:row>10</xdr:row>
      <xdr:rowOff>104185</xdr:rowOff>
    </xdr:to>
    <xdr:pic>
      <xdr:nvPicPr>
        <xdr:cNvPr id="65" name="Kuva 64">
          <a:hlinkClick xmlns:r="http://schemas.openxmlformats.org/officeDocument/2006/relationships" r:id="rId6"/>
          <a:extLst>
            <a:ext uri="{FF2B5EF4-FFF2-40B4-BE49-F238E27FC236}">
              <a16:creationId xmlns:a16="http://schemas.microsoft.com/office/drawing/2014/main" id="{030BB120-C3ED-4491-82DE-4489D048AD2D}"/>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84171" y="2193471"/>
          <a:ext cx="360000" cy="360000"/>
        </a:xfrm>
        <a:prstGeom prst="rect">
          <a:avLst/>
        </a:prstGeom>
      </xdr:spPr>
    </xdr:pic>
    <xdr:clientData/>
  </xdr:twoCellAnchor>
  <xdr:twoCellAnchor>
    <xdr:from>
      <xdr:col>0</xdr:col>
      <xdr:colOff>239486</xdr:colOff>
      <xdr:row>12</xdr:row>
      <xdr:rowOff>48985</xdr:rowOff>
    </xdr:from>
    <xdr:to>
      <xdr:col>5</xdr:col>
      <xdr:colOff>124972</xdr:colOff>
      <xdr:row>14</xdr:row>
      <xdr:rowOff>296699</xdr:rowOff>
    </xdr:to>
    <xdr:sp macro="" textlink="">
      <xdr:nvSpPr>
        <xdr:cNvPr id="41" name="Suorakulmio: Vastakkaiset kulmat leikattu 40">
          <a:extLst>
            <a:ext uri="{FF2B5EF4-FFF2-40B4-BE49-F238E27FC236}">
              <a16:creationId xmlns:a16="http://schemas.microsoft.com/office/drawing/2014/main" id="{F3EEF07A-E720-4B09-8573-6340F4D2DF75}"/>
            </a:ext>
          </a:extLst>
        </xdr:cNvPr>
        <xdr:cNvSpPr/>
      </xdr:nvSpPr>
      <xdr:spPr>
        <a:xfrm>
          <a:off x="239486" y="3042556"/>
          <a:ext cx="3456000" cy="792000"/>
        </a:xfrm>
        <a:prstGeom prst="snip2DiagRect">
          <a:avLst/>
        </a:prstGeom>
        <a:solidFill>
          <a:srgbClr val="FFFF00">
            <a:alpha val="70000"/>
          </a:srgb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E1 VERKSAMHETSKOSTNADER</a:t>
          </a:r>
        </a:p>
        <a:p>
          <a:pPr algn="l"/>
          <a:r>
            <a:rPr lang="fi-FI" sz="1100" b="0">
              <a:solidFill>
                <a:sysClr val="windowText" lastClr="000000"/>
              </a:solidFill>
              <a:latin typeface="+mn-lt"/>
              <a:cs typeface="Arial" pitchFamily="34" charset="0"/>
            </a:rPr>
            <a:t>Fyll i de förverkligade försäljningssiffrorna av resultaträkningen i gula cellerna. </a:t>
          </a:r>
          <a:endParaRPr lang="fi-FI" sz="1100" b="1">
            <a:solidFill>
              <a:sysClr val="windowText" lastClr="000000"/>
            </a:solidFill>
            <a:latin typeface="+mn-lt"/>
            <a:cs typeface="Arial" pitchFamily="34" charset="0"/>
          </a:endParaRPr>
        </a:p>
      </xdr:txBody>
    </xdr:sp>
    <xdr:clientData/>
  </xdr:twoCellAnchor>
  <xdr:twoCellAnchor>
    <xdr:from>
      <xdr:col>1</xdr:col>
      <xdr:colOff>40446</xdr:colOff>
      <xdr:row>12</xdr:row>
      <xdr:rowOff>191730</xdr:rowOff>
    </xdr:from>
    <xdr:to>
      <xdr:col>2</xdr:col>
      <xdr:colOff>57546</xdr:colOff>
      <xdr:row>14</xdr:row>
      <xdr:rowOff>7445</xdr:rowOff>
    </xdr:to>
    <xdr:pic>
      <xdr:nvPicPr>
        <xdr:cNvPr id="66" name="Kuva 65">
          <a:hlinkClick xmlns:r="http://schemas.openxmlformats.org/officeDocument/2006/relationships" r:id="rId8"/>
          <a:extLst>
            <a:ext uri="{FF2B5EF4-FFF2-40B4-BE49-F238E27FC236}">
              <a16:creationId xmlns:a16="http://schemas.microsoft.com/office/drawing/2014/main" id="{C4B4E228-CDE6-4483-AEB8-573544DE6167}"/>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01703" y="3185301"/>
          <a:ext cx="360000" cy="360001"/>
        </a:xfrm>
        <a:prstGeom prst="rect">
          <a:avLst/>
        </a:prstGeom>
      </xdr:spPr>
    </xdr:pic>
    <xdr:clientData/>
  </xdr:twoCellAnchor>
  <xdr:twoCellAnchor editAs="oneCell">
    <xdr:from>
      <xdr:col>5</xdr:col>
      <xdr:colOff>413656</xdr:colOff>
      <xdr:row>12</xdr:row>
      <xdr:rowOff>190500</xdr:rowOff>
    </xdr:from>
    <xdr:to>
      <xdr:col>5</xdr:col>
      <xdr:colOff>773656</xdr:colOff>
      <xdr:row>14</xdr:row>
      <xdr:rowOff>6214</xdr:rowOff>
    </xdr:to>
    <xdr:pic>
      <xdr:nvPicPr>
        <xdr:cNvPr id="67" name="Kuva 66">
          <a:hlinkClick xmlns:r="http://schemas.openxmlformats.org/officeDocument/2006/relationships" r:id="rId10"/>
          <a:extLst>
            <a:ext uri="{FF2B5EF4-FFF2-40B4-BE49-F238E27FC236}">
              <a16:creationId xmlns:a16="http://schemas.microsoft.com/office/drawing/2014/main" id="{64C067DA-52A5-432F-8ABD-668A6609F78F}"/>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84170" y="3184071"/>
          <a:ext cx="360000" cy="360000"/>
        </a:xfrm>
        <a:prstGeom prst="rect">
          <a:avLst/>
        </a:prstGeom>
      </xdr:spPr>
    </xdr:pic>
    <xdr:clientData/>
  </xdr:twoCellAnchor>
  <xdr:twoCellAnchor editAs="oneCell">
    <xdr:from>
      <xdr:col>1</xdr:col>
      <xdr:colOff>48987</xdr:colOff>
      <xdr:row>17</xdr:row>
      <xdr:rowOff>21771</xdr:rowOff>
    </xdr:from>
    <xdr:to>
      <xdr:col>2</xdr:col>
      <xdr:colOff>66087</xdr:colOff>
      <xdr:row>18</xdr:row>
      <xdr:rowOff>256585</xdr:rowOff>
    </xdr:to>
    <xdr:pic>
      <xdr:nvPicPr>
        <xdr:cNvPr id="68" name="Kuva 67">
          <a:hlinkClick xmlns:r="http://schemas.openxmlformats.org/officeDocument/2006/relationships" r:id="rId12"/>
          <a:extLst>
            <a:ext uri="{FF2B5EF4-FFF2-40B4-BE49-F238E27FC236}">
              <a16:creationId xmlns:a16="http://schemas.microsoft.com/office/drawing/2014/main" id="{55BCB3F7-D485-4649-B318-3264256652E1}"/>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0244" y="4523014"/>
          <a:ext cx="360000" cy="360000"/>
        </a:xfrm>
        <a:prstGeom prst="rect">
          <a:avLst/>
        </a:prstGeom>
      </xdr:spPr>
    </xdr:pic>
    <xdr:clientData/>
  </xdr:twoCellAnchor>
  <xdr:twoCellAnchor editAs="oneCell">
    <xdr:from>
      <xdr:col>5</xdr:col>
      <xdr:colOff>419100</xdr:colOff>
      <xdr:row>17</xdr:row>
      <xdr:rowOff>81645</xdr:rowOff>
    </xdr:from>
    <xdr:to>
      <xdr:col>5</xdr:col>
      <xdr:colOff>775754</xdr:colOff>
      <xdr:row>18</xdr:row>
      <xdr:rowOff>316459</xdr:rowOff>
    </xdr:to>
    <xdr:pic>
      <xdr:nvPicPr>
        <xdr:cNvPr id="69" name="Kuva 68">
          <a:hlinkClick xmlns:r="http://schemas.openxmlformats.org/officeDocument/2006/relationships" r:id="rId4"/>
          <a:extLst>
            <a:ext uri="{FF2B5EF4-FFF2-40B4-BE49-F238E27FC236}">
              <a16:creationId xmlns:a16="http://schemas.microsoft.com/office/drawing/2014/main" id="{6E274C7A-1B77-469A-9286-5C5605F265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989614" y="4582888"/>
          <a:ext cx="356654" cy="360000"/>
        </a:xfrm>
        <a:prstGeom prst="rect">
          <a:avLst/>
        </a:prstGeom>
      </xdr:spPr>
    </xdr:pic>
    <xdr:clientData/>
  </xdr:twoCellAnchor>
  <xdr:twoCellAnchor editAs="oneCell">
    <xdr:from>
      <xdr:col>1</xdr:col>
      <xdr:colOff>54429</xdr:colOff>
      <xdr:row>20</xdr:row>
      <xdr:rowOff>326572</xdr:rowOff>
    </xdr:from>
    <xdr:to>
      <xdr:col>2</xdr:col>
      <xdr:colOff>71529</xdr:colOff>
      <xdr:row>22</xdr:row>
      <xdr:rowOff>142286</xdr:rowOff>
    </xdr:to>
    <xdr:pic>
      <xdr:nvPicPr>
        <xdr:cNvPr id="70" name="Kuva 69">
          <a:hlinkClick xmlns:r="http://schemas.openxmlformats.org/officeDocument/2006/relationships" r:id="rId15"/>
          <a:extLst>
            <a:ext uri="{FF2B5EF4-FFF2-40B4-BE49-F238E27FC236}">
              <a16:creationId xmlns:a16="http://schemas.microsoft.com/office/drawing/2014/main" id="{FF4C4A9E-EF72-4FDF-862D-8F74CEB2BA72}"/>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15686" y="5497286"/>
          <a:ext cx="360000" cy="360000"/>
        </a:xfrm>
        <a:prstGeom prst="rect">
          <a:avLst/>
        </a:prstGeom>
      </xdr:spPr>
    </xdr:pic>
    <xdr:clientData/>
  </xdr:twoCellAnchor>
  <xdr:twoCellAnchor editAs="oneCell">
    <xdr:from>
      <xdr:col>5</xdr:col>
      <xdr:colOff>413658</xdr:colOff>
      <xdr:row>20</xdr:row>
      <xdr:rowOff>337457</xdr:rowOff>
    </xdr:from>
    <xdr:to>
      <xdr:col>5</xdr:col>
      <xdr:colOff>773658</xdr:colOff>
      <xdr:row>22</xdr:row>
      <xdr:rowOff>153171</xdr:rowOff>
    </xdr:to>
    <xdr:pic>
      <xdr:nvPicPr>
        <xdr:cNvPr id="71" name="Kuva 70">
          <a:hlinkClick xmlns:r="http://schemas.openxmlformats.org/officeDocument/2006/relationships" r:id="rId17"/>
          <a:extLst>
            <a:ext uri="{FF2B5EF4-FFF2-40B4-BE49-F238E27FC236}">
              <a16:creationId xmlns:a16="http://schemas.microsoft.com/office/drawing/2014/main" id="{D37DD50A-1007-4F4F-B74C-7576F5D3B77C}"/>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984172" y="5508171"/>
          <a:ext cx="360000" cy="360000"/>
        </a:xfrm>
        <a:prstGeom prst="rect">
          <a:avLst/>
        </a:prstGeom>
      </xdr:spPr>
    </xdr:pic>
    <xdr:clientData/>
  </xdr:twoCellAnchor>
  <xdr:twoCellAnchor editAs="oneCell">
    <xdr:from>
      <xdr:col>5</xdr:col>
      <xdr:colOff>65314</xdr:colOff>
      <xdr:row>24</xdr:row>
      <xdr:rowOff>174171</xdr:rowOff>
    </xdr:from>
    <xdr:to>
      <xdr:col>5</xdr:col>
      <xdr:colOff>474757</xdr:colOff>
      <xdr:row>26</xdr:row>
      <xdr:rowOff>12999</xdr:rowOff>
    </xdr:to>
    <xdr:pic>
      <xdr:nvPicPr>
        <xdr:cNvPr id="72" name="Kuva 71" descr="Tulostin">
          <a:hlinkClick xmlns:r="http://schemas.openxmlformats.org/officeDocument/2006/relationships" r:id="rId19"/>
          <a:extLst>
            <a:ext uri="{FF2B5EF4-FFF2-40B4-BE49-F238E27FC236}">
              <a16:creationId xmlns:a16="http://schemas.microsoft.com/office/drawing/2014/main" id="{01360568-9409-4F59-ACE4-104788B7BB0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635828" y="6428014"/>
          <a:ext cx="409443" cy="415771"/>
        </a:xfrm>
        <a:prstGeom prst="rect">
          <a:avLst/>
        </a:prstGeom>
      </xdr:spPr>
    </xdr:pic>
    <xdr:clientData/>
  </xdr:twoCellAnchor>
  <xdr:twoCellAnchor>
    <xdr:from>
      <xdr:col>0</xdr:col>
      <xdr:colOff>234040</xdr:colOff>
      <xdr:row>4</xdr:row>
      <xdr:rowOff>81642</xdr:rowOff>
    </xdr:from>
    <xdr:to>
      <xdr:col>5</xdr:col>
      <xdr:colOff>119526</xdr:colOff>
      <xdr:row>7</xdr:row>
      <xdr:rowOff>87085</xdr:rowOff>
    </xdr:to>
    <xdr:sp macro="" textlink="">
      <xdr:nvSpPr>
        <xdr:cNvPr id="6" name="Suorakulmio: Vastakkaiset kulmat leikattu 5">
          <a:extLst>
            <a:ext uri="{FF2B5EF4-FFF2-40B4-BE49-F238E27FC236}">
              <a16:creationId xmlns:a16="http://schemas.microsoft.com/office/drawing/2014/main" id="{B5F5EFA1-5B5E-4C04-BC62-DA3DAD0CD2F4}"/>
            </a:ext>
          </a:extLst>
        </xdr:cNvPr>
        <xdr:cNvSpPr/>
      </xdr:nvSpPr>
      <xdr:spPr>
        <a:xfrm>
          <a:off x="234040" y="870856"/>
          <a:ext cx="3456000" cy="996043"/>
        </a:xfrm>
        <a:prstGeom prst="snip2DiagRect">
          <a:avLst/>
        </a:prstGeom>
        <a:solidFill>
          <a:srgbClr val="FFFF00">
            <a:alpha val="70000"/>
          </a:srgb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T1 INVESTERINGSPLAN</a:t>
          </a:r>
        </a:p>
        <a:p>
          <a:pPr algn="l"/>
          <a:r>
            <a:rPr lang="fi-FI" sz="1100" b="0">
              <a:solidFill>
                <a:sysClr val="windowText" lastClr="000000"/>
              </a:solidFill>
              <a:latin typeface="+mn-lt"/>
              <a:cs typeface="Arial" pitchFamily="34" charset="0"/>
            </a:rPr>
            <a:t>Projektens grundinformation, uträknande av penningbehovet och finansieringen. Observera Moms- och bidragsprocenten. </a:t>
          </a:r>
        </a:p>
      </xdr:txBody>
    </xdr:sp>
    <xdr:clientData/>
  </xdr:twoCellAnchor>
  <xdr:twoCellAnchor>
    <xdr:from>
      <xdr:col>1</xdr:col>
      <xdr:colOff>54428</xdr:colOff>
      <xdr:row>4</xdr:row>
      <xdr:rowOff>244926</xdr:rowOff>
    </xdr:from>
    <xdr:to>
      <xdr:col>2</xdr:col>
      <xdr:colOff>71528</xdr:colOff>
      <xdr:row>6</xdr:row>
      <xdr:rowOff>33426</xdr:rowOff>
    </xdr:to>
    <xdr:pic>
      <xdr:nvPicPr>
        <xdr:cNvPr id="73" name="Kuva 72">
          <a:hlinkClick xmlns:r="http://schemas.openxmlformats.org/officeDocument/2006/relationships" r:id="rId22"/>
          <a:extLst>
            <a:ext uri="{FF2B5EF4-FFF2-40B4-BE49-F238E27FC236}">
              <a16:creationId xmlns:a16="http://schemas.microsoft.com/office/drawing/2014/main" id="{3AAFDBFA-74E0-46A3-9E1F-3157C381929A}"/>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15685" y="1034140"/>
          <a:ext cx="360000" cy="360000"/>
        </a:xfrm>
        <a:prstGeom prst="rect">
          <a:avLst/>
        </a:prstGeom>
      </xdr:spPr>
    </xdr:pic>
    <xdr:clientData/>
  </xdr:twoCellAnchor>
  <xdr:twoCellAnchor>
    <xdr:from>
      <xdr:col>5</xdr:col>
      <xdr:colOff>348342</xdr:colOff>
      <xdr:row>4</xdr:row>
      <xdr:rowOff>87087</xdr:rowOff>
    </xdr:from>
    <xdr:to>
      <xdr:col>8</xdr:col>
      <xdr:colOff>124970</xdr:colOff>
      <xdr:row>7</xdr:row>
      <xdr:rowOff>108859</xdr:rowOff>
    </xdr:to>
    <xdr:sp macro="" textlink="">
      <xdr:nvSpPr>
        <xdr:cNvPr id="38" name="Suorakulmio: Vastakkaiset kulmat leikattu 37">
          <a:extLst>
            <a:ext uri="{FF2B5EF4-FFF2-40B4-BE49-F238E27FC236}">
              <a16:creationId xmlns:a16="http://schemas.microsoft.com/office/drawing/2014/main" id="{619BE860-4FDD-4A96-BE0D-8D4439EB5AE8}"/>
            </a:ext>
          </a:extLst>
        </xdr:cNvPr>
        <xdr:cNvSpPr/>
      </xdr:nvSpPr>
      <xdr:spPr>
        <a:xfrm>
          <a:off x="3918856" y="876301"/>
          <a:ext cx="3456000" cy="1012372"/>
        </a:xfrm>
        <a:prstGeom prst="snip2DiagRect">
          <a:avLst/>
        </a:prstGeom>
        <a:solidFill>
          <a:srgbClr val="FFFF00">
            <a:alpha val="70000"/>
          </a:srgbClr>
        </a:solidFill>
        <a:ln>
          <a:noFill/>
        </a:ln>
        <a:effectLst>
          <a:outerShdw blurRad="127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96000" rtlCol="0" anchor="t"/>
        <a:lstStyle/>
        <a:p>
          <a:pPr algn="l"/>
          <a:r>
            <a:rPr lang="fi-FI" sz="1200" b="1">
              <a:solidFill>
                <a:sysClr val="windowText" lastClr="000000"/>
              </a:solidFill>
              <a:latin typeface="+mn-lt"/>
              <a:cs typeface="Arial" pitchFamily="34" charset="0"/>
            </a:rPr>
            <a:t>T2 RESULTATBUDGET</a:t>
          </a:r>
        </a:p>
        <a:p>
          <a:pPr algn="l"/>
          <a:r>
            <a:rPr lang="fi-FI" sz="1100" b="0">
              <a:solidFill>
                <a:sysClr val="windowText" lastClr="000000"/>
              </a:solidFill>
              <a:latin typeface="+mn-lt"/>
              <a:cs typeface="Arial" pitchFamily="34" charset="0"/>
            </a:rPr>
            <a:t>Fyll i den förverkligade resultaträkningen i gula cellerna. </a:t>
          </a:r>
        </a:p>
      </xdr:txBody>
    </xdr:sp>
    <xdr:clientData/>
  </xdr:twoCellAnchor>
  <xdr:twoCellAnchor>
    <xdr:from>
      <xdr:col>5</xdr:col>
      <xdr:colOff>410253</xdr:colOff>
      <xdr:row>4</xdr:row>
      <xdr:rowOff>261259</xdr:rowOff>
    </xdr:from>
    <xdr:to>
      <xdr:col>5</xdr:col>
      <xdr:colOff>770253</xdr:colOff>
      <xdr:row>6</xdr:row>
      <xdr:rowOff>49759</xdr:rowOff>
    </xdr:to>
    <xdr:pic>
      <xdr:nvPicPr>
        <xdr:cNvPr id="54" name="Kuva 53">
          <a:hlinkClick xmlns:r="http://schemas.openxmlformats.org/officeDocument/2006/relationships" r:id="rId12"/>
          <a:extLst>
            <a:ext uri="{FF2B5EF4-FFF2-40B4-BE49-F238E27FC236}">
              <a16:creationId xmlns:a16="http://schemas.microsoft.com/office/drawing/2014/main" id="{2C32A22C-9498-40BF-95CE-E78CF77051CE}"/>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980767" y="1050473"/>
          <a:ext cx="360000" cy="360000"/>
        </a:xfrm>
        <a:prstGeom prst="rect">
          <a:avLst/>
        </a:prstGeom>
      </xdr:spPr>
    </xdr:pic>
    <xdr:clientData/>
  </xdr:twoCellAnchor>
  <xdr:twoCellAnchor>
    <xdr:from>
      <xdr:col>0</xdr:col>
      <xdr:colOff>239486</xdr:colOff>
      <xdr:row>15</xdr:row>
      <xdr:rowOff>43544</xdr:rowOff>
    </xdr:from>
    <xdr:to>
      <xdr:col>8</xdr:col>
      <xdr:colOff>153600</xdr:colOff>
      <xdr:row>16</xdr:row>
      <xdr:rowOff>163286</xdr:rowOff>
    </xdr:to>
    <xdr:sp macro="" textlink="">
      <xdr:nvSpPr>
        <xdr:cNvPr id="13" name="Tekstiruutu 12">
          <a:extLst>
            <a:ext uri="{FF2B5EF4-FFF2-40B4-BE49-F238E27FC236}">
              <a16:creationId xmlns:a16="http://schemas.microsoft.com/office/drawing/2014/main" id="{2772B3CC-B6A4-4013-9BC0-F8FBE76E0D40}"/>
            </a:ext>
          </a:extLst>
        </xdr:cNvPr>
        <xdr:cNvSpPr txBox="1"/>
      </xdr:nvSpPr>
      <xdr:spPr>
        <a:xfrm>
          <a:off x="239486" y="4000501"/>
          <a:ext cx="7164000" cy="244928"/>
        </a:xfrm>
        <a:prstGeom prst="rect">
          <a:avLst/>
        </a:prstGeom>
        <a:solidFill>
          <a:srgbClr val="FFC000">
            <a:alpha val="7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100" b="1">
              <a:solidFill>
                <a:schemeClr val="tx1"/>
              </a:solidFill>
            </a:rPr>
            <a:t>ANALYSERING</a:t>
          </a:r>
          <a:r>
            <a:rPr lang="fi-FI" sz="1100" b="1" baseline="0">
              <a:solidFill>
                <a:schemeClr val="tx1"/>
              </a:solidFill>
            </a:rPr>
            <a:t> </a:t>
          </a:r>
          <a:r>
            <a:rPr lang="fi-FI" sz="1100" b="1">
              <a:solidFill>
                <a:schemeClr val="tx1"/>
              </a:solidFill>
            </a:rPr>
            <a:t>OCH JUSTERING AV PROGNOSEN</a:t>
          </a:r>
        </a:p>
      </xdr:txBody>
    </xdr:sp>
    <xdr:clientData/>
  </xdr:twoCellAnchor>
  <xdr:twoCellAnchor>
    <xdr:from>
      <xdr:col>0</xdr:col>
      <xdr:colOff>244930</xdr:colOff>
      <xdr:row>3</xdr:row>
      <xdr:rowOff>65314</xdr:rowOff>
    </xdr:from>
    <xdr:to>
      <xdr:col>8</xdr:col>
      <xdr:colOff>159044</xdr:colOff>
      <xdr:row>3</xdr:row>
      <xdr:rowOff>310242</xdr:rowOff>
    </xdr:to>
    <xdr:sp macro="" textlink="">
      <xdr:nvSpPr>
        <xdr:cNvPr id="55" name="Tekstiruutu 54">
          <a:extLst>
            <a:ext uri="{FF2B5EF4-FFF2-40B4-BE49-F238E27FC236}">
              <a16:creationId xmlns:a16="http://schemas.microsoft.com/office/drawing/2014/main" id="{6110DAF3-8ECD-4F98-9368-8144FA6D1E73}"/>
            </a:ext>
          </a:extLst>
        </xdr:cNvPr>
        <xdr:cNvSpPr txBox="1"/>
      </xdr:nvSpPr>
      <xdr:spPr>
        <a:xfrm>
          <a:off x="244930" y="538843"/>
          <a:ext cx="7164000" cy="244928"/>
        </a:xfrm>
        <a:prstGeom prst="rect">
          <a:avLst/>
        </a:prstGeom>
        <a:solidFill>
          <a:srgbClr val="FFC000">
            <a:alpha val="7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100" b="1">
              <a:solidFill>
                <a:schemeClr val="dk1"/>
              </a:solidFill>
              <a:effectLst/>
              <a:latin typeface="+mn-lt"/>
              <a:ea typeface="+mn-ea"/>
              <a:cs typeface="+mn-cs"/>
            </a:rPr>
            <a:t>INMATNING</a:t>
          </a:r>
          <a:r>
            <a:rPr lang="fi-FI" sz="1100" b="1" baseline="0">
              <a:solidFill>
                <a:schemeClr val="dk1"/>
              </a:solidFill>
              <a:effectLst/>
              <a:latin typeface="+mn-lt"/>
              <a:ea typeface="+mn-ea"/>
              <a:cs typeface="+mn-cs"/>
            </a:rPr>
            <a:t> AV SIFFRORNA FRÅN FÖREGÅENDE RÄKENSKAPSÅREN</a:t>
          </a:r>
          <a:endParaRPr lang="fi-FI">
            <a:effectLst/>
          </a:endParaRPr>
        </a:p>
      </xdr:txBody>
    </xdr:sp>
    <xdr:clientData/>
  </xdr:twoCellAnchor>
  <xdr:twoCellAnchor editAs="oneCell">
    <xdr:from>
      <xdr:col>9</xdr:col>
      <xdr:colOff>76200</xdr:colOff>
      <xdr:row>4</xdr:row>
      <xdr:rowOff>353786</xdr:rowOff>
    </xdr:from>
    <xdr:to>
      <xdr:col>10</xdr:col>
      <xdr:colOff>636814</xdr:colOff>
      <xdr:row>7</xdr:row>
      <xdr:rowOff>61455</xdr:rowOff>
    </xdr:to>
    <xdr:pic>
      <xdr:nvPicPr>
        <xdr:cNvPr id="11" name="Kuva 10">
          <a:extLst>
            <a:ext uri="{FF2B5EF4-FFF2-40B4-BE49-F238E27FC236}">
              <a16:creationId xmlns:a16="http://schemas.microsoft.com/office/drawing/2014/main" id="{A8AC3346-E079-46EE-9F7F-78474313A31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854043" y="1143000"/>
          <a:ext cx="1213757" cy="6982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171108</xdr:colOff>
      <xdr:row>37</xdr:row>
      <xdr:rowOff>73189</xdr:rowOff>
    </xdr:from>
    <xdr:to>
      <xdr:col>0</xdr:col>
      <xdr:colOff>606527</xdr:colOff>
      <xdr:row>39</xdr:row>
      <xdr:rowOff>78373</xdr:rowOff>
    </xdr:to>
    <xdr:sp macro="" textlink="">
      <xdr:nvSpPr>
        <xdr:cNvPr id="34" name="Vuokaaviosymboli: Valinta 33">
          <a:hlinkClick xmlns:r="http://schemas.openxmlformats.org/officeDocument/2006/relationships" r:id="rId1"/>
          <a:extLst>
            <a:ext uri="{FF2B5EF4-FFF2-40B4-BE49-F238E27FC236}">
              <a16:creationId xmlns:a16="http://schemas.microsoft.com/office/drawing/2014/main" id="{00000000-0008-0000-0B00-000022000000}"/>
            </a:ext>
          </a:extLst>
        </xdr:cNvPr>
        <xdr:cNvSpPr/>
      </xdr:nvSpPr>
      <xdr:spPr>
        <a:xfrm>
          <a:off x="171108" y="5249819"/>
          <a:ext cx="435419" cy="286793"/>
        </a:xfrm>
        <a:prstGeom prst="flowChartDecision">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sv-FI" sz="1800" b="1">
            <a:solidFill>
              <a:sysClr val="windowText" lastClr="000000"/>
            </a:solidFill>
            <a:latin typeface="Arial" pitchFamily="34" charset="0"/>
            <a:cs typeface="Arial" pitchFamily="34" charset="0"/>
          </a:endParaRPr>
        </a:p>
      </xdr:txBody>
    </xdr:sp>
    <xdr:clientData/>
  </xdr:twoCellAnchor>
  <xdr:twoCellAnchor editAs="oneCell">
    <xdr:from>
      <xdr:col>12</xdr:col>
      <xdr:colOff>276225</xdr:colOff>
      <xdr:row>145</xdr:row>
      <xdr:rowOff>38100</xdr:rowOff>
    </xdr:from>
    <xdr:to>
      <xdr:col>14</xdr:col>
      <xdr:colOff>339090</xdr:colOff>
      <xdr:row>147</xdr:row>
      <xdr:rowOff>34787</xdr:rowOff>
    </xdr:to>
    <xdr:pic>
      <xdr:nvPicPr>
        <xdr:cNvPr id="29" name="Kuva 28" descr="Företagstolken logo Liten .jpg">
          <a:extLst>
            <a:ext uri="{FF2B5EF4-FFF2-40B4-BE49-F238E27FC236}">
              <a16:creationId xmlns:a16="http://schemas.microsoft.com/office/drawing/2014/main" id="{303DB2B9-EEE9-4F7C-BDAB-498EA38D5D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9900" y="21831300"/>
          <a:ext cx="866775" cy="301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137067</xdr:colOff>
      <xdr:row>41</xdr:row>
      <xdr:rowOff>71772</xdr:rowOff>
    </xdr:from>
    <xdr:to>
      <xdr:col>0</xdr:col>
      <xdr:colOff>546841</xdr:colOff>
      <xdr:row>44</xdr:row>
      <xdr:rowOff>42137</xdr:rowOff>
    </xdr:to>
    <xdr:pic>
      <xdr:nvPicPr>
        <xdr:cNvPr id="20" name="Kuva 19">
          <a:hlinkClick xmlns:r="http://schemas.openxmlformats.org/officeDocument/2006/relationships" r:id="rId3"/>
          <a:extLst>
            <a:ext uri="{FF2B5EF4-FFF2-40B4-BE49-F238E27FC236}">
              <a16:creationId xmlns:a16="http://schemas.microsoft.com/office/drawing/2014/main" id="{42F808B3-C725-40B3-9B88-598B26D39A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067" y="15206997"/>
          <a:ext cx="409774" cy="398990"/>
        </a:xfrm>
        <a:prstGeom prst="rect">
          <a:avLst/>
        </a:prstGeom>
      </xdr:spPr>
    </xdr:pic>
    <xdr:clientData/>
  </xdr:twoCellAnchor>
  <xdr:twoCellAnchor>
    <xdr:from>
      <xdr:col>0</xdr:col>
      <xdr:colOff>129310</xdr:colOff>
      <xdr:row>38</xdr:row>
      <xdr:rowOff>96900</xdr:rowOff>
    </xdr:from>
    <xdr:to>
      <xdr:col>0</xdr:col>
      <xdr:colOff>538509</xdr:colOff>
      <xdr:row>41</xdr:row>
      <xdr:rowOff>66705</xdr:rowOff>
    </xdr:to>
    <xdr:pic>
      <xdr:nvPicPr>
        <xdr:cNvPr id="21" name="Kuva 20">
          <a:hlinkClick xmlns:r="http://schemas.openxmlformats.org/officeDocument/2006/relationships" r:id="rId5"/>
          <a:extLst>
            <a:ext uri="{FF2B5EF4-FFF2-40B4-BE49-F238E27FC236}">
              <a16:creationId xmlns:a16="http://schemas.microsoft.com/office/drawing/2014/main" id="{C4B8012E-CC13-4E99-9387-C9A28C5D28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9310" y="14803500"/>
          <a:ext cx="409199" cy="398430"/>
        </a:xfrm>
        <a:prstGeom prst="rect">
          <a:avLst/>
        </a:prstGeom>
      </xdr:spPr>
    </xdr:pic>
    <xdr:clientData/>
  </xdr:twoCellAnchor>
  <xdr:twoCellAnchor>
    <xdr:from>
      <xdr:col>0</xdr:col>
      <xdr:colOff>129555</xdr:colOff>
      <xdr:row>35</xdr:row>
      <xdr:rowOff>133405</xdr:rowOff>
    </xdr:from>
    <xdr:to>
      <xdr:col>0</xdr:col>
      <xdr:colOff>534792</xdr:colOff>
      <xdr:row>38</xdr:row>
      <xdr:rowOff>99352</xdr:rowOff>
    </xdr:to>
    <xdr:pic>
      <xdr:nvPicPr>
        <xdr:cNvPr id="22" name="Kuva 21">
          <a:hlinkClick xmlns:r="http://schemas.openxmlformats.org/officeDocument/2006/relationships" r:id="rId7"/>
          <a:extLst>
            <a:ext uri="{FF2B5EF4-FFF2-40B4-BE49-F238E27FC236}">
              <a16:creationId xmlns:a16="http://schemas.microsoft.com/office/drawing/2014/main" id="{417CB4CF-6D2A-43D3-B4C9-BC0D472882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9555" y="14392330"/>
          <a:ext cx="405237" cy="413622"/>
        </a:xfrm>
        <a:prstGeom prst="rect">
          <a:avLst/>
        </a:prstGeom>
      </xdr:spPr>
    </xdr:pic>
    <xdr:clientData/>
  </xdr:twoCellAnchor>
  <xdr:twoCellAnchor>
    <xdr:from>
      <xdr:col>0</xdr:col>
      <xdr:colOff>133015</xdr:colOff>
      <xdr:row>33</xdr:row>
      <xdr:rowOff>20820</xdr:rowOff>
    </xdr:from>
    <xdr:to>
      <xdr:col>0</xdr:col>
      <xdr:colOff>544876</xdr:colOff>
      <xdr:row>35</xdr:row>
      <xdr:rowOff>134061</xdr:rowOff>
    </xdr:to>
    <xdr:pic>
      <xdr:nvPicPr>
        <xdr:cNvPr id="23" name="Kuva 22">
          <a:hlinkClick xmlns:r="http://schemas.openxmlformats.org/officeDocument/2006/relationships" r:id="rId9"/>
          <a:extLst>
            <a:ext uri="{FF2B5EF4-FFF2-40B4-BE49-F238E27FC236}">
              <a16:creationId xmlns:a16="http://schemas.microsoft.com/office/drawing/2014/main" id="{67321816-0B9E-41A4-886F-B65CBA0A0B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015" y="13993995"/>
          <a:ext cx="411861" cy="398991"/>
        </a:xfrm>
        <a:prstGeom prst="rect">
          <a:avLst/>
        </a:prstGeom>
      </xdr:spPr>
    </xdr:pic>
    <xdr:clientData/>
  </xdr:twoCellAnchor>
  <xdr:twoCellAnchor>
    <xdr:from>
      <xdr:col>0</xdr:col>
      <xdr:colOff>140247</xdr:colOff>
      <xdr:row>30</xdr:row>
      <xdr:rowOff>46158</xdr:rowOff>
    </xdr:from>
    <xdr:to>
      <xdr:col>0</xdr:col>
      <xdr:colOff>545484</xdr:colOff>
      <xdr:row>33</xdr:row>
      <xdr:rowOff>19185</xdr:rowOff>
    </xdr:to>
    <xdr:pic>
      <xdr:nvPicPr>
        <xdr:cNvPr id="24" name="Kuva 23">
          <a:hlinkClick xmlns:r="http://schemas.openxmlformats.org/officeDocument/2006/relationships" r:id="rId11"/>
          <a:extLst>
            <a:ext uri="{FF2B5EF4-FFF2-40B4-BE49-F238E27FC236}">
              <a16:creationId xmlns:a16="http://schemas.microsoft.com/office/drawing/2014/main" id="{A90674A1-82E0-4D0B-AE9B-D0E71743525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40247" y="13590708"/>
          <a:ext cx="405237" cy="401652"/>
        </a:xfrm>
        <a:prstGeom prst="rect">
          <a:avLst/>
        </a:prstGeom>
      </xdr:spPr>
    </xdr:pic>
    <xdr:clientData/>
  </xdr:twoCellAnchor>
  <xdr:twoCellAnchor>
    <xdr:from>
      <xdr:col>0</xdr:col>
      <xdr:colOff>138475</xdr:colOff>
      <xdr:row>27</xdr:row>
      <xdr:rowOff>69371</xdr:rowOff>
    </xdr:from>
    <xdr:to>
      <xdr:col>0</xdr:col>
      <xdr:colOff>547689</xdr:colOff>
      <xdr:row>30</xdr:row>
      <xdr:rowOff>39835</xdr:rowOff>
    </xdr:to>
    <xdr:pic>
      <xdr:nvPicPr>
        <xdr:cNvPr id="25" name="Kuva 24">
          <a:hlinkClick xmlns:r="http://schemas.openxmlformats.org/officeDocument/2006/relationships" r:id="rId13"/>
          <a:extLst>
            <a:ext uri="{FF2B5EF4-FFF2-40B4-BE49-F238E27FC236}">
              <a16:creationId xmlns:a16="http://schemas.microsoft.com/office/drawing/2014/main" id="{1514DB00-F904-445A-BC23-9CA7D7591AB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8475" y="13185296"/>
          <a:ext cx="409214" cy="399089"/>
        </a:xfrm>
        <a:prstGeom prst="rect">
          <a:avLst/>
        </a:prstGeom>
      </xdr:spPr>
    </xdr:pic>
    <xdr:clientData/>
  </xdr:twoCellAnchor>
  <xdr:twoCellAnchor>
    <xdr:from>
      <xdr:col>0</xdr:col>
      <xdr:colOff>126989</xdr:colOff>
      <xdr:row>24</xdr:row>
      <xdr:rowOff>84376</xdr:rowOff>
    </xdr:from>
    <xdr:to>
      <xdr:col>0</xdr:col>
      <xdr:colOff>543473</xdr:colOff>
      <xdr:row>27</xdr:row>
      <xdr:rowOff>51457</xdr:rowOff>
    </xdr:to>
    <xdr:pic>
      <xdr:nvPicPr>
        <xdr:cNvPr id="26" name="Kuva 25">
          <a:hlinkClick xmlns:r="http://schemas.openxmlformats.org/officeDocument/2006/relationships" r:id="rId15"/>
          <a:extLst>
            <a:ext uri="{FF2B5EF4-FFF2-40B4-BE49-F238E27FC236}">
              <a16:creationId xmlns:a16="http://schemas.microsoft.com/office/drawing/2014/main" id="{E8071DA9-7D41-4F29-8892-0798FA1F64D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6989" y="3589576"/>
          <a:ext cx="416484" cy="378561"/>
        </a:xfrm>
        <a:prstGeom prst="rect">
          <a:avLst/>
        </a:prstGeom>
      </xdr:spPr>
    </xdr:pic>
    <xdr:clientData/>
  </xdr:twoCellAnchor>
  <xdr:twoCellAnchor>
    <xdr:from>
      <xdr:col>0</xdr:col>
      <xdr:colOff>136187</xdr:colOff>
      <xdr:row>21</xdr:row>
      <xdr:rowOff>99059</xdr:rowOff>
    </xdr:from>
    <xdr:to>
      <xdr:col>0</xdr:col>
      <xdr:colOff>544661</xdr:colOff>
      <xdr:row>24</xdr:row>
      <xdr:rowOff>59330</xdr:rowOff>
    </xdr:to>
    <xdr:pic>
      <xdr:nvPicPr>
        <xdr:cNvPr id="27" name="Kuva 26">
          <a:hlinkClick xmlns:r="http://schemas.openxmlformats.org/officeDocument/2006/relationships" r:id="rId7"/>
          <a:extLst>
            <a:ext uri="{FF2B5EF4-FFF2-40B4-BE49-F238E27FC236}">
              <a16:creationId xmlns:a16="http://schemas.microsoft.com/office/drawing/2014/main" id="{9792CCA0-56B6-468F-A936-6112C075697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6187" y="3192779"/>
          <a:ext cx="408474" cy="371751"/>
        </a:xfrm>
        <a:prstGeom prst="rect">
          <a:avLst/>
        </a:prstGeom>
      </xdr:spPr>
    </xdr:pic>
    <xdr:clientData/>
  </xdr:twoCellAnchor>
  <xdr:twoCellAnchor>
    <xdr:from>
      <xdr:col>0</xdr:col>
      <xdr:colOff>135797</xdr:colOff>
      <xdr:row>18</xdr:row>
      <xdr:rowOff>89418</xdr:rowOff>
    </xdr:from>
    <xdr:to>
      <xdr:col>0</xdr:col>
      <xdr:colOff>548081</xdr:colOff>
      <xdr:row>21</xdr:row>
      <xdr:rowOff>59225</xdr:rowOff>
    </xdr:to>
    <xdr:pic>
      <xdr:nvPicPr>
        <xdr:cNvPr id="28" name="Kuva 27">
          <a:hlinkClick xmlns:r="http://schemas.openxmlformats.org/officeDocument/2006/relationships" r:id="rId9"/>
          <a:extLst>
            <a:ext uri="{FF2B5EF4-FFF2-40B4-BE49-F238E27FC236}">
              <a16:creationId xmlns:a16="http://schemas.microsoft.com/office/drawing/2014/main" id="{66A18C10-97DB-4EFB-8317-FF7E404A2C3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35797" y="2771658"/>
          <a:ext cx="412284" cy="381287"/>
        </a:xfrm>
        <a:prstGeom prst="rect">
          <a:avLst/>
        </a:prstGeom>
      </xdr:spPr>
    </xdr:pic>
    <xdr:clientData/>
  </xdr:twoCellAnchor>
  <xdr:twoCellAnchor>
    <xdr:from>
      <xdr:col>0</xdr:col>
      <xdr:colOff>144615</xdr:colOff>
      <xdr:row>15</xdr:row>
      <xdr:rowOff>85725</xdr:rowOff>
    </xdr:from>
    <xdr:to>
      <xdr:col>0</xdr:col>
      <xdr:colOff>551318</xdr:colOff>
      <xdr:row>18</xdr:row>
      <xdr:rowOff>56671</xdr:rowOff>
    </xdr:to>
    <xdr:pic>
      <xdr:nvPicPr>
        <xdr:cNvPr id="31" name="Kuva 30">
          <a:hlinkClick xmlns:r="http://schemas.openxmlformats.org/officeDocument/2006/relationships" r:id="rId19"/>
          <a:extLst>
            <a:ext uri="{FF2B5EF4-FFF2-40B4-BE49-F238E27FC236}">
              <a16:creationId xmlns:a16="http://schemas.microsoft.com/office/drawing/2014/main" id="{570072BF-D79C-4F53-9EA4-7EC7ACAB1BA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4615" y="11487150"/>
          <a:ext cx="406703" cy="399571"/>
        </a:xfrm>
        <a:prstGeom prst="rect">
          <a:avLst/>
        </a:prstGeom>
      </xdr:spPr>
    </xdr:pic>
    <xdr:clientData/>
  </xdr:twoCellAnchor>
  <xdr:twoCellAnchor>
    <xdr:from>
      <xdr:col>0</xdr:col>
      <xdr:colOff>123825</xdr:colOff>
      <xdr:row>44</xdr:row>
      <xdr:rowOff>38105</xdr:rowOff>
    </xdr:from>
    <xdr:to>
      <xdr:col>0</xdr:col>
      <xdr:colOff>538983</xdr:colOff>
      <xdr:row>47</xdr:row>
      <xdr:rowOff>23981</xdr:rowOff>
    </xdr:to>
    <xdr:pic>
      <xdr:nvPicPr>
        <xdr:cNvPr id="32" name="Kuva 31" descr="Tulostin">
          <a:extLst>
            <a:ext uri="{FF2B5EF4-FFF2-40B4-BE49-F238E27FC236}">
              <a16:creationId xmlns:a16="http://schemas.microsoft.com/office/drawing/2014/main" id="{32E1518F-FA8F-4713-BA33-16E024F9A7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123825" y="15601955"/>
          <a:ext cx="415158" cy="414501"/>
        </a:xfrm>
        <a:prstGeom prst="rect">
          <a:avLst/>
        </a:prstGeom>
      </xdr:spPr>
    </xdr:pic>
    <xdr:clientData/>
  </xdr:twoCellAnchor>
  <xdr:twoCellAnchor>
    <xdr:from>
      <xdr:col>42</xdr:col>
      <xdr:colOff>1656</xdr:colOff>
      <xdr:row>20</xdr:row>
      <xdr:rowOff>6626</xdr:rowOff>
    </xdr:from>
    <xdr:to>
      <xdr:col>50</xdr:col>
      <xdr:colOff>13252</xdr:colOff>
      <xdr:row>38</xdr:row>
      <xdr:rowOff>112641</xdr:rowOff>
    </xdr:to>
    <xdr:graphicFrame macro="">
      <xdr:nvGraphicFramePr>
        <xdr:cNvPr id="35" name="Kaavio 34">
          <a:extLst>
            <a:ext uri="{FF2B5EF4-FFF2-40B4-BE49-F238E27FC236}">
              <a16:creationId xmlns:a16="http://schemas.microsoft.com/office/drawing/2014/main" id="{2A94AFAE-E31E-42E5-8502-9B1B5C45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42</xdr:col>
      <xdr:colOff>99060</xdr:colOff>
      <xdr:row>59</xdr:row>
      <xdr:rowOff>34422</xdr:rowOff>
    </xdr:from>
    <xdr:to>
      <xdr:col>49</xdr:col>
      <xdr:colOff>787488</xdr:colOff>
      <xdr:row>77</xdr:row>
      <xdr:rowOff>68580</xdr:rowOff>
    </xdr:to>
    <xdr:graphicFrame macro="">
      <xdr:nvGraphicFramePr>
        <xdr:cNvPr id="37" name="Kaavio 36">
          <a:extLst>
            <a:ext uri="{FF2B5EF4-FFF2-40B4-BE49-F238E27FC236}">
              <a16:creationId xmlns:a16="http://schemas.microsoft.com/office/drawing/2014/main" id="{76C96513-C298-4DE0-B6BA-7908F66C1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723900</xdr:colOff>
      <xdr:row>1</xdr:row>
      <xdr:rowOff>83821</xdr:rowOff>
    </xdr:from>
    <xdr:to>
      <xdr:col>7</xdr:col>
      <xdr:colOff>130627</xdr:colOff>
      <xdr:row>2</xdr:row>
      <xdr:rowOff>141514</xdr:rowOff>
    </xdr:to>
    <xdr:sp macro="" textlink="">
      <xdr:nvSpPr>
        <xdr:cNvPr id="44" name="Tekstiruutu 43">
          <a:extLst>
            <a:ext uri="{FF2B5EF4-FFF2-40B4-BE49-F238E27FC236}">
              <a16:creationId xmlns:a16="http://schemas.microsoft.com/office/drawing/2014/main" id="{21D4359A-C19B-4850-B65A-B95DD5A0B88B}"/>
            </a:ext>
          </a:extLst>
        </xdr:cNvPr>
        <xdr:cNvSpPr txBox="1"/>
      </xdr:nvSpPr>
      <xdr:spPr>
        <a:xfrm>
          <a:off x="1692729" y="377735"/>
          <a:ext cx="3320141" cy="275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050" b="1">
              <a:solidFill>
                <a:schemeClr val="tx1"/>
              </a:solidFill>
              <a:latin typeface="Arial" panose="020B0604020202020204" pitchFamily="34" charset="0"/>
              <a:cs typeface="Arial" panose="020B0604020202020204" pitchFamily="34" charset="0"/>
            </a:rPr>
            <a:t>T1 INVESTERINGSPLAN</a:t>
          </a:r>
          <a:r>
            <a:rPr lang="fi-FI" sz="1050" b="1" baseline="0">
              <a:solidFill>
                <a:schemeClr val="tx1"/>
              </a:solidFill>
              <a:latin typeface="Arial" panose="020B0604020202020204" pitchFamily="34" charset="0"/>
              <a:cs typeface="Arial" panose="020B0604020202020204" pitchFamily="34" charset="0"/>
            </a:rPr>
            <a:t> </a:t>
          </a:r>
          <a:endParaRPr lang="fi-FI" sz="1050" b="1">
            <a:solidFill>
              <a:schemeClr val="tx1"/>
            </a:solidFill>
            <a:latin typeface="Arial" panose="020B0604020202020204" pitchFamily="34" charset="0"/>
            <a:cs typeface="Arial" panose="020B0604020202020204" pitchFamily="34" charset="0"/>
          </a:endParaRPr>
        </a:p>
      </xdr:txBody>
    </xdr:sp>
    <xdr:clientData/>
  </xdr:twoCellAnchor>
  <xdr:twoCellAnchor>
    <xdr:from>
      <xdr:col>17</xdr:col>
      <xdr:colOff>685800</xdr:colOff>
      <xdr:row>1</xdr:row>
      <xdr:rowOff>141515</xdr:rowOff>
    </xdr:from>
    <xdr:to>
      <xdr:col>20</xdr:col>
      <xdr:colOff>10885</xdr:colOff>
      <xdr:row>3</xdr:row>
      <xdr:rowOff>40640</xdr:rowOff>
    </xdr:to>
    <xdr:sp macro="" textlink="">
      <xdr:nvSpPr>
        <xdr:cNvPr id="40" name="Tekstiruutu 39">
          <a:extLst>
            <a:ext uri="{FF2B5EF4-FFF2-40B4-BE49-F238E27FC236}">
              <a16:creationId xmlns:a16="http://schemas.microsoft.com/office/drawing/2014/main" id="{D083DC9E-9E57-432B-8CBE-351DB4C5EC1F}"/>
            </a:ext>
          </a:extLst>
        </xdr:cNvPr>
        <xdr:cNvSpPr txBox="1"/>
      </xdr:nvSpPr>
      <xdr:spPr>
        <a:xfrm>
          <a:off x="9383486" y="435429"/>
          <a:ext cx="3744685" cy="334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050" b="1">
              <a:solidFill>
                <a:schemeClr val="tx1"/>
              </a:solidFill>
              <a:latin typeface="Arial" panose="020B0604020202020204" pitchFamily="34" charset="0"/>
              <a:cs typeface="Arial" panose="020B0604020202020204" pitchFamily="34" charset="0"/>
            </a:rPr>
            <a:t>T3 BALANS OCH T4 FINANSIERINGSBUDGET</a:t>
          </a:r>
        </a:p>
      </xdr:txBody>
    </xdr:sp>
    <xdr:clientData/>
  </xdr:twoCellAnchor>
  <xdr:twoCellAnchor>
    <xdr:from>
      <xdr:col>25</xdr:col>
      <xdr:colOff>936171</xdr:colOff>
      <xdr:row>1</xdr:row>
      <xdr:rowOff>133894</xdr:rowOff>
    </xdr:from>
    <xdr:to>
      <xdr:col>31</xdr:col>
      <xdr:colOff>119742</xdr:colOff>
      <xdr:row>2</xdr:row>
      <xdr:rowOff>213904</xdr:rowOff>
    </xdr:to>
    <xdr:sp macro="" textlink="">
      <xdr:nvSpPr>
        <xdr:cNvPr id="46" name="Tekstiruutu 45">
          <a:extLst>
            <a:ext uri="{FF2B5EF4-FFF2-40B4-BE49-F238E27FC236}">
              <a16:creationId xmlns:a16="http://schemas.microsoft.com/office/drawing/2014/main" id="{A735DCEE-B10E-4838-88F9-6A5E32D812F1}"/>
            </a:ext>
          </a:extLst>
        </xdr:cNvPr>
        <xdr:cNvSpPr txBox="1"/>
      </xdr:nvSpPr>
      <xdr:spPr>
        <a:xfrm>
          <a:off x="17248414" y="427808"/>
          <a:ext cx="3271157" cy="29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000" b="1">
              <a:solidFill>
                <a:schemeClr val="tx1"/>
              </a:solidFill>
              <a:latin typeface="Arial" panose="020B0604020202020204" pitchFamily="34" charset="0"/>
              <a:cs typeface="Arial" panose="020B0604020202020204" pitchFamily="34" charset="0"/>
            </a:rPr>
            <a:t> </a:t>
          </a:r>
          <a:r>
            <a:rPr lang="fi-FI" sz="1050" b="1">
              <a:solidFill>
                <a:schemeClr val="tx1"/>
              </a:solidFill>
              <a:latin typeface="Arial" panose="020B0604020202020204" pitchFamily="34" charset="0"/>
              <a:cs typeface="Arial" panose="020B0604020202020204" pitchFamily="34" charset="0"/>
            </a:rPr>
            <a:t>T4 FINANSIENRINGBUDGET OCH T7 LÅN</a:t>
          </a:r>
          <a:endParaRPr lang="fi-FI"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42</xdr:col>
      <xdr:colOff>947056</xdr:colOff>
      <xdr:row>1</xdr:row>
      <xdr:rowOff>143149</xdr:rowOff>
    </xdr:from>
    <xdr:to>
      <xdr:col>45</xdr:col>
      <xdr:colOff>169635</xdr:colOff>
      <xdr:row>3</xdr:row>
      <xdr:rowOff>5444</xdr:rowOff>
    </xdr:to>
    <xdr:sp macro="" textlink="">
      <xdr:nvSpPr>
        <xdr:cNvPr id="50" name="Tekstiruutu 49">
          <a:extLst>
            <a:ext uri="{FF2B5EF4-FFF2-40B4-BE49-F238E27FC236}">
              <a16:creationId xmlns:a16="http://schemas.microsoft.com/office/drawing/2014/main" id="{2EAFE740-DC5C-44A1-8B26-B13A06290913}"/>
            </a:ext>
          </a:extLst>
        </xdr:cNvPr>
        <xdr:cNvSpPr txBox="1"/>
      </xdr:nvSpPr>
      <xdr:spPr>
        <a:xfrm>
          <a:off x="25967870" y="437063"/>
          <a:ext cx="2727779" cy="29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000" b="1">
              <a:solidFill>
                <a:schemeClr val="tx1"/>
              </a:solidFill>
              <a:latin typeface="Arial" panose="020B0604020202020204" pitchFamily="34" charset="0"/>
              <a:cs typeface="Arial" panose="020B0604020202020204" pitchFamily="34" charset="0"/>
            </a:rPr>
            <a:t>EKONOMISKA PARAMETRAR</a:t>
          </a:r>
        </a:p>
      </xdr:txBody>
    </xdr:sp>
    <xdr:clientData/>
  </xdr:twoCellAnchor>
  <xdr:twoCellAnchor>
    <xdr:from>
      <xdr:col>42</xdr:col>
      <xdr:colOff>0</xdr:colOff>
      <xdr:row>39</xdr:row>
      <xdr:rowOff>38100</xdr:rowOff>
    </xdr:from>
    <xdr:to>
      <xdr:col>50</xdr:col>
      <xdr:colOff>7620</xdr:colOff>
      <xdr:row>58</xdr:row>
      <xdr:rowOff>99060</xdr:rowOff>
    </xdr:to>
    <xdr:graphicFrame macro="">
      <xdr:nvGraphicFramePr>
        <xdr:cNvPr id="52" name="Kaavio 51">
          <a:extLst>
            <a:ext uri="{FF2B5EF4-FFF2-40B4-BE49-F238E27FC236}">
              <a16:creationId xmlns:a16="http://schemas.microsoft.com/office/drawing/2014/main" id="{881E26D0-C83F-41CF-8822-7EE8E8142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1</xdr:col>
      <xdr:colOff>55517</xdr:colOff>
      <xdr:row>1</xdr:row>
      <xdr:rowOff>58782</xdr:rowOff>
    </xdr:from>
    <xdr:to>
      <xdr:col>2</xdr:col>
      <xdr:colOff>715400</xdr:colOff>
      <xdr:row>2</xdr:row>
      <xdr:rowOff>129067</xdr:rowOff>
    </xdr:to>
    <xdr:pic>
      <xdr:nvPicPr>
        <xdr:cNvPr id="6" name="Kuva 5">
          <a:extLst>
            <a:ext uri="{FF2B5EF4-FFF2-40B4-BE49-F238E27FC236}">
              <a16:creationId xmlns:a16="http://schemas.microsoft.com/office/drawing/2014/main" id="{D71B4175-58A1-405B-86FB-F168F6A9C82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12074" y="352696"/>
          <a:ext cx="872155" cy="288000"/>
        </a:xfrm>
        <a:prstGeom prst="rect">
          <a:avLst/>
        </a:prstGeom>
      </xdr:spPr>
    </xdr:pic>
    <xdr:clientData/>
  </xdr:twoCellAnchor>
  <xdr:twoCellAnchor editAs="oneCell">
    <xdr:from>
      <xdr:col>16</xdr:col>
      <xdr:colOff>27215</xdr:colOff>
      <xdr:row>1</xdr:row>
      <xdr:rowOff>97972</xdr:rowOff>
    </xdr:from>
    <xdr:to>
      <xdr:col>17</xdr:col>
      <xdr:colOff>673500</xdr:colOff>
      <xdr:row>2</xdr:row>
      <xdr:rowOff>168257</xdr:rowOff>
    </xdr:to>
    <xdr:pic>
      <xdr:nvPicPr>
        <xdr:cNvPr id="30" name="Kuva 29">
          <a:extLst>
            <a:ext uri="{FF2B5EF4-FFF2-40B4-BE49-F238E27FC236}">
              <a16:creationId xmlns:a16="http://schemas.microsoft.com/office/drawing/2014/main" id="{241329FF-1B86-4A39-AE8B-0E739AB0E1B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507186" y="391886"/>
          <a:ext cx="864000" cy="288000"/>
        </a:xfrm>
        <a:prstGeom prst="rect">
          <a:avLst/>
        </a:prstGeom>
      </xdr:spPr>
    </xdr:pic>
    <xdr:clientData/>
  </xdr:twoCellAnchor>
  <xdr:twoCellAnchor editAs="oneCell">
    <xdr:from>
      <xdr:col>25</xdr:col>
      <xdr:colOff>59872</xdr:colOff>
      <xdr:row>1</xdr:row>
      <xdr:rowOff>103414</xdr:rowOff>
    </xdr:from>
    <xdr:to>
      <xdr:col>25</xdr:col>
      <xdr:colOff>923872</xdr:colOff>
      <xdr:row>2</xdr:row>
      <xdr:rowOff>173699</xdr:rowOff>
    </xdr:to>
    <xdr:pic>
      <xdr:nvPicPr>
        <xdr:cNvPr id="33" name="Kuva 32">
          <a:extLst>
            <a:ext uri="{FF2B5EF4-FFF2-40B4-BE49-F238E27FC236}">
              <a16:creationId xmlns:a16="http://schemas.microsoft.com/office/drawing/2014/main" id="{F5A63963-229B-400D-BDAB-25C66CB77E9F}"/>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6372115" y="397328"/>
          <a:ext cx="864000" cy="288000"/>
        </a:xfrm>
        <a:prstGeom prst="rect">
          <a:avLst/>
        </a:prstGeom>
      </xdr:spPr>
    </xdr:pic>
    <xdr:clientData/>
  </xdr:twoCellAnchor>
  <xdr:twoCellAnchor editAs="oneCell">
    <xdr:from>
      <xdr:col>42</xdr:col>
      <xdr:colOff>38100</xdr:colOff>
      <xdr:row>1</xdr:row>
      <xdr:rowOff>97971</xdr:rowOff>
    </xdr:from>
    <xdr:to>
      <xdr:col>42</xdr:col>
      <xdr:colOff>902100</xdr:colOff>
      <xdr:row>2</xdr:row>
      <xdr:rowOff>168256</xdr:rowOff>
    </xdr:to>
    <xdr:pic>
      <xdr:nvPicPr>
        <xdr:cNvPr id="36" name="Kuva 35">
          <a:extLst>
            <a:ext uri="{FF2B5EF4-FFF2-40B4-BE49-F238E27FC236}">
              <a16:creationId xmlns:a16="http://schemas.microsoft.com/office/drawing/2014/main" id="{A69015F5-468A-46F7-A122-AF42D137E05B}"/>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5058914" y="391885"/>
          <a:ext cx="864000"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285750</xdr:colOff>
      <xdr:row>6</xdr:row>
      <xdr:rowOff>47625</xdr:rowOff>
    </xdr:from>
    <xdr:to>
      <xdr:col>7</xdr:col>
      <xdr:colOff>28575</xdr:colOff>
      <xdr:row>23</xdr:row>
      <xdr:rowOff>38100</xdr:rowOff>
    </xdr:to>
    <xdr:graphicFrame macro="">
      <xdr:nvGraphicFramePr>
        <xdr:cNvPr id="2" name="Kaavi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342900</xdr:colOff>
      <xdr:row>2</xdr:row>
      <xdr:rowOff>19050</xdr:rowOff>
    </xdr:from>
    <xdr:to>
      <xdr:col>7</xdr:col>
      <xdr:colOff>701040</xdr:colOff>
      <xdr:row>4</xdr:row>
      <xdr:rowOff>38100</xdr:rowOff>
    </xdr:to>
    <xdr:pic>
      <xdr:nvPicPr>
        <xdr:cNvPr id="37" name="Kuva 37" descr="Företagstolken logo Liten .jpg">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266700"/>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146360</xdr:colOff>
      <xdr:row>54</xdr:row>
      <xdr:rowOff>98044</xdr:rowOff>
    </xdr:from>
    <xdr:to>
      <xdr:col>0</xdr:col>
      <xdr:colOff>556072</xdr:colOff>
      <xdr:row>56</xdr:row>
      <xdr:rowOff>154135</xdr:rowOff>
    </xdr:to>
    <xdr:pic>
      <xdr:nvPicPr>
        <xdr:cNvPr id="38" name="Kuva 37">
          <a:hlinkClick xmlns:r="http://schemas.openxmlformats.org/officeDocument/2006/relationships" r:id="rId2"/>
          <a:extLst>
            <a:ext uri="{FF2B5EF4-FFF2-40B4-BE49-F238E27FC236}">
              <a16:creationId xmlns:a16="http://schemas.microsoft.com/office/drawing/2014/main" id="{5559F489-B76A-4B7D-BA0D-03E5D89B2D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360" y="9032494"/>
          <a:ext cx="413522" cy="398991"/>
        </a:xfrm>
        <a:prstGeom prst="rect">
          <a:avLst/>
        </a:prstGeom>
      </xdr:spPr>
    </xdr:pic>
    <xdr:clientData/>
  </xdr:twoCellAnchor>
  <xdr:twoCellAnchor editAs="oneCell">
    <xdr:from>
      <xdr:col>0</xdr:col>
      <xdr:colOff>138935</xdr:colOff>
      <xdr:row>52</xdr:row>
      <xdr:rowOff>37447</xdr:rowOff>
    </xdr:from>
    <xdr:to>
      <xdr:col>0</xdr:col>
      <xdr:colOff>555029</xdr:colOff>
      <xdr:row>54</xdr:row>
      <xdr:rowOff>96788</xdr:rowOff>
    </xdr:to>
    <xdr:pic>
      <xdr:nvPicPr>
        <xdr:cNvPr id="44" name="Kuva 43">
          <a:hlinkClick xmlns:r="http://schemas.openxmlformats.org/officeDocument/2006/relationships" r:id="rId4"/>
          <a:extLst>
            <a:ext uri="{FF2B5EF4-FFF2-40B4-BE49-F238E27FC236}">
              <a16:creationId xmlns:a16="http://schemas.microsoft.com/office/drawing/2014/main" id="{DE683128-423B-462A-B687-CE74D710AAF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8935" y="8628997"/>
          <a:ext cx="412284" cy="398431"/>
        </a:xfrm>
        <a:prstGeom prst="rect">
          <a:avLst/>
        </a:prstGeom>
      </xdr:spPr>
    </xdr:pic>
    <xdr:clientData/>
  </xdr:twoCellAnchor>
  <xdr:twoCellAnchor editAs="oneCell">
    <xdr:from>
      <xdr:col>0</xdr:col>
      <xdr:colOff>140722</xdr:colOff>
      <xdr:row>49</xdr:row>
      <xdr:rowOff>157275</xdr:rowOff>
    </xdr:from>
    <xdr:to>
      <xdr:col>0</xdr:col>
      <xdr:colOff>549769</xdr:colOff>
      <xdr:row>52</xdr:row>
      <xdr:rowOff>53732</xdr:rowOff>
    </xdr:to>
    <xdr:pic>
      <xdr:nvPicPr>
        <xdr:cNvPr id="45" name="Kuva 44">
          <a:hlinkClick xmlns:r="http://schemas.openxmlformats.org/officeDocument/2006/relationships" r:id="rId6"/>
          <a:extLst>
            <a:ext uri="{FF2B5EF4-FFF2-40B4-BE49-F238E27FC236}">
              <a16:creationId xmlns:a16="http://schemas.microsoft.com/office/drawing/2014/main" id="{C744D250-98FD-44DB-9D10-5FF3FBE72B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722" y="8234475"/>
          <a:ext cx="405237" cy="399377"/>
        </a:xfrm>
        <a:prstGeom prst="rect">
          <a:avLst/>
        </a:prstGeom>
      </xdr:spPr>
    </xdr:pic>
    <xdr:clientData/>
  </xdr:twoCellAnchor>
  <xdr:twoCellAnchor editAs="oneCell">
    <xdr:from>
      <xdr:col>0</xdr:col>
      <xdr:colOff>144182</xdr:colOff>
      <xdr:row>47</xdr:row>
      <xdr:rowOff>104242</xdr:rowOff>
    </xdr:from>
    <xdr:to>
      <xdr:col>0</xdr:col>
      <xdr:colOff>552233</xdr:colOff>
      <xdr:row>50</xdr:row>
      <xdr:rowOff>313</xdr:rowOff>
    </xdr:to>
    <xdr:pic>
      <xdr:nvPicPr>
        <xdr:cNvPr id="46" name="Kuva 45">
          <a:hlinkClick xmlns:r="http://schemas.openxmlformats.org/officeDocument/2006/relationships" r:id="rId8"/>
          <a:extLst>
            <a:ext uri="{FF2B5EF4-FFF2-40B4-BE49-F238E27FC236}">
              <a16:creationId xmlns:a16="http://schemas.microsoft.com/office/drawing/2014/main" id="{4DB1C206-DEE7-491C-94B6-CD95520CC26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4182" y="7838542"/>
          <a:ext cx="411861" cy="398991"/>
        </a:xfrm>
        <a:prstGeom prst="rect">
          <a:avLst/>
        </a:prstGeom>
      </xdr:spPr>
    </xdr:pic>
    <xdr:clientData/>
  </xdr:twoCellAnchor>
  <xdr:twoCellAnchor editAs="oneCell">
    <xdr:from>
      <xdr:col>0</xdr:col>
      <xdr:colOff>151414</xdr:colOff>
      <xdr:row>45</xdr:row>
      <xdr:rowOff>43855</xdr:rowOff>
    </xdr:from>
    <xdr:to>
      <xdr:col>0</xdr:col>
      <xdr:colOff>552841</xdr:colOff>
      <xdr:row>47</xdr:row>
      <xdr:rowOff>98797</xdr:rowOff>
    </xdr:to>
    <xdr:pic>
      <xdr:nvPicPr>
        <xdr:cNvPr id="47" name="Kuva 46">
          <a:hlinkClick xmlns:r="http://schemas.openxmlformats.org/officeDocument/2006/relationships" r:id="rId10"/>
          <a:extLst>
            <a:ext uri="{FF2B5EF4-FFF2-40B4-BE49-F238E27FC236}">
              <a16:creationId xmlns:a16="http://schemas.microsoft.com/office/drawing/2014/main" id="{8CB1CBAC-C8EF-4E8C-A63B-E0A3E92898F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1414" y="7435255"/>
          <a:ext cx="405237" cy="401652"/>
        </a:xfrm>
        <a:prstGeom prst="rect">
          <a:avLst/>
        </a:prstGeom>
      </xdr:spPr>
    </xdr:pic>
    <xdr:clientData/>
  </xdr:twoCellAnchor>
  <xdr:twoCellAnchor editAs="oneCell">
    <xdr:from>
      <xdr:col>0</xdr:col>
      <xdr:colOff>149642</xdr:colOff>
      <xdr:row>42</xdr:row>
      <xdr:rowOff>152793</xdr:rowOff>
    </xdr:from>
    <xdr:to>
      <xdr:col>0</xdr:col>
      <xdr:colOff>555046</xdr:colOff>
      <xdr:row>45</xdr:row>
      <xdr:rowOff>37532</xdr:rowOff>
    </xdr:to>
    <xdr:pic>
      <xdr:nvPicPr>
        <xdr:cNvPr id="48" name="Kuva 47">
          <a:hlinkClick xmlns:r="http://schemas.openxmlformats.org/officeDocument/2006/relationships" r:id="rId12"/>
          <a:extLst>
            <a:ext uri="{FF2B5EF4-FFF2-40B4-BE49-F238E27FC236}">
              <a16:creationId xmlns:a16="http://schemas.microsoft.com/office/drawing/2014/main" id="{345BFDDA-38EC-4EA7-B067-5FB3856779C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9642" y="7029843"/>
          <a:ext cx="409214" cy="399089"/>
        </a:xfrm>
        <a:prstGeom prst="rect">
          <a:avLst/>
        </a:prstGeom>
      </xdr:spPr>
    </xdr:pic>
    <xdr:clientData/>
  </xdr:twoCellAnchor>
  <xdr:twoCellAnchor editAs="oneCell">
    <xdr:from>
      <xdr:col>0</xdr:col>
      <xdr:colOff>145776</xdr:colOff>
      <xdr:row>40</xdr:row>
      <xdr:rowOff>9683</xdr:rowOff>
    </xdr:from>
    <xdr:to>
      <xdr:col>0</xdr:col>
      <xdr:colOff>554640</xdr:colOff>
      <xdr:row>43</xdr:row>
      <xdr:rowOff>1529</xdr:rowOff>
    </xdr:to>
    <xdr:pic>
      <xdr:nvPicPr>
        <xdr:cNvPr id="49" name="Kuva 48">
          <a:hlinkClick xmlns:r="http://schemas.openxmlformats.org/officeDocument/2006/relationships" r:id="rId14"/>
          <a:extLst>
            <a:ext uri="{FF2B5EF4-FFF2-40B4-BE49-F238E27FC236}">
              <a16:creationId xmlns:a16="http://schemas.microsoft.com/office/drawing/2014/main" id="{B9FADEE7-B2E8-4F40-B546-B88B750BBB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5776" y="6639083"/>
          <a:ext cx="416484" cy="395706"/>
        </a:xfrm>
        <a:prstGeom prst="rect">
          <a:avLst/>
        </a:prstGeom>
      </xdr:spPr>
    </xdr:pic>
    <xdr:clientData/>
  </xdr:twoCellAnchor>
  <xdr:twoCellAnchor editAs="oneCell">
    <xdr:from>
      <xdr:col>0</xdr:col>
      <xdr:colOff>150583</xdr:colOff>
      <xdr:row>37</xdr:row>
      <xdr:rowOff>120538</xdr:rowOff>
    </xdr:from>
    <xdr:to>
      <xdr:col>0</xdr:col>
      <xdr:colOff>555247</xdr:colOff>
      <xdr:row>40</xdr:row>
      <xdr:rowOff>20094</xdr:rowOff>
    </xdr:to>
    <xdr:pic>
      <xdr:nvPicPr>
        <xdr:cNvPr id="50" name="Kuva 49">
          <a:hlinkClick xmlns:r="http://schemas.openxmlformats.org/officeDocument/2006/relationships" r:id="rId6"/>
          <a:extLst>
            <a:ext uri="{FF2B5EF4-FFF2-40B4-BE49-F238E27FC236}">
              <a16:creationId xmlns:a16="http://schemas.microsoft.com/office/drawing/2014/main" id="{79E9E5FA-23DB-48FD-BB9E-D07CAC2EBE7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0583" y="6235588"/>
          <a:ext cx="408474" cy="400571"/>
        </a:xfrm>
        <a:prstGeom prst="rect">
          <a:avLst/>
        </a:prstGeom>
      </xdr:spPr>
    </xdr:pic>
    <xdr:clientData/>
  </xdr:twoCellAnchor>
  <xdr:twoCellAnchor editAs="oneCell">
    <xdr:from>
      <xdr:col>0</xdr:col>
      <xdr:colOff>157813</xdr:colOff>
      <xdr:row>35</xdr:row>
      <xdr:rowOff>62091</xdr:rowOff>
    </xdr:from>
    <xdr:to>
      <xdr:col>0</xdr:col>
      <xdr:colOff>570097</xdr:colOff>
      <xdr:row>37</xdr:row>
      <xdr:rowOff>117623</xdr:rowOff>
    </xdr:to>
    <xdr:pic>
      <xdr:nvPicPr>
        <xdr:cNvPr id="51" name="Kuva 50">
          <a:hlinkClick xmlns:r="http://schemas.openxmlformats.org/officeDocument/2006/relationships" r:id="rId8"/>
          <a:extLst>
            <a:ext uri="{FF2B5EF4-FFF2-40B4-BE49-F238E27FC236}">
              <a16:creationId xmlns:a16="http://schemas.microsoft.com/office/drawing/2014/main" id="{A347E89D-89D6-4441-9152-C12746F528A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7813" y="5834241"/>
          <a:ext cx="412284" cy="398432"/>
        </a:xfrm>
        <a:prstGeom prst="rect">
          <a:avLst/>
        </a:prstGeom>
      </xdr:spPr>
    </xdr:pic>
    <xdr:clientData/>
  </xdr:twoCellAnchor>
  <xdr:twoCellAnchor editAs="oneCell">
    <xdr:from>
      <xdr:col>0</xdr:col>
      <xdr:colOff>162240</xdr:colOff>
      <xdr:row>33</xdr:row>
      <xdr:rowOff>2695</xdr:rowOff>
    </xdr:from>
    <xdr:to>
      <xdr:col>0</xdr:col>
      <xdr:colOff>552342</xdr:colOff>
      <xdr:row>35</xdr:row>
      <xdr:rowOff>54751</xdr:rowOff>
    </xdr:to>
    <xdr:pic>
      <xdr:nvPicPr>
        <xdr:cNvPr id="52" name="Kuva 51">
          <a:extLst>
            <a:ext uri="{FF2B5EF4-FFF2-40B4-BE49-F238E27FC236}">
              <a16:creationId xmlns:a16="http://schemas.microsoft.com/office/drawing/2014/main" id="{8A0D60A5-B836-47F6-A3A6-16B227B2631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2240" y="5431945"/>
          <a:ext cx="403437" cy="398766"/>
        </a:xfrm>
        <a:prstGeom prst="rect">
          <a:avLst/>
        </a:prstGeom>
      </xdr:spPr>
    </xdr:pic>
    <xdr:clientData/>
  </xdr:twoCellAnchor>
  <xdr:twoCellAnchor editAs="oneCell">
    <xdr:from>
      <xdr:col>0</xdr:col>
      <xdr:colOff>137948</xdr:colOff>
      <xdr:row>57</xdr:row>
      <xdr:rowOff>1</xdr:rowOff>
    </xdr:from>
    <xdr:to>
      <xdr:col>0</xdr:col>
      <xdr:colOff>549296</xdr:colOff>
      <xdr:row>59</xdr:row>
      <xdr:rowOff>60172</xdr:rowOff>
    </xdr:to>
    <xdr:pic>
      <xdr:nvPicPr>
        <xdr:cNvPr id="53" name="Kuva 52" descr="Tulostin">
          <a:hlinkClick xmlns:r="http://schemas.openxmlformats.org/officeDocument/2006/relationships" r:id="rId19"/>
          <a:extLst>
            <a:ext uri="{FF2B5EF4-FFF2-40B4-BE49-F238E27FC236}">
              <a16:creationId xmlns:a16="http://schemas.microsoft.com/office/drawing/2014/main" id="{6DB3B42E-837A-442A-AD1C-09A0A2A791D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7948" y="9448801"/>
          <a:ext cx="415158" cy="414501"/>
        </a:xfrm>
        <a:prstGeom prst="rect">
          <a:avLst/>
        </a:prstGeom>
      </xdr:spPr>
    </xdr:pic>
    <xdr:clientData/>
  </xdr:twoCellAnchor>
  <xdr:twoCellAnchor>
    <xdr:from>
      <xdr:col>11</xdr:col>
      <xdr:colOff>495300</xdr:colOff>
      <xdr:row>10</xdr:row>
      <xdr:rowOff>9275</xdr:rowOff>
    </xdr:from>
    <xdr:to>
      <xdr:col>19</xdr:col>
      <xdr:colOff>397328</xdr:colOff>
      <xdr:row>47</xdr:row>
      <xdr:rowOff>5443</xdr:rowOff>
    </xdr:to>
    <xdr:sp macro="" textlink="">
      <xdr:nvSpPr>
        <xdr:cNvPr id="15" name="AutoShape 189">
          <a:extLst>
            <a:ext uri="{FF2B5EF4-FFF2-40B4-BE49-F238E27FC236}">
              <a16:creationId xmlns:a16="http://schemas.microsoft.com/office/drawing/2014/main" id="{5DB7A798-AB7B-4528-B194-2E979BD2886A}"/>
            </a:ext>
          </a:extLst>
        </xdr:cNvPr>
        <xdr:cNvSpPr>
          <a:spLocks noChangeArrowheads="1"/>
        </xdr:cNvSpPr>
      </xdr:nvSpPr>
      <xdr:spPr bwMode="auto">
        <a:xfrm>
          <a:off x="10526486" y="1533275"/>
          <a:ext cx="5241471" cy="6086725"/>
        </a:xfrm>
        <a:prstGeom prst="foldedCorner">
          <a:avLst>
            <a:gd name="adj" fmla="val 12500"/>
          </a:avLst>
        </a:prstGeom>
        <a:solidFill>
          <a:srgbClr val="FFC000"/>
        </a:solidFill>
        <a:ln w="15875">
          <a:solidFill>
            <a:srgbClr val="FFC000"/>
          </a:solidFill>
          <a:round/>
          <a:headEnd/>
          <a:tailEnd/>
        </a:ln>
      </xdr:spPr>
      <xdr:txBody>
        <a:bodyPr vertOverflow="clip" wrap="square" lIns="144000" tIns="144000" rIns="36000" bIns="36000" anchor="t" anchorCtr="0" upright="1"/>
        <a:lstStyle/>
        <a:p>
          <a:pPr marL="0" marR="0" lvl="0" indent="0" defTabSz="914400" rtl="0" eaLnBrk="1" fontAlgn="auto" latinLnBrk="0" hangingPunct="1">
            <a:lnSpc>
              <a:spcPct val="100000"/>
            </a:lnSpc>
            <a:spcBef>
              <a:spcPts val="0"/>
            </a:spcBef>
            <a:spcAft>
              <a:spcPts val="0"/>
            </a:spcAft>
            <a:buClrTx/>
            <a:buSzTx/>
            <a:buFontTx/>
            <a:buNone/>
            <a:tabLst/>
            <a:defRPr/>
          </a:pPr>
          <a:r>
            <a:rPr lang="fi-FI" sz="1000" b="1" i="0">
              <a:effectLst/>
              <a:latin typeface="Arial" panose="020B0604020202020204" pitchFamily="34" charset="0"/>
              <a:ea typeface="Tahoma" panose="020B0604030504040204" pitchFamily="34" charset="0"/>
              <a:cs typeface="Arial" panose="020B0604020202020204" pitchFamily="34" charset="0"/>
            </a:rPr>
            <a:t>IFYLLNADSDIREKTIV (KAN</a:t>
          </a:r>
          <a:r>
            <a:rPr lang="fi-FI" sz="1000" b="1" i="0" baseline="0">
              <a:effectLst/>
              <a:latin typeface="Arial" panose="020B0604020202020204" pitchFamily="34" charset="0"/>
              <a:ea typeface="Tahoma" panose="020B0604030504040204" pitchFamily="34" charset="0"/>
              <a:cs typeface="Arial" panose="020B0604020202020204" pitchFamily="34" charset="0"/>
            </a:rPr>
            <a:t> DRAGS BORT MED DATORMUS) </a:t>
          </a:r>
          <a:endParaRPr lang="fi-FI" sz="1000">
            <a:effectLst/>
            <a:latin typeface="Arial" panose="020B0604020202020204" pitchFamily="34" charset="0"/>
            <a:ea typeface="Tahoma" panose="020B0604030504040204" pitchFamily="34" charset="0"/>
            <a:cs typeface="Arial" panose="020B0604020202020204" pitchFamily="34" charset="0"/>
          </a:endParaRPr>
        </a:p>
        <a:p>
          <a:pPr rtl="0"/>
          <a:endParaRPr lang="fi-FI" sz="1000">
            <a:effectLst/>
            <a:latin typeface="Arial" panose="020B0604020202020204" pitchFamily="34" charset="0"/>
            <a:ea typeface="Tahoma" panose="020B0604030504040204" pitchFamily="34" charset="0"/>
            <a:cs typeface="Arial" panose="020B0604020202020204" pitchFamily="34" charset="0"/>
          </a:endParaRPr>
        </a:p>
        <a:p>
          <a:pPr marL="171450" indent="-171450" algn="l" rtl="0">
            <a:lnSpc>
              <a:spcPts val="1300"/>
            </a:lnSpc>
            <a:buFont typeface="Arial" panose="020B0604020202020204" pitchFamily="34" charset="0"/>
            <a:buChar char="•"/>
            <a:defRPr sz="1000"/>
          </a:pPr>
          <a:r>
            <a:rPr lang="fi-FI" sz="1000" b="1" i="0" baseline="0">
              <a:effectLst/>
              <a:latin typeface="Arial" panose="020B0604020202020204" pitchFamily="34" charset="0"/>
              <a:ea typeface="Tahoma" panose="020B0604030504040204" pitchFamily="34" charset="0"/>
              <a:cs typeface="Arial" panose="020B0604020202020204" pitchFamily="34" charset="0"/>
            </a:rPr>
            <a:t>FYLL I ALLA TABELLERNA EFTER NUMREN PÅ VÄNSTER! </a:t>
          </a: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marL="171450" indent="-171450" rtl="0">
            <a:buFont typeface="Arial" panose="020B0604020202020204" pitchFamily="34" charset="0"/>
            <a:buChar char="•"/>
          </a:pP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INVESTERINGAR SKRIVS MED MOMS!</a:t>
          </a:r>
        </a:p>
        <a:p>
          <a:pPr marL="171450" indent="-171450" rtl="0">
            <a:buFont typeface="Arial" panose="020B0604020202020204" pitchFamily="34" charset="0"/>
            <a:buChar char="•"/>
          </a:pPr>
          <a:r>
            <a:rPr lang="fi-FI" sz="1000" b="1" i="0" baseline="0">
              <a:solidFill>
                <a:srgbClr val="FF0000"/>
              </a:solidFill>
              <a:effectLst/>
              <a:latin typeface="Arial" panose="020B0604020202020204" pitchFamily="34" charset="0"/>
              <a:ea typeface="Tahoma" panose="020B0604030504040204" pitchFamily="34" charset="0"/>
              <a:cs typeface="Arial" panose="020B0604020202020204" pitchFamily="34" charset="0"/>
            </a:rPr>
            <a:t>ANVÄND ENDAST HELT TAL!</a:t>
          </a:r>
          <a:endParaRPr lang="fi-FI" sz="1000">
            <a:solidFill>
              <a:srgbClr val="FF0000"/>
            </a:solidFill>
            <a:effectLst/>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OM DET FINNS INTE INVESTERINGAR, GÅ VIDARE TILL SKEDE 2. RESULTATBUDGET.</a:t>
          </a:r>
          <a:b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b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Rader 1 - 7: Investeringarna beräknas enligt prisnivån då investeringen görs.</a:t>
          </a:r>
          <a:endPar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Rad 9: Med ökning av rörelsekapital avses det bestående behovet av rörelsekapital </a:t>
          </a:r>
          <a:br>
            <a:rPr lang="fi-FI" sz="1000" b="1" i="0" u="none" strike="noStrike">
              <a:effectLst/>
              <a:latin typeface="Arial" panose="020B0604020202020204" pitchFamily="34" charset="0"/>
              <a:ea typeface="Tahoma" panose="020B0604030504040204" pitchFamily="34" charset="0"/>
              <a:cs typeface="Arial" panose="020B0604020202020204" pitchFamily="34" charset="0"/>
            </a:rPr>
          </a:br>
          <a:r>
            <a:rPr lang="fi-FI" sz="1000" b="1" i="0" u="none" strike="noStrike">
              <a:effectLst/>
              <a:latin typeface="Arial" panose="020B0604020202020204" pitchFamily="34" charset="0"/>
              <a:ea typeface="Tahoma" panose="020B0604030504040204" pitchFamily="34" charset="0"/>
              <a:cs typeface="Arial" panose="020B0604020202020204" pitchFamily="34" charset="0"/>
            </a:rPr>
            <a:t>            som Investeringen framkallar. </a:t>
          </a:r>
          <a:br>
            <a:rPr lang="fi-FI" sz="1000" b="1" i="0" u="none" strike="noStrike">
              <a:effectLst/>
              <a:latin typeface="Arial" panose="020B0604020202020204" pitchFamily="34" charset="0"/>
              <a:ea typeface="Tahoma" panose="020B0604030504040204" pitchFamily="34" charset="0"/>
              <a:cs typeface="Arial" panose="020B0604020202020204" pitchFamily="34" charset="0"/>
            </a:rPr>
          </a:br>
          <a:r>
            <a:rPr lang="fi-FI" sz="1000" b="1" i="0" u="none" strike="noStrike">
              <a:effectLst/>
              <a:latin typeface="Arial" panose="020B0604020202020204" pitchFamily="34" charset="0"/>
              <a:ea typeface="Tahoma" panose="020B0604030504040204" pitchFamily="34" charset="0"/>
              <a:cs typeface="Arial" panose="020B0604020202020204" pitchFamily="34" charset="0"/>
            </a:rPr>
            <a:t>            Rörelsekapital = Omsättningstillgångar + kundfordringar - leverantörsskulder - erhållna förskott</a:t>
          </a: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Rad 11: Ökning av eget kapital</a:t>
          </a: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Rad 12: Internfinansiering som kan användas för den aktuella investeringen.</a:t>
          </a: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Rad 13: Endast ökning av kapitallån.</a:t>
          </a:r>
          <a:r>
            <a:rPr lang="fi-FI" b="1">
              <a:latin typeface="Arial" panose="020B0604020202020204" pitchFamily="34" charset="0"/>
              <a:ea typeface="Tahoma" panose="020B0604030504040204" pitchFamily="34" charset="0"/>
              <a:cs typeface="Arial" panose="020B0604020202020204" pitchFamily="34" charset="0"/>
            </a:rPr>
            <a:t> </a:t>
          </a: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Rad 14: Lån av ägare, försäljning av egendom och placeringar samt andelen av eget arbete och material.</a:t>
          </a: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endPar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endParaRPr>
        </a:p>
        <a:p>
          <a:pPr algn="l" rtl="0">
            <a:lnSpc>
              <a:spcPts val="1300"/>
            </a:lnSpc>
            <a:defRPr sz="1000"/>
          </a:pPr>
          <a:r>
            <a:rPr lang="fi-FI" sz="1000" b="1" i="0" u="none" strike="noStrike">
              <a:effectLst/>
              <a:latin typeface="Arial" panose="020B0604020202020204" pitchFamily="34" charset="0"/>
              <a:ea typeface="Tahoma" panose="020B0604030504040204" pitchFamily="34" charset="0"/>
              <a:cs typeface="Arial" panose="020B0604020202020204" pitchFamily="34" charset="0"/>
            </a:rPr>
            <a:t>När du beräknar ska du beakta investeringens påverkan på kostnaderna under de kommande åren:</a:t>
          </a:r>
          <a:br>
            <a:rPr lang="fi-FI" sz="1100">
              <a:effectLst/>
              <a:latin typeface="Arial" panose="020B0604020202020204" pitchFamily="34" charset="0"/>
              <a:ea typeface="Tahoma" panose="020B0604030504040204" pitchFamily="34" charset="0"/>
              <a:cs typeface="Arial" panose="020B0604020202020204" pitchFamily="34" charset="0"/>
            </a:rPr>
          </a:br>
          <a:endParaRPr lang="fi-FI" sz="1000">
            <a:effectLst/>
            <a:latin typeface="Arial" panose="020B0604020202020204" pitchFamily="34" charset="0"/>
            <a:ea typeface="Tahoma" panose="020B0604030504040204" pitchFamily="34" charset="0"/>
            <a:cs typeface="Arial" panose="020B0604020202020204" pitchFamily="34" charset="0"/>
          </a:endParaRPr>
        </a:p>
        <a:p>
          <a:r>
            <a:rPr lang="fi-FI" sz="1000" b="1">
              <a:effectLst/>
              <a:latin typeface="Arial" panose="020B0604020202020204" pitchFamily="34" charset="0"/>
              <a:ea typeface="Tahoma" panose="020B0604030504040204" pitchFamily="34" charset="0"/>
              <a:cs typeface="Arial" panose="020B0604020202020204" pitchFamily="34" charset="0"/>
            </a:rPr>
            <a:t>Investeringar</a:t>
          </a:r>
          <a:r>
            <a:rPr lang="fi-FI" sz="1000" b="1" baseline="0">
              <a:effectLst/>
              <a:latin typeface="Arial" panose="020B0604020202020204" pitchFamily="34" charset="0"/>
              <a:ea typeface="Tahoma" panose="020B0604030504040204" pitchFamily="34" charset="0"/>
              <a:cs typeface="Arial" panose="020B0604020202020204" pitchFamily="34" charset="0"/>
            </a:rPr>
            <a:t> på maskiner och apparater</a:t>
          </a:r>
          <a:r>
            <a:rPr lang="fi-FI" sz="1000" b="1">
              <a:effectLst/>
              <a:latin typeface="Arial" panose="020B0604020202020204" pitchFamily="34" charset="0"/>
              <a:ea typeface="Tahoma" panose="020B0604030504040204" pitchFamily="34" charset="0"/>
              <a:cs typeface="Arial" panose="020B0604020202020204" pitchFamily="34" charset="0"/>
            </a:rPr>
            <a:t>:</a:t>
          </a:r>
          <a:br>
            <a:rPr lang="fi-FI" sz="1100" b="1">
              <a:effectLst/>
              <a:latin typeface="Arial" panose="020B0604020202020204" pitchFamily="34" charset="0"/>
              <a:ea typeface="Tahoma" panose="020B0604030504040204" pitchFamily="34" charset="0"/>
              <a:cs typeface="Arial" panose="020B0604020202020204" pitchFamily="34" charset="0"/>
            </a:rPr>
          </a:br>
          <a:r>
            <a:rPr lang="fi-FI" sz="1000" b="1">
              <a:effectLst/>
              <a:latin typeface="Arial" panose="020B0604020202020204" pitchFamily="34" charset="0"/>
              <a:ea typeface="Tahoma" panose="020B0604030504040204" pitchFamily="34" charset="0"/>
              <a:cs typeface="Arial" panose="020B0604020202020204" pitchFamily="34" charset="0"/>
            </a:rPr>
            <a:t>- </a:t>
          </a:r>
          <a:r>
            <a:rPr lang="fi-FI" sz="1000" b="0" i="0" u="none" strike="noStrike">
              <a:effectLst/>
              <a:latin typeface="Arial" panose="020B0604020202020204" pitchFamily="34" charset="0"/>
              <a:ea typeface="Tahoma" panose="020B0604030504040204" pitchFamily="34" charset="0"/>
              <a:cs typeface="Arial" panose="020B0604020202020204" pitchFamily="34" charset="0"/>
            </a:rPr>
            <a:t>råvaror, arbetskraftskostnader, el, vatten, bränsle, försäkring, underhåll, reparation, program etc</a:t>
          </a:r>
          <a:r>
            <a:rPr lang="fi-FI" sz="1100" b="0" i="0" u="none" strike="noStrike">
              <a:effectLst/>
              <a:latin typeface="Arial" panose="020B0604020202020204" pitchFamily="34" charset="0"/>
              <a:ea typeface="Tahoma" panose="020B0604030504040204" pitchFamily="34" charset="0"/>
              <a:cs typeface="Arial" panose="020B0604020202020204" pitchFamily="34" charset="0"/>
            </a:rPr>
            <a:t>.</a:t>
          </a:r>
        </a:p>
        <a:p>
          <a:br>
            <a:rPr lang="fi-FI" sz="1100" b="1">
              <a:effectLst/>
              <a:latin typeface="Arial" panose="020B0604020202020204" pitchFamily="34" charset="0"/>
              <a:ea typeface="Tahoma" panose="020B0604030504040204" pitchFamily="34" charset="0"/>
              <a:cs typeface="Arial" panose="020B0604020202020204" pitchFamily="34" charset="0"/>
            </a:rPr>
          </a:br>
          <a:r>
            <a:rPr lang="fi-FI" sz="1000" b="1">
              <a:effectLst/>
              <a:latin typeface="Arial" panose="020B0604020202020204" pitchFamily="34" charset="0"/>
              <a:ea typeface="Tahoma" panose="020B0604030504040204" pitchFamily="34" charset="0"/>
              <a:cs typeface="Arial" panose="020B0604020202020204" pitchFamily="34" charset="0"/>
            </a:rPr>
            <a:t>Fastighetsinvesteringar:</a:t>
          </a:r>
          <a:br>
            <a:rPr lang="fi-FI" sz="1100" b="1">
              <a:effectLst/>
              <a:latin typeface="Arial" panose="020B0604020202020204" pitchFamily="34" charset="0"/>
              <a:ea typeface="Tahoma" panose="020B0604030504040204" pitchFamily="34" charset="0"/>
              <a:cs typeface="Arial" panose="020B0604020202020204" pitchFamily="34" charset="0"/>
            </a:rPr>
          </a:br>
          <a:r>
            <a:rPr lang="fi-FI" sz="1000" b="1">
              <a:effectLst/>
              <a:latin typeface="Arial" panose="020B0604020202020204" pitchFamily="34" charset="0"/>
              <a:ea typeface="Tahoma" panose="020B0604030504040204" pitchFamily="34" charset="0"/>
              <a:cs typeface="Arial" panose="020B0604020202020204" pitchFamily="34" charset="0"/>
            </a:rPr>
            <a:t>-</a:t>
          </a:r>
          <a:r>
            <a:rPr lang="fi-FI" sz="1000">
              <a:effectLst/>
              <a:latin typeface="Arial" panose="020B0604020202020204" pitchFamily="34" charset="0"/>
              <a:ea typeface="Tahoma" panose="020B0604030504040204" pitchFamily="34" charset="0"/>
              <a:cs typeface="Arial" panose="020B0604020202020204" pitchFamily="34" charset="0"/>
            </a:rPr>
            <a:t> </a:t>
          </a:r>
          <a:r>
            <a:rPr lang="fi-FI" sz="1000" b="0" i="0" u="none" strike="noStrike">
              <a:effectLst/>
              <a:latin typeface="Arial" panose="020B0604020202020204" pitchFamily="34" charset="0"/>
              <a:ea typeface="Tahoma" panose="020B0604030504040204" pitchFamily="34" charset="0"/>
              <a:cs typeface="Arial" panose="020B0604020202020204" pitchFamily="34" charset="0"/>
            </a:rPr>
            <a:t>värme, el, vatten, fastighetsskatt, försäkring, städning, säkerhet, avfall etc.</a:t>
          </a:r>
          <a:r>
            <a:rPr lang="fi-FI" sz="1000">
              <a:effectLst/>
              <a:latin typeface="Arial" panose="020B0604020202020204" pitchFamily="34" charset="0"/>
              <a:ea typeface="Tahoma" panose="020B0604030504040204" pitchFamily="34" charset="0"/>
              <a:cs typeface="Arial" panose="020B0604020202020204" pitchFamily="34" charset="0"/>
            </a:rPr>
            <a:t> </a:t>
          </a:r>
          <a:endParaRPr lang="fi-FI" sz="1100">
            <a:effectLst/>
            <a:latin typeface="Arial" panose="020B0604020202020204" pitchFamily="34" charset="0"/>
            <a:ea typeface="Tahoma" panose="020B0604030504040204" pitchFamily="34" charset="0"/>
            <a:cs typeface="Arial" panose="020B0604020202020204" pitchFamily="34" charset="0"/>
          </a:endParaRPr>
        </a:p>
        <a:p>
          <a:endParaRPr lang="fi-FI" sz="1100" b="1" i="0" strike="noStrike" baseline="0">
            <a:solidFill>
              <a:srgbClr val="000000"/>
            </a:solidFill>
            <a:effectLst/>
            <a:latin typeface="+mn-lt"/>
            <a:ea typeface="+mn-ea"/>
            <a:cs typeface="+mn-cs"/>
          </a:endParaRPr>
        </a:p>
        <a:p>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endParaRPr lang="fi-FI" sz="1000" b="1" i="0" strike="noStrike" baseline="0">
            <a:solidFill>
              <a:srgbClr val="000000"/>
            </a:solidFill>
            <a:latin typeface="Arial"/>
            <a:cs typeface="Arial"/>
          </a:endParaRPr>
        </a:p>
        <a:p>
          <a:pPr algn="l" rtl="0">
            <a:lnSpc>
              <a:spcPts val="1300"/>
            </a:lnSpc>
            <a:defRPr sz="1000"/>
          </a:pPr>
          <a:br>
            <a:rPr lang="fi-FI" sz="1000" b="1" i="0" strike="noStrike" baseline="0">
              <a:solidFill>
                <a:srgbClr val="000000"/>
              </a:solidFill>
              <a:latin typeface="Arial"/>
              <a:cs typeface="Arial"/>
            </a:rPr>
          </a:br>
          <a:r>
            <a:rPr lang="fi-FI" sz="1000" b="1" i="0" strike="noStrike" baseline="0">
              <a:solidFill>
                <a:srgbClr val="000000"/>
              </a:solidFill>
              <a:latin typeface="Arial"/>
              <a:cs typeface="Arial"/>
            </a:rPr>
            <a:t>  </a:t>
          </a:r>
          <a:endParaRPr lang="fi-FI" sz="900" b="1" i="0" strike="noStrike">
            <a:solidFill>
              <a:srgbClr val="004990"/>
            </a:solidFill>
            <a:latin typeface="Arial"/>
            <a:cs typeface="Arial"/>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510540</xdr:colOff>
      <xdr:row>0</xdr:row>
      <xdr:rowOff>0</xdr:rowOff>
    </xdr:to>
    <xdr:pic>
      <xdr:nvPicPr>
        <xdr:cNvPr id="5503073" name="Kuva 12" descr="tulkki_vari2rivi.jpg">
          <a:extLst>
            <a:ext uri="{FF2B5EF4-FFF2-40B4-BE49-F238E27FC236}">
              <a16:creationId xmlns:a16="http://schemas.microsoft.com/office/drawing/2014/main" id="{00000000-0008-0000-0200-000061F85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10883</xdr:colOff>
      <xdr:row>33</xdr:row>
      <xdr:rowOff>129949</xdr:rowOff>
    </xdr:from>
    <xdr:to>
      <xdr:col>10</xdr:col>
      <xdr:colOff>223157</xdr:colOff>
      <xdr:row>38</xdr:row>
      <xdr:rowOff>97971</xdr:rowOff>
    </xdr:to>
    <xdr:sp macro="" textlink="">
      <xdr:nvSpPr>
        <xdr:cNvPr id="29" name="AutoShape 189">
          <a:extLst>
            <a:ext uri="{FF2B5EF4-FFF2-40B4-BE49-F238E27FC236}">
              <a16:creationId xmlns:a16="http://schemas.microsoft.com/office/drawing/2014/main" id="{00000000-0008-0000-0200-00001D000000}"/>
            </a:ext>
          </a:extLst>
        </xdr:cNvPr>
        <xdr:cNvSpPr>
          <a:spLocks noChangeArrowheads="1"/>
        </xdr:cNvSpPr>
      </xdr:nvSpPr>
      <xdr:spPr bwMode="auto">
        <a:xfrm>
          <a:off x="3668483" y="5589135"/>
          <a:ext cx="4038603" cy="779007"/>
        </a:xfrm>
        <a:prstGeom prst="foldedCorner">
          <a:avLst>
            <a:gd name="adj" fmla="val 12500"/>
          </a:avLst>
        </a:prstGeom>
        <a:solidFill>
          <a:srgbClr val="FFC000"/>
        </a:solidFill>
        <a:ln w="15875">
          <a:noFill/>
          <a:round/>
          <a:headEnd/>
          <a:tailEnd/>
        </a:ln>
      </xdr:spPr>
      <xdr:txBody>
        <a:bodyPr vertOverflow="clip" wrap="square" lIns="72000" tIns="36000" rIns="36000" bIns="36000" anchor="ctr" upright="1"/>
        <a:lstStyle/>
        <a:p>
          <a:pPr lvl="0" algn="l" rtl="0">
            <a:lnSpc>
              <a:spcPts val="1400"/>
            </a:lnSpc>
            <a:defRPr sz="1000"/>
          </a:pPr>
          <a: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t>Ifyllnadsdirektiv</a:t>
          </a: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a:t>
          </a:r>
          <a:endPar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endParaRPr>
        </a:p>
        <a:p>
          <a:pPr lvl="0" algn="l" rtl="0">
            <a:lnSpc>
              <a:spcPts val="1400"/>
            </a:lnSpc>
            <a:defRPr sz="1000"/>
          </a:pPr>
          <a:r>
            <a:rPr lang="fi-FI" sz="1000" b="0" i="0" strike="noStrike">
              <a:solidFill>
                <a:sysClr val="windowText" lastClr="000000"/>
              </a:solidFill>
              <a:latin typeface="Arial" panose="020B0604020202020204" pitchFamily="34" charset="0"/>
              <a:ea typeface="Tahoma" panose="020B0604030504040204" pitchFamily="34" charset="0"/>
              <a:cs typeface="Arial" panose="020B0604020202020204" pitchFamily="34" charset="0"/>
            </a:rPr>
            <a:t>Fyll i gula cellerna. </a:t>
          </a:r>
          <a:r>
            <a:rPr lang="fi-FI" sz="1000" b="1" i="0" strike="noStrike">
              <a:solidFill>
                <a:srgbClr val="FF0000"/>
              </a:solidFill>
              <a:latin typeface="Arial" panose="020B0604020202020204" pitchFamily="34" charset="0"/>
              <a:ea typeface="Tahoma" panose="020B0604030504040204" pitchFamily="34" charset="0"/>
              <a:cs typeface="Arial" panose="020B0604020202020204" pitchFamily="34" charset="0"/>
            </a:rPr>
            <a:t>Skriv penningsummorna i helt tal</a:t>
          </a:r>
          <a:r>
            <a:rPr lang="fi-FI" sz="1000" b="1" i="0" strike="noStrike">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br>
            <a:rPr lang="fi-FI" sz="1000" b="0" i="0" strike="noStrik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br>
          <a:r>
            <a:rPr lang="fi-FI" sz="1000" b="1" i="0" strike="noStrik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Observera förtecken och kommentarer i cellerna!  </a:t>
          </a:r>
          <a:endParaRPr lang="fi-FI" sz="1000" b="1" i="0" strike="noStrike">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fPrintsWithSheet="0"/>
  </xdr:twoCellAnchor>
  <xdr:twoCellAnchor editAs="oneCell">
    <xdr:from>
      <xdr:col>14</xdr:col>
      <xdr:colOff>38100</xdr:colOff>
      <xdr:row>1</xdr:row>
      <xdr:rowOff>19050</xdr:rowOff>
    </xdr:from>
    <xdr:to>
      <xdr:col>15</xdr:col>
      <xdr:colOff>304800</xdr:colOff>
      <xdr:row>3</xdr:row>
      <xdr:rowOff>0</xdr:rowOff>
    </xdr:to>
    <xdr:pic>
      <xdr:nvPicPr>
        <xdr:cNvPr id="38" name="Kuva 37" descr="Företagstolken logo Liten .jpg">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96425" y="1809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97291</xdr:colOff>
      <xdr:row>26</xdr:row>
      <xdr:rowOff>84069</xdr:rowOff>
    </xdr:from>
    <xdr:to>
      <xdr:col>0</xdr:col>
      <xdr:colOff>514623</xdr:colOff>
      <xdr:row>29</xdr:row>
      <xdr:rowOff>54684</xdr:rowOff>
    </xdr:to>
    <xdr:pic>
      <xdr:nvPicPr>
        <xdr:cNvPr id="39" name="Kuva 38">
          <a:hlinkClick xmlns:r="http://schemas.openxmlformats.org/officeDocument/2006/relationships" r:id="rId3"/>
          <a:extLst>
            <a:ext uri="{FF2B5EF4-FFF2-40B4-BE49-F238E27FC236}">
              <a16:creationId xmlns:a16="http://schemas.microsoft.com/office/drawing/2014/main" id="{D75F3EF0-8D64-4FFB-916D-92F67DD9BE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1" y="4522719"/>
          <a:ext cx="413522" cy="416385"/>
        </a:xfrm>
        <a:prstGeom prst="rect">
          <a:avLst/>
        </a:prstGeom>
      </xdr:spPr>
    </xdr:pic>
    <xdr:clientData/>
  </xdr:twoCellAnchor>
  <xdr:twoCellAnchor editAs="oneCell">
    <xdr:from>
      <xdr:col>0</xdr:col>
      <xdr:colOff>99391</xdr:colOff>
      <xdr:row>24</xdr:row>
      <xdr:rowOff>145226</xdr:rowOff>
    </xdr:from>
    <xdr:to>
      <xdr:col>0</xdr:col>
      <xdr:colOff>515485</xdr:colOff>
      <xdr:row>26</xdr:row>
      <xdr:rowOff>92338</xdr:rowOff>
    </xdr:to>
    <xdr:pic>
      <xdr:nvPicPr>
        <xdr:cNvPr id="40" name="Kuva 39">
          <a:hlinkClick xmlns:r="http://schemas.openxmlformats.org/officeDocument/2006/relationships" r:id="rId5"/>
          <a:extLst>
            <a:ext uri="{FF2B5EF4-FFF2-40B4-BE49-F238E27FC236}">
              <a16:creationId xmlns:a16="http://schemas.microsoft.com/office/drawing/2014/main" id="{1E1735A3-4F2F-40B4-A9AB-28C88D57255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9391" y="4117151"/>
          <a:ext cx="412284" cy="410027"/>
        </a:xfrm>
        <a:prstGeom prst="rect">
          <a:avLst/>
        </a:prstGeom>
      </xdr:spPr>
    </xdr:pic>
    <xdr:clientData/>
  </xdr:twoCellAnchor>
  <xdr:twoCellAnchor editAs="oneCell">
    <xdr:from>
      <xdr:col>0</xdr:col>
      <xdr:colOff>101178</xdr:colOff>
      <xdr:row>22</xdr:row>
      <xdr:rowOff>41424</xdr:rowOff>
    </xdr:from>
    <xdr:to>
      <xdr:col>0</xdr:col>
      <xdr:colOff>515940</xdr:colOff>
      <xdr:row>25</xdr:row>
      <xdr:rowOff>994</xdr:rowOff>
    </xdr:to>
    <xdr:pic>
      <xdr:nvPicPr>
        <xdr:cNvPr id="41" name="Kuva 40">
          <a:hlinkClick xmlns:r="http://schemas.openxmlformats.org/officeDocument/2006/relationships" r:id="rId7"/>
          <a:extLst>
            <a:ext uri="{FF2B5EF4-FFF2-40B4-BE49-F238E27FC236}">
              <a16:creationId xmlns:a16="http://schemas.microsoft.com/office/drawing/2014/main" id="{0E56CC5F-9DFA-406E-AC28-0A25212AE01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1178" y="3708549"/>
          <a:ext cx="405237" cy="416770"/>
        </a:xfrm>
        <a:prstGeom prst="rect">
          <a:avLst/>
        </a:prstGeom>
      </xdr:spPr>
    </xdr:pic>
    <xdr:clientData/>
  </xdr:twoCellAnchor>
  <xdr:twoCellAnchor editAs="oneCell">
    <xdr:from>
      <xdr:col>0</xdr:col>
      <xdr:colOff>104638</xdr:colOff>
      <xdr:row>19</xdr:row>
      <xdr:rowOff>86145</xdr:rowOff>
    </xdr:from>
    <xdr:to>
      <xdr:col>0</xdr:col>
      <xdr:colOff>512689</xdr:colOff>
      <xdr:row>22</xdr:row>
      <xdr:rowOff>39906</xdr:rowOff>
    </xdr:to>
    <xdr:pic>
      <xdr:nvPicPr>
        <xdr:cNvPr id="42" name="Kuva 41">
          <a:extLst>
            <a:ext uri="{FF2B5EF4-FFF2-40B4-BE49-F238E27FC236}">
              <a16:creationId xmlns:a16="http://schemas.microsoft.com/office/drawing/2014/main" id="{3F0A3F65-7516-4A0E-9D0E-02DF12188D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638" y="3296070"/>
          <a:ext cx="411861" cy="410961"/>
        </a:xfrm>
        <a:prstGeom prst="rect">
          <a:avLst/>
        </a:prstGeom>
      </xdr:spPr>
    </xdr:pic>
    <xdr:clientData/>
  </xdr:twoCellAnchor>
  <xdr:twoCellAnchor editAs="oneCell">
    <xdr:from>
      <xdr:col>0</xdr:col>
      <xdr:colOff>111870</xdr:colOff>
      <xdr:row>16</xdr:row>
      <xdr:rowOff>118090</xdr:rowOff>
    </xdr:from>
    <xdr:to>
      <xdr:col>0</xdr:col>
      <xdr:colOff>513297</xdr:colOff>
      <xdr:row>19</xdr:row>
      <xdr:rowOff>79935</xdr:rowOff>
    </xdr:to>
    <xdr:pic>
      <xdr:nvPicPr>
        <xdr:cNvPr id="43" name="Kuva 42">
          <a:hlinkClick xmlns:r="http://schemas.openxmlformats.org/officeDocument/2006/relationships" r:id="rId10"/>
          <a:extLst>
            <a:ext uri="{FF2B5EF4-FFF2-40B4-BE49-F238E27FC236}">
              <a16:creationId xmlns:a16="http://schemas.microsoft.com/office/drawing/2014/main" id="{53A0C38D-7397-4342-88A7-519838CD0A3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1870" y="2870815"/>
          <a:ext cx="405237" cy="419045"/>
        </a:xfrm>
        <a:prstGeom prst="rect">
          <a:avLst/>
        </a:prstGeom>
      </xdr:spPr>
    </xdr:pic>
    <xdr:clientData/>
  </xdr:twoCellAnchor>
  <xdr:twoCellAnchor editAs="oneCell">
    <xdr:from>
      <xdr:col>0</xdr:col>
      <xdr:colOff>110098</xdr:colOff>
      <xdr:row>13</xdr:row>
      <xdr:rowOff>148758</xdr:rowOff>
    </xdr:from>
    <xdr:to>
      <xdr:col>0</xdr:col>
      <xdr:colOff>515502</xdr:colOff>
      <xdr:row>16</xdr:row>
      <xdr:rowOff>111767</xdr:rowOff>
    </xdr:to>
    <xdr:pic>
      <xdr:nvPicPr>
        <xdr:cNvPr id="44" name="Kuva 43">
          <a:hlinkClick xmlns:r="http://schemas.openxmlformats.org/officeDocument/2006/relationships" r:id="rId12"/>
          <a:extLst>
            <a:ext uri="{FF2B5EF4-FFF2-40B4-BE49-F238E27FC236}">
              <a16:creationId xmlns:a16="http://schemas.microsoft.com/office/drawing/2014/main" id="{D279CEF4-9AB6-4F16-9DEF-941EC7C2F61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0098" y="2444283"/>
          <a:ext cx="409214" cy="420209"/>
        </a:xfrm>
        <a:prstGeom prst="rect">
          <a:avLst/>
        </a:prstGeom>
      </xdr:spPr>
    </xdr:pic>
    <xdr:clientData/>
  </xdr:twoCellAnchor>
  <xdr:twoCellAnchor editAs="oneCell">
    <xdr:from>
      <xdr:col>0</xdr:col>
      <xdr:colOff>106232</xdr:colOff>
      <xdr:row>11</xdr:row>
      <xdr:rowOff>34778</xdr:rowOff>
    </xdr:from>
    <xdr:to>
      <xdr:col>0</xdr:col>
      <xdr:colOff>513191</xdr:colOff>
      <xdr:row>13</xdr:row>
      <xdr:rowOff>136652</xdr:rowOff>
    </xdr:to>
    <xdr:pic>
      <xdr:nvPicPr>
        <xdr:cNvPr id="45" name="Kuva 44">
          <a:hlinkClick xmlns:r="http://schemas.openxmlformats.org/officeDocument/2006/relationships" r:id="rId14"/>
          <a:extLst>
            <a:ext uri="{FF2B5EF4-FFF2-40B4-BE49-F238E27FC236}">
              <a16:creationId xmlns:a16="http://schemas.microsoft.com/office/drawing/2014/main" id="{EAFB1698-E273-4499-B728-4AD662ED8ED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6232" y="2025503"/>
          <a:ext cx="416484" cy="410484"/>
        </a:xfrm>
        <a:prstGeom prst="rect">
          <a:avLst/>
        </a:prstGeom>
      </xdr:spPr>
    </xdr:pic>
    <xdr:clientData/>
  </xdr:twoCellAnchor>
  <xdr:twoCellAnchor editAs="oneCell">
    <xdr:from>
      <xdr:col>0</xdr:col>
      <xdr:colOff>107810</xdr:colOff>
      <xdr:row>8</xdr:row>
      <xdr:rowOff>104142</xdr:rowOff>
    </xdr:from>
    <xdr:to>
      <xdr:col>0</xdr:col>
      <xdr:colOff>512474</xdr:colOff>
      <xdr:row>11</xdr:row>
      <xdr:rowOff>18616</xdr:rowOff>
    </xdr:to>
    <xdr:pic>
      <xdr:nvPicPr>
        <xdr:cNvPr id="46" name="Kuva 45">
          <a:hlinkClick xmlns:r="http://schemas.openxmlformats.org/officeDocument/2006/relationships" r:id="rId7"/>
          <a:extLst>
            <a:ext uri="{FF2B5EF4-FFF2-40B4-BE49-F238E27FC236}">
              <a16:creationId xmlns:a16="http://schemas.microsoft.com/office/drawing/2014/main" id="{63ED0041-DEAA-44F0-9F7A-88AD41AB6D3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7810" y="1599567"/>
          <a:ext cx="408474" cy="409774"/>
        </a:xfrm>
        <a:prstGeom prst="rect">
          <a:avLst/>
        </a:prstGeom>
      </xdr:spPr>
    </xdr:pic>
    <xdr:clientData/>
  </xdr:twoCellAnchor>
  <xdr:twoCellAnchor editAs="oneCell">
    <xdr:from>
      <xdr:col>0</xdr:col>
      <xdr:colOff>109069</xdr:colOff>
      <xdr:row>6</xdr:row>
      <xdr:rowOff>21606</xdr:rowOff>
    </xdr:from>
    <xdr:to>
      <xdr:col>0</xdr:col>
      <xdr:colOff>514459</xdr:colOff>
      <xdr:row>8</xdr:row>
      <xdr:rowOff>92378</xdr:rowOff>
    </xdr:to>
    <xdr:pic>
      <xdr:nvPicPr>
        <xdr:cNvPr id="47" name="Kuva 46">
          <a:extLst>
            <a:ext uri="{FF2B5EF4-FFF2-40B4-BE49-F238E27FC236}">
              <a16:creationId xmlns:a16="http://schemas.microsoft.com/office/drawing/2014/main" id="{33DECCD5-DB4C-4D05-B0B8-D9C840C9332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9069" y="1193181"/>
          <a:ext cx="409200" cy="398432"/>
        </a:xfrm>
        <a:prstGeom prst="rect">
          <a:avLst/>
        </a:prstGeom>
      </xdr:spPr>
    </xdr:pic>
    <xdr:clientData/>
  </xdr:twoCellAnchor>
  <xdr:twoCellAnchor editAs="oneCell">
    <xdr:from>
      <xdr:col>0</xdr:col>
      <xdr:colOff>112778</xdr:colOff>
      <xdr:row>3</xdr:row>
      <xdr:rowOff>229822</xdr:rowOff>
    </xdr:from>
    <xdr:to>
      <xdr:col>0</xdr:col>
      <xdr:colOff>512405</xdr:colOff>
      <xdr:row>6</xdr:row>
      <xdr:rowOff>16403</xdr:rowOff>
    </xdr:to>
    <xdr:pic>
      <xdr:nvPicPr>
        <xdr:cNvPr id="48" name="Kuva 47">
          <a:hlinkClick xmlns:r="http://schemas.openxmlformats.org/officeDocument/2006/relationships" r:id="rId18"/>
          <a:extLst>
            <a:ext uri="{FF2B5EF4-FFF2-40B4-BE49-F238E27FC236}">
              <a16:creationId xmlns:a16="http://schemas.microsoft.com/office/drawing/2014/main" id="{04CBB148-FF97-40DC-8164-6A4943593EC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2778" y="791797"/>
          <a:ext cx="403437" cy="399991"/>
        </a:xfrm>
        <a:prstGeom prst="rect">
          <a:avLst/>
        </a:prstGeom>
      </xdr:spPr>
    </xdr:pic>
    <xdr:clientData/>
  </xdr:twoCellAnchor>
  <xdr:twoCellAnchor editAs="oneCell">
    <xdr:from>
      <xdr:col>0</xdr:col>
      <xdr:colOff>129821</xdr:colOff>
      <xdr:row>29</xdr:row>
      <xdr:rowOff>82826</xdr:rowOff>
    </xdr:from>
    <xdr:to>
      <xdr:col>0</xdr:col>
      <xdr:colOff>510654</xdr:colOff>
      <xdr:row>32</xdr:row>
      <xdr:rowOff>98978</xdr:rowOff>
    </xdr:to>
    <xdr:pic>
      <xdr:nvPicPr>
        <xdr:cNvPr id="49" name="Kuva 48" descr="Tulostin">
          <a:hlinkClick xmlns:r="http://schemas.openxmlformats.org/officeDocument/2006/relationships" r:id="rId20"/>
          <a:extLst>
            <a:ext uri="{FF2B5EF4-FFF2-40B4-BE49-F238E27FC236}">
              <a16:creationId xmlns:a16="http://schemas.microsoft.com/office/drawing/2014/main" id="{A8158D1F-6740-4D58-91CF-5F6EFD9F8F4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129821" y="4959626"/>
          <a:ext cx="369403" cy="3800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210911</xdr:colOff>
      <xdr:row>45</xdr:row>
      <xdr:rowOff>117293</xdr:rowOff>
    </xdr:from>
    <xdr:to>
      <xdr:col>0</xdr:col>
      <xdr:colOff>623799</xdr:colOff>
      <xdr:row>48</xdr:row>
      <xdr:rowOff>75045</xdr:rowOff>
    </xdr:to>
    <xdr:sp macro="" textlink="">
      <xdr:nvSpPr>
        <xdr:cNvPr id="13" name="Vuokaaviosymboli: Valinta 12">
          <a:hlinkClick xmlns:r="http://schemas.openxmlformats.org/officeDocument/2006/relationships" r:id="rId1"/>
          <a:extLst>
            <a:ext uri="{FF2B5EF4-FFF2-40B4-BE49-F238E27FC236}">
              <a16:creationId xmlns:a16="http://schemas.microsoft.com/office/drawing/2014/main" id="{00000000-0008-0000-0300-00000D000000}"/>
            </a:ext>
          </a:extLst>
        </xdr:cNvPr>
        <xdr:cNvSpPr/>
      </xdr:nvSpPr>
      <xdr:spPr>
        <a:xfrm>
          <a:off x="210911" y="7388678"/>
          <a:ext cx="424544" cy="372836"/>
        </a:xfrm>
        <a:prstGeom prst="flowChartDecision">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sv-FI" sz="1800" b="1">
            <a:solidFill>
              <a:sysClr val="windowText" lastClr="000000"/>
            </a:solidFill>
            <a:latin typeface="Arial" pitchFamily="34" charset="0"/>
            <a:cs typeface="Arial" pitchFamily="34" charset="0"/>
          </a:endParaRPr>
        </a:p>
      </xdr:txBody>
    </xdr:sp>
    <xdr:clientData/>
  </xdr:twoCellAnchor>
  <xdr:twoCellAnchor editAs="oneCell">
    <xdr:from>
      <xdr:col>9</xdr:col>
      <xdr:colOff>409575</xdr:colOff>
      <xdr:row>1</xdr:row>
      <xdr:rowOff>76200</xdr:rowOff>
    </xdr:from>
    <xdr:to>
      <xdr:col>10</xdr:col>
      <xdr:colOff>742950</xdr:colOff>
      <xdr:row>3</xdr:row>
      <xdr:rowOff>95250</xdr:rowOff>
    </xdr:to>
    <xdr:pic>
      <xdr:nvPicPr>
        <xdr:cNvPr id="37" name="Kuva 36" descr="Företagstolken logo Liten .jpg">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7025" y="2381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230503</xdr:colOff>
      <xdr:row>0</xdr:row>
      <xdr:rowOff>56195</xdr:rowOff>
    </xdr:from>
    <xdr:ext cx="4284347" cy="1372555"/>
    <xdr:sp macro="" textlink="">
      <xdr:nvSpPr>
        <xdr:cNvPr id="38" name="AutoShape 189">
          <a:extLst>
            <a:ext uri="{FF2B5EF4-FFF2-40B4-BE49-F238E27FC236}">
              <a16:creationId xmlns:a16="http://schemas.microsoft.com/office/drawing/2014/main" id="{6726669E-4261-4F61-BACF-029B9C0E9F38}"/>
            </a:ext>
          </a:extLst>
        </xdr:cNvPr>
        <xdr:cNvSpPr>
          <a:spLocks noChangeArrowheads="1"/>
        </xdr:cNvSpPr>
      </xdr:nvSpPr>
      <xdr:spPr bwMode="auto">
        <a:xfrm>
          <a:off x="2564128" y="56195"/>
          <a:ext cx="4284347" cy="1372555"/>
        </a:xfrm>
        <a:prstGeom prst="foldedCorner">
          <a:avLst>
            <a:gd name="adj" fmla="val 12500"/>
          </a:avLst>
        </a:prstGeom>
        <a:solidFill>
          <a:srgbClr val="FFC000"/>
        </a:solidFill>
        <a:ln w="15875">
          <a:solidFill>
            <a:srgbClr val="FFC000"/>
          </a:solidFill>
          <a:round/>
          <a:headEnd/>
          <a:tailEnd/>
        </a:ln>
      </xdr:spPr>
      <xdr:txBody>
        <a:bodyPr vertOverflow="clip" wrap="square" lIns="72000" tIns="72000" rIns="36000" bIns="72000" anchor="b" upright="1">
          <a:noAutofit/>
        </a:bodyPr>
        <a:lstStyle/>
        <a:p>
          <a:pPr rtl="0">
            <a:lnSpc>
              <a:spcPts val="1400"/>
            </a:lnSpc>
          </a:pPr>
          <a:r>
            <a:rPr lang="fi-FI" sz="1000" b="1" i="0" baseline="0">
              <a:effectLst/>
              <a:latin typeface="Arial" panose="020B0604020202020204" pitchFamily="34" charset="0"/>
              <a:ea typeface="Tahoma" panose="020B0604030504040204" pitchFamily="34" charset="0"/>
              <a:cs typeface="Arial" panose="020B0604020202020204" pitchFamily="34" charset="0"/>
            </a:rPr>
            <a:t>IFYLLNADSDIREKTIV </a:t>
          </a:r>
          <a:r>
            <a:rPr lang="fi-FI" sz="1000" b="0" i="0" baseline="0">
              <a:effectLst/>
              <a:latin typeface="Arial" panose="020B0604020202020204" pitchFamily="34" charset="0"/>
              <a:ea typeface="Tahoma" panose="020B0604030504040204" pitchFamily="34" charset="0"/>
              <a:cs typeface="Arial" panose="020B0604020202020204" pitchFamily="34" charset="0"/>
            </a:rPr>
            <a:t>(KAN DRAGS BORT MED DATORMUS)</a:t>
          </a:r>
          <a:endParaRPr lang="fi-FI" sz="1000" b="0" i="0">
            <a:effectLst/>
            <a:latin typeface="Arial" panose="020B0604020202020204" pitchFamily="34" charset="0"/>
            <a:ea typeface="Tahoma" panose="020B0604030504040204" pitchFamily="34" charset="0"/>
            <a:cs typeface="Arial" panose="020B0604020202020204" pitchFamily="34" charset="0"/>
          </a:endParaRPr>
        </a:p>
        <a:p>
          <a:pPr rtl="0">
            <a:lnSpc>
              <a:spcPts val="14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1</a:t>
          </a:r>
          <a:r>
            <a:rPr lang="fi-FI" sz="900" b="0" i="0" baseline="0">
              <a:effectLst/>
              <a:latin typeface="Arial" panose="020B0604020202020204" pitchFamily="34" charset="0"/>
              <a:ea typeface="Tahoma" panose="020B0604030504040204" pitchFamily="34" charset="0"/>
              <a:cs typeface="Arial" panose="020B0604020202020204" pitchFamily="34" charset="0"/>
            </a:rPr>
            <a:t>.</a:t>
          </a:r>
          <a:r>
            <a:rPr lang="fi-FI" sz="900" b="1" i="0" baseline="0">
              <a:effectLst/>
              <a:latin typeface="Arial" panose="020B0604020202020204" pitchFamily="34" charset="0"/>
              <a:ea typeface="Tahoma" panose="020B0604030504040204" pitchFamily="34" charset="0"/>
              <a:cs typeface="Arial" panose="020B0604020202020204" pitchFamily="34" charset="0"/>
            </a:rPr>
            <a:t> </a:t>
          </a:r>
          <a:r>
            <a:rPr lang="fi-FI" sz="1000" b="1" i="0" baseline="0">
              <a:solidFill>
                <a:srgbClr val="FF0000"/>
              </a:solidFill>
              <a:effectLst/>
              <a:latin typeface="Arial" panose="020B0604020202020204" pitchFamily="34" charset="0"/>
              <a:ea typeface="Tahoma" panose="020B0604030504040204" pitchFamily="34" charset="0"/>
              <a:cs typeface="Arial" panose="020B0604020202020204" pitchFamily="34" charset="0"/>
            </a:rPr>
            <a:t>SKRIV PENNINGSUMMORNA I HELT TAL.</a:t>
          </a:r>
        </a:p>
        <a:p>
          <a:pPr rtl="0">
            <a:lnSpc>
              <a:spcPts val="14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2. Första gången (skede 3) fyll i endast realiserade räkenskapsperioder.</a:t>
          </a:r>
        </a:p>
        <a:p>
          <a:pPr rtl="0">
            <a:lnSpc>
              <a:spcPts val="14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3. Kontrollera speciellt procentar i cellen H86, H89 och H95!</a:t>
          </a:r>
          <a:endParaRPr lang="fi-FI" sz="1000" b="0" i="0">
            <a:effectLst/>
            <a:latin typeface="Arial" panose="020B0604020202020204" pitchFamily="34" charset="0"/>
            <a:ea typeface="Tahoma" panose="020B0604030504040204" pitchFamily="34" charset="0"/>
            <a:cs typeface="Arial" panose="020B0604020202020204" pitchFamily="34" charset="0"/>
          </a:endParaRPr>
        </a:p>
        <a:p>
          <a:pPr rtl="0">
            <a:lnSpc>
              <a:spcPts val="14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4. Tillägg kortfristiga lån av penningväsenden i cellen H78 - K78.</a:t>
          </a:r>
        </a:p>
        <a:p>
          <a:pPr rtl="0">
            <a:lnSpc>
              <a:spcPts val="14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5. Andra gången (skede 8) du kan förändra även gula celler.</a:t>
          </a:r>
          <a:endParaRPr lang="fi-FI" sz="1000" b="0" i="0" strike="noStrike">
            <a:solidFill>
              <a:schemeClr val="tx1"/>
            </a:solidFill>
            <a:latin typeface="Arial" panose="020B0604020202020204" pitchFamily="34" charset="0"/>
            <a:ea typeface="Tahoma" panose="020B0604030504040204" pitchFamily="34" charset="0"/>
            <a:cs typeface="Arial" panose="020B0604020202020204" pitchFamily="34" charset="0"/>
          </a:endParaRPr>
        </a:p>
      </xdr:txBody>
    </xdr:sp>
    <xdr:clientData fLocksWithSheet="0" fPrintsWithSheet="0"/>
  </xdr:oneCellAnchor>
  <xdr:twoCellAnchor>
    <xdr:from>
      <xdr:col>0</xdr:col>
      <xdr:colOff>795337</xdr:colOff>
      <xdr:row>98</xdr:row>
      <xdr:rowOff>152401</xdr:rowOff>
    </xdr:from>
    <xdr:to>
      <xdr:col>6</xdr:col>
      <xdr:colOff>723900</xdr:colOff>
      <xdr:row>101</xdr:row>
      <xdr:rowOff>38101</xdr:rowOff>
    </xdr:to>
    <xdr:sp macro="" textlink="">
      <xdr:nvSpPr>
        <xdr:cNvPr id="39" name="Pyöristetty suorakulmio 3">
          <a:extLst>
            <a:ext uri="{FF2B5EF4-FFF2-40B4-BE49-F238E27FC236}">
              <a16:creationId xmlns:a16="http://schemas.microsoft.com/office/drawing/2014/main" id="{DA99ABE5-64DE-4794-8867-AC11509DDD2B}"/>
            </a:ext>
          </a:extLst>
        </xdr:cNvPr>
        <xdr:cNvSpPr/>
      </xdr:nvSpPr>
      <xdr:spPr>
        <a:xfrm>
          <a:off x="795337" y="16393887"/>
          <a:ext cx="4152220" cy="359228"/>
        </a:xfrm>
        <a:prstGeom prst="roundRect">
          <a:avLst/>
        </a:prstGeom>
        <a:solidFill>
          <a:srgbClr val="FFC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72000" rtlCol="0" anchor="ctr"/>
        <a:lstStyle/>
        <a:p>
          <a:pPr algn="l"/>
          <a:r>
            <a:rPr lang="fi-FI" sz="1100" b="1" i="0">
              <a:solidFill>
                <a:schemeClr val="dk1"/>
              </a:solidFill>
              <a:effectLst/>
              <a:latin typeface="+mn-lt"/>
              <a:ea typeface="+mn-ea"/>
              <a:cs typeface="+mn-cs"/>
            </a:rPr>
            <a:t>OM SEMESTERLÖNERESERVERING INTE GÖRS</a:t>
          </a:r>
          <a:r>
            <a:rPr lang="fi-FI" sz="1100" b="1" i="0" baseline="0">
              <a:solidFill>
                <a:schemeClr val="dk1"/>
              </a:solidFill>
              <a:effectLst/>
              <a:latin typeface="+mn-lt"/>
              <a:ea typeface="+mn-ea"/>
              <a:cs typeface="+mn-cs"/>
            </a:rPr>
            <a:t>, SKRIV RADEN 93 = 0</a:t>
          </a:r>
          <a:endParaRPr lang="fi-FI" sz="1800" b="1">
            <a:solidFill>
              <a:sysClr val="windowText" lastClr="000000"/>
            </a:solidFill>
            <a:latin typeface="Arial" pitchFamily="34" charset="0"/>
            <a:cs typeface="Arial" pitchFamily="34" charset="0"/>
          </a:endParaRPr>
        </a:p>
      </xdr:txBody>
    </xdr:sp>
    <xdr:clientData fPrintsWithSheet="0"/>
  </xdr:twoCellAnchor>
  <xdr:oneCellAnchor>
    <xdr:from>
      <xdr:col>0</xdr:col>
      <xdr:colOff>232648</xdr:colOff>
      <xdr:row>18</xdr:row>
      <xdr:rowOff>33727</xdr:rowOff>
    </xdr:from>
    <xdr:ext cx="406703" cy="396000"/>
    <xdr:pic>
      <xdr:nvPicPr>
        <xdr:cNvPr id="68" name="Kuva 67">
          <a:hlinkClick xmlns:r="http://schemas.openxmlformats.org/officeDocument/2006/relationships" r:id="rId3"/>
          <a:extLst>
            <a:ext uri="{FF2B5EF4-FFF2-40B4-BE49-F238E27FC236}">
              <a16:creationId xmlns:a16="http://schemas.microsoft.com/office/drawing/2014/main" id="{43D216AB-65E9-4DEF-A5B6-DA4F32DE6E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2648" y="3188407"/>
          <a:ext cx="406703" cy="396000"/>
        </a:xfrm>
        <a:prstGeom prst="rect">
          <a:avLst/>
        </a:prstGeom>
      </xdr:spPr>
    </xdr:pic>
    <xdr:clientData/>
  </xdr:oneCellAnchor>
  <xdr:oneCellAnchor>
    <xdr:from>
      <xdr:col>0</xdr:col>
      <xdr:colOff>215460</xdr:colOff>
      <xdr:row>25</xdr:row>
      <xdr:rowOff>62611</xdr:rowOff>
    </xdr:from>
    <xdr:ext cx="406703" cy="396000"/>
    <xdr:pic>
      <xdr:nvPicPr>
        <xdr:cNvPr id="69" name="Kuva 68">
          <a:hlinkClick xmlns:r="http://schemas.openxmlformats.org/officeDocument/2006/relationships" r:id="rId5"/>
          <a:extLst>
            <a:ext uri="{FF2B5EF4-FFF2-40B4-BE49-F238E27FC236}">
              <a16:creationId xmlns:a16="http://schemas.microsoft.com/office/drawing/2014/main" id="{27F51585-FE20-4063-B323-7AAF004912A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5460" y="4634611"/>
          <a:ext cx="406703" cy="396000"/>
        </a:xfrm>
        <a:prstGeom prst="rect">
          <a:avLst/>
        </a:prstGeom>
      </xdr:spPr>
    </xdr:pic>
    <xdr:clientData/>
  </xdr:oneCellAnchor>
  <xdr:oneCellAnchor>
    <xdr:from>
      <xdr:col>0</xdr:col>
      <xdr:colOff>211455</xdr:colOff>
      <xdr:row>23</xdr:row>
      <xdr:rowOff>14622</xdr:rowOff>
    </xdr:from>
    <xdr:ext cx="406703" cy="396000"/>
    <xdr:pic>
      <xdr:nvPicPr>
        <xdr:cNvPr id="70" name="Kuva 69">
          <a:hlinkClick xmlns:r="http://schemas.openxmlformats.org/officeDocument/2006/relationships" r:id="rId7"/>
          <a:extLst>
            <a:ext uri="{FF2B5EF4-FFF2-40B4-BE49-F238E27FC236}">
              <a16:creationId xmlns:a16="http://schemas.microsoft.com/office/drawing/2014/main" id="{88F06728-3A61-430C-95BC-B08185B6351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1455" y="4129422"/>
          <a:ext cx="406703" cy="396000"/>
        </a:xfrm>
        <a:prstGeom prst="rect">
          <a:avLst/>
        </a:prstGeom>
      </xdr:spPr>
    </xdr:pic>
    <xdr:clientData/>
  </xdr:oneCellAnchor>
  <xdr:oneCellAnchor>
    <xdr:from>
      <xdr:col>0</xdr:col>
      <xdr:colOff>209073</xdr:colOff>
      <xdr:row>27</xdr:row>
      <xdr:rowOff>165463</xdr:rowOff>
    </xdr:from>
    <xdr:ext cx="406703" cy="393619"/>
    <xdr:pic>
      <xdr:nvPicPr>
        <xdr:cNvPr id="71" name="Kuva 70">
          <a:hlinkClick xmlns:r="http://schemas.openxmlformats.org/officeDocument/2006/relationships" r:id="rId9"/>
          <a:extLst>
            <a:ext uri="{FF2B5EF4-FFF2-40B4-BE49-F238E27FC236}">
              <a16:creationId xmlns:a16="http://schemas.microsoft.com/office/drawing/2014/main" id="{436A6FE5-E338-4D40-B235-F573C73C1A0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9073" y="5072743"/>
          <a:ext cx="406703" cy="393619"/>
        </a:xfrm>
        <a:prstGeom prst="rect">
          <a:avLst/>
        </a:prstGeom>
      </xdr:spPr>
    </xdr:pic>
    <xdr:clientData/>
  </xdr:oneCellAnchor>
  <xdr:oneCellAnchor>
    <xdr:from>
      <xdr:col>0</xdr:col>
      <xdr:colOff>235959</xdr:colOff>
      <xdr:row>15</xdr:row>
      <xdr:rowOff>174274</xdr:rowOff>
    </xdr:from>
    <xdr:ext cx="406703" cy="393701"/>
    <xdr:pic>
      <xdr:nvPicPr>
        <xdr:cNvPr id="72" name="Kuva 71">
          <a:hlinkClick xmlns:r="http://schemas.openxmlformats.org/officeDocument/2006/relationships" r:id="rId11"/>
          <a:extLst>
            <a:ext uri="{FF2B5EF4-FFF2-40B4-BE49-F238E27FC236}">
              <a16:creationId xmlns:a16="http://schemas.microsoft.com/office/drawing/2014/main" id="{E3EB3B4B-77B8-4177-8A07-692162A81CF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35959" y="2704114"/>
          <a:ext cx="406703" cy="393701"/>
        </a:xfrm>
        <a:prstGeom prst="rect">
          <a:avLst/>
        </a:prstGeom>
      </xdr:spPr>
    </xdr:pic>
    <xdr:clientData/>
  </xdr:oneCellAnchor>
  <xdr:oneCellAnchor>
    <xdr:from>
      <xdr:col>0</xdr:col>
      <xdr:colOff>225062</xdr:colOff>
      <xdr:row>20</xdr:row>
      <xdr:rowOff>173486</xdr:rowOff>
    </xdr:from>
    <xdr:ext cx="408016" cy="393700"/>
    <xdr:pic>
      <xdr:nvPicPr>
        <xdr:cNvPr id="73" name="Kuva 72">
          <a:extLst>
            <a:ext uri="{FF2B5EF4-FFF2-40B4-BE49-F238E27FC236}">
              <a16:creationId xmlns:a16="http://schemas.microsoft.com/office/drawing/2014/main" id="{522909DD-072D-478F-81AA-6DB338E6AF8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25062" y="3663446"/>
          <a:ext cx="408016" cy="393700"/>
        </a:xfrm>
        <a:prstGeom prst="rect">
          <a:avLst/>
        </a:prstGeom>
      </xdr:spPr>
    </xdr:pic>
    <xdr:clientData/>
  </xdr:oneCellAnchor>
  <xdr:twoCellAnchor>
    <xdr:from>
      <xdr:col>0</xdr:col>
      <xdr:colOff>186230</xdr:colOff>
      <xdr:row>34</xdr:row>
      <xdr:rowOff>131050</xdr:rowOff>
    </xdr:from>
    <xdr:to>
      <xdr:col>0</xdr:col>
      <xdr:colOff>582230</xdr:colOff>
      <xdr:row>37</xdr:row>
      <xdr:rowOff>117475</xdr:rowOff>
    </xdr:to>
    <xdr:pic>
      <xdr:nvPicPr>
        <xdr:cNvPr id="74" name="Kuva 73">
          <a:hlinkClick xmlns:r="http://schemas.openxmlformats.org/officeDocument/2006/relationships" r:id="rId14"/>
          <a:extLst>
            <a:ext uri="{FF2B5EF4-FFF2-40B4-BE49-F238E27FC236}">
              <a16:creationId xmlns:a16="http://schemas.microsoft.com/office/drawing/2014/main" id="{F8EE5A96-DFC8-4BD0-944B-5663740B4779}"/>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86230" y="5693650"/>
          <a:ext cx="396000" cy="396000"/>
        </a:xfrm>
        <a:prstGeom prst="rect">
          <a:avLst/>
        </a:prstGeom>
      </xdr:spPr>
    </xdr:pic>
    <xdr:clientData/>
  </xdr:twoCellAnchor>
  <xdr:oneCellAnchor>
    <xdr:from>
      <xdr:col>0</xdr:col>
      <xdr:colOff>176705</xdr:colOff>
      <xdr:row>37</xdr:row>
      <xdr:rowOff>147145</xdr:rowOff>
    </xdr:from>
    <xdr:ext cx="413522" cy="398991"/>
    <xdr:pic>
      <xdr:nvPicPr>
        <xdr:cNvPr id="75" name="Kuva 74">
          <a:hlinkClick xmlns:r="http://schemas.openxmlformats.org/officeDocument/2006/relationships" r:id="rId16"/>
          <a:extLst>
            <a:ext uri="{FF2B5EF4-FFF2-40B4-BE49-F238E27FC236}">
              <a16:creationId xmlns:a16="http://schemas.microsoft.com/office/drawing/2014/main" id="{00C8F49C-517C-47DC-8900-59818A60442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6705" y="6119320"/>
          <a:ext cx="413522" cy="398991"/>
        </a:xfrm>
        <a:prstGeom prst="rect">
          <a:avLst/>
        </a:prstGeom>
      </xdr:spPr>
    </xdr:pic>
    <xdr:clientData/>
  </xdr:oneCellAnchor>
  <xdr:oneCellAnchor>
    <xdr:from>
      <xdr:col>0</xdr:col>
      <xdr:colOff>164224</xdr:colOff>
      <xdr:row>40</xdr:row>
      <xdr:rowOff>82769</xdr:rowOff>
    </xdr:from>
    <xdr:ext cx="415158" cy="417431"/>
    <xdr:pic>
      <xdr:nvPicPr>
        <xdr:cNvPr id="76" name="Kuva 75" descr="Tulostin">
          <a:hlinkClick xmlns:r="http://schemas.openxmlformats.org/officeDocument/2006/relationships" r:id="rId18"/>
          <a:extLst>
            <a:ext uri="{FF2B5EF4-FFF2-40B4-BE49-F238E27FC236}">
              <a16:creationId xmlns:a16="http://schemas.microsoft.com/office/drawing/2014/main" id="{3F11F338-8AF4-49DD-931F-0171764F847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64224" y="6054944"/>
          <a:ext cx="415158" cy="417431"/>
        </a:xfrm>
        <a:prstGeom prst="rect">
          <a:avLst/>
        </a:prstGeom>
      </xdr:spPr>
    </xdr:pic>
    <xdr:clientData/>
  </xdr:oneCellAnchor>
  <xdr:twoCellAnchor>
    <xdr:from>
      <xdr:col>0</xdr:col>
      <xdr:colOff>190500</xdr:colOff>
      <xdr:row>32</xdr:row>
      <xdr:rowOff>9525</xdr:rowOff>
    </xdr:from>
    <xdr:to>
      <xdr:col>0</xdr:col>
      <xdr:colOff>595737</xdr:colOff>
      <xdr:row>34</xdr:row>
      <xdr:rowOff>84667</xdr:rowOff>
    </xdr:to>
    <xdr:pic>
      <xdr:nvPicPr>
        <xdr:cNvPr id="77" name="Kuva 76">
          <a:extLst>
            <a:ext uri="{FF2B5EF4-FFF2-40B4-BE49-F238E27FC236}">
              <a16:creationId xmlns:a16="http://schemas.microsoft.com/office/drawing/2014/main" id="{860DD931-516C-4F7A-8C87-2243A750F93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90500" y="4762500"/>
          <a:ext cx="405237" cy="398992"/>
        </a:xfrm>
        <a:prstGeom prst="rect">
          <a:avLst/>
        </a:prstGeom>
      </xdr:spPr>
    </xdr:pic>
    <xdr:clientData/>
  </xdr:twoCellAnchor>
  <xdr:twoCellAnchor>
    <xdr:from>
      <xdr:col>0</xdr:col>
      <xdr:colOff>200025</xdr:colOff>
      <xdr:row>29</xdr:row>
      <xdr:rowOff>160020</xdr:rowOff>
    </xdr:from>
    <xdr:to>
      <xdr:col>0</xdr:col>
      <xdr:colOff>611886</xdr:colOff>
      <xdr:row>31</xdr:row>
      <xdr:rowOff>236011</xdr:rowOff>
    </xdr:to>
    <xdr:pic>
      <xdr:nvPicPr>
        <xdr:cNvPr id="78" name="Kuva 77">
          <a:hlinkClick xmlns:r="http://schemas.openxmlformats.org/officeDocument/2006/relationships" r:id="rId3"/>
          <a:extLst>
            <a:ext uri="{FF2B5EF4-FFF2-40B4-BE49-F238E27FC236}">
              <a16:creationId xmlns:a16="http://schemas.microsoft.com/office/drawing/2014/main" id="{FEFB1387-2014-49F6-8ECE-A979D50BFEC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00025" y="5524500"/>
          <a:ext cx="411861" cy="411271"/>
        </a:xfrm>
        <a:prstGeom prst="rect">
          <a:avLst/>
        </a:prstGeom>
      </xdr:spPr>
    </xdr:pic>
    <xdr:clientData/>
  </xdr:twoCellAnchor>
  <xdr:oneCellAnchor>
    <xdr:from>
      <xdr:col>0</xdr:col>
      <xdr:colOff>225028</xdr:colOff>
      <xdr:row>59</xdr:row>
      <xdr:rowOff>18487</xdr:rowOff>
    </xdr:from>
    <xdr:ext cx="406703" cy="396000"/>
    <xdr:pic>
      <xdr:nvPicPr>
        <xdr:cNvPr id="90" name="Kuva 89">
          <a:hlinkClick xmlns:r="http://schemas.openxmlformats.org/officeDocument/2006/relationships" r:id="rId3"/>
          <a:extLst>
            <a:ext uri="{FF2B5EF4-FFF2-40B4-BE49-F238E27FC236}">
              <a16:creationId xmlns:a16="http://schemas.microsoft.com/office/drawing/2014/main" id="{284AF513-58A1-4D2E-842F-603529072B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028" y="2666437"/>
          <a:ext cx="406703" cy="396000"/>
        </a:xfrm>
        <a:prstGeom prst="rect">
          <a:avLst/>
        </a:prstGeom>
      </xdr:spPr>
    </xdr:pic>
    <xdr:clientData/>
  </xdr:oneCellAnchor>
  <xdr:oneCellAnchor>
    <xdr:from>
      <xdr:col>0</xdr:col>
      <xdr:colOff>223080</xdr:colOff>
      <xdr:row>67</xdr:row>
      <xdr:rowOff>9271</xdr:rowOff>
    </xdr:from>
    <xdr:ext cx="406703" cy="396000"/>
    <xdr:pic>
      <xdr:nvPicPr>
        <xdr:cNvPr id="91" name="Kuva 90">
          <a:hlinkClick xmlns:r="http://schemas.openxmlformats.org/officeDocument/2006/relationships" r:id="rId5"/>
          <a:extLst>
            <a:ext uri="{FF2B5EF4-FFF2-40B4-BE49-F238E27FC236}">
              <a16:creationId xmlns:a16="http://schemas.microsoft.com/office/drawing/2014/main" id="{12B717B7-9413-425C-99DC-1035B6DF85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3080" y="3952621"/>
          <a:ext cx="406703" cy="396000"/>
        </a:xfrm>
        <a:prstGeom prst="rect">
          <a:avLst/>
        </a:prstGeom>
      </xdr:spPr>
    </xdr:pic>
    <xdr:clientData/>
  </xdr:oneCellAnchor>
  <xdr:oneCellAnchor>
    <xdr:from>
      <xdr:col>0</xdr:col>
      <xdr:colOff>219075</xdr:colOff>
      <xdr:row>64</xdr:row>
      <xdr:rowOff>67962</xdr:rowOff>
    </xdr:from>
    <xdr:ext cx="406703" cy="396000"/>
    <xdr:pic>
      <xdr:nvPicPr>
        <xdr:cNvPr id="92" name="Kuva 91">
          <a:hlinkClick xmlns:r="http://schemas.openxmlformats.org/officeDocument/2006/relationships" r:id="rId7"/>
          <a:extLst>
            <a:ext uri="{FF2B5EF4-FFF2-40B4-BE49-F238E27FC236}">
              <a16:creationId xmlns:a16="http://schemas.microsoft.com/office/drawing/2014/main" id="{13F5306B-D731-4D78-AC5A-E15528FBE5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9075" y="3525537"/>
          <a:ext cx="406703" cy="396000"/>
        </a:xfrm>
        <a:prstGeom prst="rect">
          <a:avLst/>
        </a:prstGeom>
      </xdr:spPr>
    </xdr:pic>
    <xdr:clientData/>
  </xdr:oneCellAnchor>
  <xdr:oneCellAnchor>
    <xdr:from>
      <xdr:col>0</xdr:col>
      <xdr:colOff>216693</xdr:colOff>
      <xdr:row>69</xdr:row>
      <xdr:rowOff>119743</xdr:rowOff>
    </xdr:from>
    <xdr:ext cx="406703" cy="393619"/>
    <xdr:pic>
      <xdr:nvPicPr>
        <xdr:cNvPr id="93" name="Kuva 92">
          <a:hlinkClick xmlns:r="http://schemas.openxmlformats.org/officeDocument/2006/relationships" r:id="rId9"/>
          <a:extLst>
            <a:ext uri="{FF2B5EF4-FFF2-40B4-BE49-F238E27FC236}">
              <a16:creationId xmlns:a16="http://schemas.microsoft.com/office/drawing/2014/main" id="{04D8575E-867D-4840-8964-2613B507255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6693" y="4386943"/>
          <a:ext cx="406703" cy="393619"/>
        </a:xfrm>
        <a:prstGeom prst="rect">
          <a:avLst/>
        </a:prstGeom>
      </xdr:spPr>
    </xdr:pic>
    <xdr:clientData/>
  </xdr:oneCellAnchor>
  <xdr:oneCellAnchor>
    <xdr:from>
      <xdr:col>0</xdr:col>
      <xdr:colOff>220719</xdr:colOff>
      <xdr:row>56</xdr:row>
      <xdr:rowOff>75214</xdr:rowOff>
    </xdr:from>
    <xdr:ext cx="406703" cy="393701"/>
    <xdr:pic>
      <xdr:nvPicPr>
        <xdr:cNvPr id="94" name="Kuva 93">
          <a:hlinkClick xmlns:r="http://schemas.openxmlformats.org/officeDocument/2006/relationships" r:id="rId11"/>
          <a:extLst>
            <a:ext uri="{FF2B5EF4-FFF2-40B4-BE49-F238E27FC236}">
              <a16:creationId xmlns:a16="http://schemas.microsoft.com/office/drawing/2014/main" id="{F8CD26E5-C91B-4FCE-85AA-E1BE84BA7D2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0719" y="2237389"/>
          <a:ext cx="406703" cy="393701"/>
        </a:xfrm>
        <a:prstGeom prst="rect">
          <a:avLst/>
        </a:prstGeom>
      </xdr:spPr>
    </xdr:pic>
    <xdr:clientData/>
  </xdr:oneCellAnchor>
  <xdr:oneCellAnchor>
    <xdr:from>
      <xdr:col>0</xdr:col>
      <xdr:colOff>217442</xdr:colOff>
      <xdr:row>61</xdr:row>
      <xdr:rowOff>127766</xdr:rowOff>
    </xdr:from>
    <xdr:ext cx="408016" cy="393700"/>
    <xdr:pic>
      <xdr:nvPicPr>
        <xdr:cNvPr id="95" name="Kuva 94">
          <a:extLst>
            <a:ext uri="{FF2B5EF4-FFF2-40B4-BE49-F238E27FC236}">
              <a16:creationId xmlns:a16="http://schemas.microsoft.com/office/drawing/2014/main" id="{7B27D5C9-8136-4487-87EC-6DF42E22C8D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17442" y="3099566"/>
          <a:ext cx="408016" cy="393700"/>
        </a:xfrm>
        <a:prstGeom prst="rect">
          <a:avLst/>
        </a:prstGeom>
      </xdr:spPr>
    </xdr:pic>
    <xdr:clientData/>
  </xdr:oneCellAnchor>
  <xdr:twoCellAnchor>
    <xdr:from>
      <xdr:col>0</xdr:col>
      <xdr:colOff>186230</xdr:colOff>
      <xdr:row>77</xdr:row>
      <xdr:rowOff>131050</xdr:rowOff>
    </xdr:from>
    <xdr:to>
      <xdr:col>0</xdr:col>
      <xdr:colOff>582230</xdr:colOff>
      <xdr:row>80</xdr:row>
      <xdr:rowOff>41275</xdr:rowOff>
    </xdr:to>
    <xdr:pic>
      <xdr:nvPicPr>
        <xdr:cNvPr id="96" name="Kuva 95">
          <a:hlinkClick xmlns:r="http://schemas.openxmlformats.org/officeDocument/2006/relationships" r:id="rId14"/>
          <a:extLst>
            <a:ext uri="{FF2B5EF4-FFF2-40B4-BE49-F238E27FC236}">
              <a16:creationId xmlns:a16="http://schemas.microsoft.com/office/drawing/2014/main" id="{D740EC85-D9C4-4EB2-8C4E-78B21AF20331}"/>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6230" y="12523075"/>
          <a:ext cx="396000" cy="396000"/>
        </a:xfrm>
        <a:prstGeom prst="rect">
          <a:avLst/>
        </a:prstGeom>
      </xdr:spPr>
    </xdr:pic>
    <xdr:clientData/>
  </xdr:twoCellAnchor>
  <xdr:oneCellAnchor>
    <xdr:from>
      <xdr:col>0</xdr:col>
      <xdr:colOff>167180</xdr:colOff>
      <xdr:row>80</xdr:row>
      <xdr:rowOff>89995</xdr:rowOff>
    </xdr:from>
    <xdr:ext cx="413522" cy="398991"/>
    <xdr:pic>
      <xdr:nvPicPr>
        <xdr:cNvPr id="97" name="Kuva 96">
          <a:hlinkClick xmlns:r="http://schemas.openxmlformats.org/officeDocument/2006/relationships" r:id="rId16"/>
          <a:extLst>
            <a:ext uri="{FF2B5EF4-FFF2-40B4-BE49-F238E27FC236}">
              <a16:creationId xmlns:a16="http://schemas.microsoft.com/office/drawing/2014/main" id="{59E65155-E499-4979-ACBE-8D0899CE8A7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7180" y="12967795"/>
          <a:ext cx="413522" cy="398991"/>
        </a:xfrm>
        <a:prstGeom prst="rect">
          <a:avLst/>
        </a:prstGeom>
      </xdr:spPr>
    </xdr:pic>
    <xdr:clientData/>
  </xdr:oneCellAnchor>
  <xdr:oneCellAnchor>
    <xdr:from>
      <xdr:col>0</xdr:col>
      <xdr:colOff>164224</xdr:colOff>
      <xdr:row>83</xdr:row>
      <xdr:rowOff>82769</xdr:rowOff>
    </xdr:from>
    <xdr:ext cx="415158" cy="417431"/>
    <xdr:pic>
      <xdr:nvPicPr>
        <xdr:cNvPr id="98" name="Kuva 97" descr="Tulostin">
          <a:hlinkClick xmlns:r="http://schemas.openxmlformats.org/officeDocument/2006/relationships" r:id="rId18"/>
          <a:extLst>
            <a:ext uri="{FF2B5EF4-FFF2-40B4-BE49-F238E27FC236}">
              <a16:creationId xmlns:a16="http://schemas.microsoft.com/office/drawing/2014/main" id="{337C2A8D-27CE-44B8-960C-63775CFD224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64224" y="6540719"/>
          <a:ext cx="415158" cy="417431"/>
        </a:xfrm>
        <a:prstGeom prst="rect">
          <a:avLst/>
        </a:prstGeom>
      </xdr:spPr>
    </xdr:pic>
    <xdr:clientData/>
  </xdr:oneCellAnchor>
  <xdr:twoCellAnchor>
    <xdr:from>
      <xdr:col>0</xdr:col>
      <xdr:colOff>190500</xdr:colOff>
      <xdr:row>75</xdr:row>
      <xdr:rowOff>9525</xdr:rowOff>
    </xdr:from>
    <xdr:to>
      <xdr:col>0</xdr:col>
      <xdr:colOff>595737</xdr:colOff>
      <xdr:row>77</xdr:row>
      <xdr:rowOff>84667</xdr:rowOff>
    </xdr:to>
    <xdr:pic>
      <xdr:nvPicPr>
        <xdr:cNvPr id="99" name="Kuva 98">
          <a:extLst>
            <a:ext uri="{FF2B5EF4-FFF2-40B4-BE49-F238E27FC236}">
              <a16:creationId xmlns:a16="http://schemas.microsoft.com/office/drawing/2014/main" id="{066A3BFC-099A-4D4C-BE3F-BACC3570D2D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90500" y="5248275"/>
          <a:ext cx="405237" cy="398992"/>
        </a:xfrm>
        <a:prstGeom prst="rect">
          <a:avLst/>
        </a:prstGeom>
      </xdr:spPr>
    </xdr:pic>
    <xdr:clientData/>
  </xdr:twoCellAnchor>
  <xdr:twoCellAnchor>
    <xdr:from>
      <xdr:col>0</xdr:col>
      <xdr:colOff>200025</xdr:colOff>
      <xdr:row>72</xdr:row>
      <xdr:rowOff>76200</xdr:rowOff>
    </xdr:from>
    <xdr:to>
      <xdr:col>0</xdr:col>
      <xdr:colOff>611886</xdr:colOff>
      <xdr:row>74</xdr:row>
      <xdr:rowOff>152191</xdr:rowOff>
    </xdr:to>
    <xdr:pic>
      <xdr:nvPicPr>
        <xdr:cNvPr id="100" name="Kuva 99">
          <a:hlinkClick xmlns:r="http://schemas.openxmlformats.org/officeDocument/2006/relationships" r:id="rId3"/>
          <a:extLst>
            <a:ext uri="{FF2B5EF4-FFF2-40B4-BE49-F238E27FC236}">
              <a16:creationId xmlns:a16="http://schemas.microsoft.com/office/drawing/2014/main" id="{6E5994A6-F853-4AAD-A431-AADFC71ADA5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00025" y="4829175"/>
          <a:ext cx="411861" cy="3998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1223010</xdr:colOff>
      <xdr:row>0</xdr:row>
      <xdr:rowOff>95250</xdr:rowOff>
    </xdr:from>
    <xdr:to>
      <xdr:col>14</xdr:col>
      <xdr:colOff>375557</xdr:colOff>
      <xdr:row>5</xdr:row>
      <xdr:rowOff>19050</xdr:rowOff>
    </xdr:to>
    <xdr:sp macro="" textlink="">
      <xdr:nvSpPr>
        <xdr:cNvPr id="36" name="AutoShape 189">
          <a:extLst>
            <a:ext uri="{FF2B5EF4-FFF2-40B4-BE49-F238E27FC236}">
              <a16:creationId xmlns:a16="http://schemas.microsoft.com/office/drawing/2014/main" id="{9D04840D-0669-48CD-ADBE-F2AE9590E85E}"/>
            </a:ext>
          </a:extLst>
        </xdr:cNvPr>
        <xdr:cNvSpPr>
          <a:spLocks noChangeArrowheads="1"/>
        </xdr:cNvSpPr>
      </xdr:nvSpPr>
      <xdr:spPr bwMode="auto">
        <a:xfrm>
          <a:off x="1968681" y="95250"/>
          <a:ext cx="8427176" cy="821871"/>
        </a:xfrm>
        <a:prstGeom prst="foldedCorner">
          <a:avLst>
            <a:gd name="adj" fmla="val 12500"/>
          </a:avLst>
        </a:prstGeom>
        <a:solidFill>
          <a:srgbClr val="FFC000"/>
        </a:solidFill>
        <a:ln w="15875">
          <a:solidFill>
            <a:srgbClr val="FFC000"/>
          </a:solidFill>
          <a:round/>
          <a:headEnd/>
          <a:tailEnd/>
        </a:ln>
      </xdr:spPr>
      <xdr:txBody>
        <a:bodyPr vertOverflow="clip" wrap="square" lIns="108000" tIns="36000" rIns="3600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t>IFYLLNADSDIREKTIV </a:t>
          </a:r>
          <a:b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br>
          <a:r>
            <a:rPr lang="fi-FI" sz="1000" b="1" i="0" baseline="0">
              <a:solidFill>
                <a:srgbClr val="FF0000"/>
              </a:solidFill>
              <a:effectLst/>
              <a:latin typeface="Arial" panose="020B0604020202020204" pitchFamily="34" charset="0"/>
              <a:ea typeface="Tahoma" panose="020B0604030504040204" pitchFamily="34" charset="0"/>
              <a:cs typeface="Arial" panose="020B0604020202020204" pitchFamily="34" charset="0"/>
            </a:rPr>
            <a:t>SKRIV PENNINGSUMMORNA I HELT TAL. </a:t>
          </a:r>
          <a:r>
            <a:rPr lang="fi-FI" sz="1000" b="1" i="0" baseline="0">
              <a:effectLst/>
              <a:latin typeface="Arial" panose="020B0604020202020204" pitchFamily="34" charset="0"/>
              <a:ea typeface="Tahoma" panose="020B0604030504040204" pitchFamily="34" charset="0"/>
              <a:cs typeface="Arial" panose="020B0604020202020204" pitchFamily="34" charset="0"/>
            </a:rPr>
            <a:t>ENDAST DE LÅNEAMORTERINGAR  SOM FINNS I URSPRUNGLIGA LÅNEAVTALEN !</a:t>
          </a:r>
        </a:p>
        <a:p>
          <a:pPr rtl="0">
            <a:lnSpc>
              <a:spcPts val="1300"/>
            </a:lnSpc>
          </a:pPr>
          <a:r>
            <a:rPr lang="fi-FI" sz="1000" b="0" i="0" baseline="0">
              <a:effectLst/>
              <a:latin typeface="Arial" panose="020B0604020202020204" pitchFamily="34" charset="0"/>
              <a:ea typeface="Tahoma" panose="020B0604030504040204" pitchFamily="34" charset="0"/>
              <a:cs typeface="Arial" panose="020B0604020202020204" pitchFamily="34" charset="0"/>
            </a:rPr>
            <a:t>Skriv extra amorteringar/förändringar av amorteringar i tabell 9. T4 FINANSIERINGSBUDGET, punkt 19. Kapitallån skrivas i punkt 13, tabell</a:t>
          </a:r>
          <a:br>
            <a:rPr lang="fi-FI" sz="1000" b="0" i="0" baseline="0">
              <a:effectLst/>
              <a:latin typeface="Arial" panose="020B0604020202020204" pitchFamily="34" charset="0"/>
              <a:ea typeface="Tahoma" panose="020B0604030504040204" pitchFamily="34" charset="0"/>
              <a:cs typeface="Arial" panose="020B0604020202020204" pitchFamily="34" charset="0"/>
            </a:rPr>
          </a:br>
          <a:r>
            <a:rPr lang="fi-FI" sz="1000" b="0" i="0" baseline="0">
              <a:effectLst/>
              <a:latin typeface="Arial" panose="020B0604020202020204" pitchFamily="34" charset="0"/>
              <a:ea typeface="Tahoma" panose="020B0604030504040204" pitchFamily="34" charset="0"/>
              <a:cs typeface="Arial" panose="020B0604020202020204" pitchFamily="34" charset="0"/>
            </a:rPr>
            <a:t>1. T1 INVESTERINGSPLAN.</a:t>
          </a:r>
          <a:endParaRPr lang="fi-FI" sz="1000" b="0" i="0">
            <a:effectLst/>
            <a:latin typeface="Arial" panose="020B0604020202020204" pitchFamily="34" charset="0"/>
            <a:ea typeface="Tahoma" panose="020B0604030504040204" pitchFamily="34" charset="0"/>
            <a:cs typeface="Arial" panose="020B0604020202020204" pitchFamily="34" charset="0"/>
          </a:endParaRPr>
        </a:p>
      </xdr:txBody>
    </xdr:sp>
    <xdr:clientData fLocksWithSheet="0" fPrintsWithSheet="0"/>
  </xdr:twoCellAnchor>
  <xdr:twoCellAnchor editAs="oneCell">
    <xdr:from>
      <xdr:col>15</xdr:col>
      <xdr:colOff>85725</xdr:colOff>
      <xdr:row>1</xdr:row>
      <xdr:rowOff>28575</xdr:rowOff>
    </xdr:from>
    <xdr:to>
      <xdr:col>17</xdr:col>
      <xdr:colOff>0</xdr:colOff>
      <xdr:row>3</xdr:row>
      <xdr:rowOff>57150</xdr:rowOff>
    </xdr:to>
    <xdr:pic>
      <xdr:nvPicPr>
        <xdr:cNvPr id="38" name="Kuva 37" descr="Företagstolken logo Liten .jpg">
          <a:extLst>
            <a:ext uri="{FF2B5EF4-FFF2-40B4-BE49-F238E27FC236}">
              <a16:creationId xmlns:a16="http://schemas.microsoft.com/office/drawing/2014/main" id="{645AC5C4-D641-464D-94E7-445329C95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2875" y="3905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160704</xdr:colOff>
      <xdr:row>48</xdr:row>
      <xdr:rowOff>50353</xdr:rowOff>
    </xdr:from>
    <xdr:to>
      <xdr:col>0</xdr:col>
      <xdr:colOff>575862</xdr:colOff>
      <xdr:row>51</xdr:row>
      <xdr:rowOff>238126</xdr:rowOff>
    </xdr:to>
    <xdr:pic>
      <xdr:nvPicPr>
        <xdr:cNvPr id="26" name="Kuva 25" descr="Tulostin">
          <a:hlinkClick xmlns:r="http://schemas.openxmlformats.org/officeDocument/2006/relationships" r:id="rId2"/>
          <a:extLst>
            <a:ext uri="{FF2B5EF4-FFF2-40B4-BE49-F238E27FC236}">
              <a16:creationId xmlns:a16="http://schemas.microsoft.com/office/drawing/2014/main" id="{07005F28-09EC-4490-850E-2765927F5F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704" y="7775128"/>
          <a:ext cx="415158" cy="463998"/>
        </a:xfrm>
        <a:prstGeom prst="rect">
          <a:avLst/>
        </a:prstGeom>
      </xdr:spPr>
    </xdr:pic>
    <xdr:clientData/>
  </xdr:twoCellAnchor>
  <xdr:twoCellAnchor>
    <xdr:from>
      <xdr:col>0</xdr:col>
      <xdr:colOff>169351</xdr:colOff>
      <xdr:row>45</xdr:row>
      <xdr:rowOff>100347</xdr:rowOff>
    </xdr:from>
    <xdr:to>
      <xdr:col>0</xdr:col>
      <xdr:colOff>589812</xdr:colOff>
      <xdr:row>48</xdr:row>
      <xdr:rowOff>29622</xdr:rowOff>
    </xdr:to>
    <xdr:pic>
      <xdr:nvPicPr>
        <xdr:cNvPr id="27" name="Kuva 26">
          <a:hlinkClick xmlns:r="http://schemas.openxmlformats.org/officeDocument/2006/relationships" r:id="rId5"/>
          <a:extLst>
            <a:ext uri="{FF2B5EF4-FFF2-40B4-BE49-F238E27FC236}">
              <a16:creationId xmlns:a16="http://schemas.microsoft.com/office/drawing/2014/main" id="{EA1DE9C7-73BA-4CE8-8C17-334A931FA0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9351" y="7005972"/>
          <a:ext cx="420461" cy="396000"/>
        </a:xfrm>
        <a:prstGeom prst="rect">
          <a:avLst/>
        </a:prstGeom>
      </xdr:spPr>
    </xdr:pic>
    <xdr:clientData/>
  </xdr:twoCellAnchor>
  <xdr:twoCellAnchor>
    <xdr:from>
      <xdr:col>0</xdr:col>
      <xdr:colOff>190500</xdr:colOff>
      <xdr:row>42</xdr:row>
      <xdr:rowOff>144525</xdr:rowOff>
    </xdr:from>
    <xdr:to>
      <xdr:col>0</xdr:col>
      <xdr:colOff>602784</xdr:colOff>
      <xdr:row>45</xdr:row>
      <xdr:rowOff>76231</xdr:rowOff>
    </xdr:to>
    <xdr:pic>
      <xdr:nvPicPr>
        <xdr:cNvPr id="28" name="Kuva 27">
          <a:hlinkClick xmlns:r="http://schemas.openxmlformats.org/officeDocument/2006/relationships" r:id="rId7"/>
          <a:extLst>
            <a:ext uri="{FF2B5EF4-FFF2-40B4-BE49-F238E27FC236}">
              <a16:creationId xmlns:a16="http://schemas.microsoft.com/office/drawing/2014/main" id="{84929B63-51AF-40FB-9A9F-8578BBADFF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0" y="6888225"/>
          <a:ext cx="412284" cy="427006"/>
        </a:xfrm>
        <a:prstGeom prst="rect">
          <a:avLst/>
        </a:prstGeom>
      </xdr:spPr>
    </xdr:pic>
    <xdr:clientData/>
  </xdr:twoCellAnchor>
  <xdr:twoCellAnchor>
    <xdr:from>
      <xdr:col>0</xdr:col>
      <xdr:colOff>192287</xdr:colOff>
      <xdr:row>39</xdr:row>
      <xdr:rowOff>57205</xdr:rowOff>
    </xdr:from>
    <xdr:to>
      <xdr:col>0</xdr:col>
      <xdr:colOff>597524</xdr:colOff>
      <xdr:row>42</xdr:row>
      <xdr:rowOff>114300</xdr:rowOff>
    </xdr:to>
    <xdr:pic>
      <xdr:nvPicPr>
        <xdr:cNvPr id="29" name="Kuva 28">
          <a:hlinkClick xmlns:r="http://schemas.openxmlformats.org/officeDocument/2006/relationships" r:id="rId9"/>
          <a:extLst>
            <a:ext uri="{FF2B5EF4-FFF2-40B4-BE49-F238E27FC236}">
              <a16:creationId xmlns:a16="http://schemas.microsoft.com/office/drawing/2014/main" id="{19EE3600-2131-41E4-9063-4C1E3BCEE4D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2287" y="6419905"/>
          <a:ext cx="405237" cy="438095"/>
        </a:xfrm>
        <a:prstGeom prst="rect">
          <a:avLst/>
        </a:prstGeom>
      </xdr:spPr>
    </xdr:pic>
    <xdr:clientData/>
  </xdr:twoCellAnchor>
  <xdr:twoCellAnchor>
    <xdr:from>
      <xdr:col>0</xdr:col>
      <xdr:colOff>195747</xdr:colOff>
      <xdr:row>36</xdr:row>
      <xdr:rowOff>125595</xdr:rowOff>
    </xdr:from>
    <xdr:to>
      <xdr:col>0</xdr:col>
      <xdr:colOff>607608</xdr:colOff>
      <xdr:row>39</xdr:row>
      <xdr:rowOff>57861</xdr:rowOff>
    </xdr:to>
    <xdr:pic>
      <xdr:nvPicPr>
        <xdr:cNvPr id="30" name="Kuva 29">
          <a:hlinkClick xmlns:r="http://schemas.openxmlformats.org/officeDocument/2006/relationships" r:id="rId11"/>
          <a:extLst>
            <a:ext uri="{FF2B5EF4-FFF2-40B4-BE49-F238E27FC236}">
              <a16:creationId xmlns:a16="http://schemas.microsoft.com/office/drawing/2014/main" id="{4804D817-EE5E-40EC-89BD-41D76535BC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5747" y="6002520"/>
          <a:ext cx="411861" cy="418041"/>
        </a:xfrm>
        <a:prstGeom prst="rect">
          <a:avLst/>
        </a:prstGeom>
      </xdr:spPr>
    </xdr:pic>
    <xdr:clientData/>
  </xdr:twoCellAnchor>
  <xdr:twoCellAnchor>
    <xdr:from>
      <xdr:col>0</xdr:col>
      <xdr:colOff>202979</xdr:colOff>
      <xdr:row>34</xdr:row>
      <xdr:rowOff>27108</xdr:rowOff>
    </xdr:from>
    <xdr:to>
      <xdr:col>0</xdr:col>
      <xdr:colOff>608216</xdr:colOff>
      <xdr:row>36</xdr:row>
      <xdr:rowOff>123960</xdr:rowOff>
    </xdr:to>
    <xdr:pic>
      <xdr:nvPicPr>
        <xdr:cNvPr id="31" name="Kuva 30">
          <a:hlinkClick xmlns:r="http://schemas.openxmlformats.org/officeDocument/2006/relationships" r:id="rId13"/>
          <a:extLst>
            <a:ext uri="{FF2B5EF4-FFF2-40B4-BE49-F238E27FC236}">
              <a16:creationId xmlns:a16="http://schemas.microsoft.com/office/drawing/2014/main" id="{02540148-BEAA-436E-B1B0-CA8E4D43487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02979" y="5580183"/>
          <a:ext cx="405237" cy="420702"/>
        </a:xfrm>
        <a:prstGeom prst="rect">
          <a:avLst/>
        </a:prstGeom>
      </xdr:spPr>
    </xdr:pic>
    <xdr:clientData/>
  </xdr:twoCellAnchor>
  <xdr:twoCellAnchor>
    <xdr:from>
      <xdr:col>0</xdr:col>
      <xdr:colOff>201207</xdr:colOff>
      <xdr:row>31</xdr:row>
      <xdr:rowOff>88421</xdr:rowOff>
    </xdr:from>
    <xdr:to>
      <xdr:col>0</xdr:col>
      <xdr:colOff>610421</xdr:colOff>
      <xdr:row>34</xdr:row>
      <xdr:rowOff>20785</xdr:rowOff>
    </xdr:to>
    <xdr:pic>
      <xdr:nvPicPr>
        <xdr:cNvPr id="32" name="Kuva 31">
          <a:hlinkClick xmlns:r="http://schemas.openxmlformats.org/officeDocument/2006/relationships" r:id="rId15"/>
          <a:extLst>
            <a:ext uri="{FF2B5EF4-FFF2-40B4-BE49-F238E27FC236}">
              <a16:creationId xmlns:a16="http://schemas.microsoft.com/office/drawing/2014/main" id="{B27FC92B-62E4-4FB3-B2C2-C80693104E2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01207" y="5155721"/>
          <a:ext cx="409214" cy="418139"/>
        </a:xfrm>
        <a:prstGeom prst="rect">
          <a:avLst/>
        </a:prstGeom>
      </xdr:spPr>
    </xdr:pic>
    <xdr:clientData/>
  </xdr:twoCellAnchor>
  <xdr:twoCellAnchor>
    <xdr:from>
      <xdr:col>0</xdr:col>
      <xdr:colOff>192858</xdr:colOff>
      <xdr:row>28</xdr:row>
      <xdr:rowOff>145336</xdr:rowOff>
    </xdr:from>
    <xdr:to>
      <xdr:col>0</xdr:col>
      <xdr:colOff>599258</xdr:colOff>
      <xdr:row>31</xdr:row>
      <xdr:rowOff>83842</xdr:rowOff>
    </xdr:to>
    <xdr:pic>
      <xdr:nvPicPr>
        <xdr:cNvPr id="33" name="Kuva 32">
          <a:extLst>
            <a:ext uri="{FF2B5EF4-FFF2-40B4-BE49-F238E27FC236}">
              <a16:creationId xmlns:a16="http://schemas.microsoft.com/office/drawing/2014/main" id="{C982C0B5-AFA6-4259-B40A-264762ACCFF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92858" y="4726861"/>
          <a:ext cx="406400" cy="424281"/>
        </a:xfrm>
        <a:prstGeom prst="rect">
          <a:avLst/>
        </a:prstGeom>
      </xdr:spPr>
    </xdr:pic>
    <xdr:clientData/>
  </xdr:twoCellAnchor>
  <xdr:twoCellAnchor>
    <xdr:from>
      <xdr:col>0</xdr:col>
      <xdr:colOff>198919</xdr:colOff>
      <xdr:row>26</xdr:row>
      <xdr:rowOff>54037</xdr:rowOff>
    </xdr:from>
    <xdr:to>
      <xdr:col>0</xdr:col>
      <xdr:colOff>607393</xdr:colOff>
      <xdr:row>28</xdr:row>
      <xdr:rowOff>146961</xdr:rowOff>
    </xdr:to>
    <xdr:pic>
      <xdr:nvPicPr>
        <xdr:cNvPr id="34" name="Kuva 33">
          <a:hlinkClick xmlns:r="http://schemas.openxmlformats.org/officeDocument/2006/relationships" r:id="rId9"/>
          <a:extLst>
            <a:ext uri="{FF2B5EF4-FFF2-40B4-BE49-F238E27FC236}">
              <a16:creationId xmlns:a16="http://schemas.microsoft.com/office/drawing/2014/main" id="{26A1145A-0E44-41E6-9FC3-67AF374781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98919" y="4311712"/>
          <a:ext cx="408474" cy="416774"/>
        </a:xfrm>
        <a:prstGeom prst="rect">
          <a:avLst/>
        </a:prstGeom>
      </xdr:spPr>
    </xdr:pic>
    <xdr:clientData/>
  </xdr:twoCellAnchor>
  <xdr:twoCellAnchor>
    <xdr:from>
      <xdr:col>0</xdr:col>
      <xdr:colOff>206149</xdr:colOff>
      <xdr:row>23</xdr:row>
      <xdr:rowOff>108468</xdr:rowOff>
    </xdr:from>
    <xdr:to>
      <xdr:col>0</xdr:col>
      <xdr:colOff>618433</xdr:colOff>
      <xdr:row>26</xdr:row>
      <xdr:rowOff>40175</xdr:rowOff>
    </xdr:to>
    <xdr:pic>
      <xdr:nvPicPr>
        <xdr:cNvPr id="35" name="Kuva 34">
          <a:hlinkClick xmlns:r="http://schemas.openxmlformats.org/officeDocument/2006/relationships" r:id="rId11"/>
          <a:extLst>
            <a:ext uri="{FF2B5EF4-FFF2-40B4-BE49-F238E27FC236}">
              <a16:creationId xmlns:a16="http://schemas.microsoft.com/office/drawing/2014/main" id="{8795111E-E72F-4108-8A34-14597C1954E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06149" y="3880368"/>
          <a:ext cx="412284" cy="417482"/>
        </a:xfrm>
        <a:prstGeom prst="rect">
          <a:avLst/>
        </a:prstGeom>
      </xdr:spPr>
    </xdr:pic>
    <xdr:clientData/>
  </xdr:twoCellAnchor>
  <xdr:twoCellAnchor>
    <xdr:from>
      <xdr:col>0</xdr:col>
      <xdr:colOff>226397</xdr:colOff>
      <xdr:row>20</xdr:row>
      <xdr:rowOff>142875</xdr:rowOff>
    </xdr:from>
    <xdr:to>
      <xdr:col>0</xdr:col>
      <xdr:colOff>633100</xdr:colOff>
      <xdr:row>23</xdr:row>
      <xdr:rowOff>75721</xdr:rowOff>
    </xdr:to>
    <xdr:pic>
      <xdr:nvPicPr>
        <xdr:cNvPr id="37" name="Kuva 36">
          <a:hlinkClick xmlns:r="http://schemas.openxmlformats.org/officeDocument/2006/relationships" r:id="rId20"/>
          <a:extLst>
            <a:ext uri="{FF2B5EF4-FFF2-40B4-BE49-F238E27FC236}">
              <a16:creationId xmlns:a16="http://schemas.microsoft.com/office/drawing/2014/main" id="{B707FB19-069D-4B8F-B019-70F9113DEE6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26397" y="3429000"/>
          <a:ext cx="406703" cy="4186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314325</xdr:colOff>
      <xdr:row>2</xdr:row>
      <xdr:rowOff>28575</xdr:rowOff>
    </xdr:from>
    <xdr:to>
      <xdr:col>12</xdr:col>
      <xdr:colOff>321945</xdr:colOff>
      <xdr:row>3</xdr:row>
      <xdr:rowOff>228600</xdr:rowOff>
    </xdr:to>
    <xdr:pic>
      <xdr:nvPicPr>
        <xdr:cNvPr id="29" name="Kuva 28" descr="Företagstolken logo Liten .jpg">
          <a:extLst>
            <a:ext uri="{FF2B5EF4-FFF2-40B4-BE49-F238E27FC236}">
              <a16:creationId xmlns:a16="http://schemas.microsoft.com/office/drawing/2014/main" id="{11C97BF8-45E1-418E-A14C-BAF99F3F5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3905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2677886</xdr:colOff>
      <xdr:row>13</xdr:row>
      <xdr:rowOff>134710</xdr:rowOff>
    </xdr:from>
    <xdr:to>
      <xdr:col>5</xdr:col>
      <xdr:colOff>27213</xdr:colOff>
      <xdr:row>33</xdr:row>
      <xdr:rowOff>144235</xdr:rowOff>
    </xdr:to>
    <xdr:sp macro="" textlink="">
      <xdr:nvSpPr>
        <xdr:cNvPr id="30" name="Tekstiruutu 29">
          <a:extLst>
            <a:ext uri="{FF2B5EF4-FFF2-40B4-BE49-F238E27FC236}">
              <a16:creationId xmlns:a16="http://schemas.microsoft.com/office/drawing/2014/main" id="{4B9ECF39-3BBF-47F7-A21A-6771DC576B6F}"/>
            </a:ext>
          </a:extLst>
        </xdr:cNvPr>
        <xdr:cNvSpPr txBox="1"/>
      </xdr:nvSpPr>
      <xdr:spPr>
        <a:xfrm>
          <a:off x="3728357" y="2360839"/>
          <a:ext cx="1186542" cy="3275239"/>
        </a:xfrm>
        <a:prstGeom prst="rect">
          <a:avLst/>
        </a:prstGeom>
        <a:solidFill>
          <a:srgbClr val="FFC000">
            <a:alpha val="7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i-FI">
              <a:effectLst/>
            </a:rPr>
            <a:t>Personalkost-naderna under</a:t>
          </a:r>
          <a:r>
            <a:rPr lang="fi-FI" baseline="0">
              <a:effectLst/>
            </a:rPr>
            <a:t> realiserade räkenskaps-perioden behövs inte specificera.</a:t>
          </a:r>
          <a:r>
            <a:rPr lang="fi-FI">
              <a:effectLst/>
            </a:rPr>
            <a:t> Personalkost-naderna skrivs sammanlagt</a:t>
          </a:r>
          <a:br>
            <a:rPr lang="fi-FI">
              <a:effectLst/>
            </a:rPr>
          </a:br>
          <a:r>
            <a:rPr lang="fi-FI">
              <a:effectLst/>
            </a:rPr>
            <a:t>i tabell </a:t>
          </a:r>
          <a:br>
            <a:rPr lang="fi-FI">
              <a:effectLst/>
            </a:rPr>
          </a:br>
          <a:r>
            <a:rPr lang="fi-FI">
              <a:effectLst/>
            </a:rPr>
            <a:t>2. T2 RESULTAT-BUDGET </a:t>
          </a:r>
          <a:endParaRPr lang="fi-FI" sz="1100"/>
        </a:p>
      </xdr:txBody>
    </xdr:sp>
    <xdr:clientData fPrintsWithSheet="0"/>
  </xdr:twoCellAnchor>
  <xdr:twoCellAnchor>
    <xdr:from>
      <xdr:col>2</xdr:col>
      <xdr:colOff>2372813</xdr:colOff>
      <xdr:row>0</xdr:row>
      <xdr:rowOff>87085</xdr:rowOff>
    </xdr:from>
    <xdr:to>
      <xdr:col>17</xdr:col>
      <xdr:colOff>54428</xdr:colOff>
      <xdr:row>5</xdr:row>
      <xdr:rowOff>25170</xdr:rowOff>
    </xdr:to>
    <xdr:sp macro="" textlink="">
      <xdr:nvSpPr>
        <xdr:cNvPr id="31" name="AutoShape 189">
          <a:extLst>
            <a:ext uri="{FF2B5EF4-FFF2-40B4-BE49-F238E27FC236}">
              <a16:creationId xmlns:a16="http://schemas.microsoft.com/office/drawing/2014/main" id="{C23B3FD2-192E-4F88-8C8F-65AC28A9A10C}"/>
            </a:ext>
          </a:extLst>
        </xdr:cNvPr>
        <xdr:cNvSpPr>
          <a:spLocks noChangeArrowheads="1"/>
        </xdr:cNvSpPr>
      </xdr:nvSpPr>
      <xdr:spPr bwMode="auto">
        <a:xfrm>
          <a:off x="3423284" y="87085"/>
          <a:ext cx="7734573" cy="885142"/>
        </a:xfrm>
        <a:prstGeom prst="foldedCorner">
          <a:avLst>
            <a:gd name="adj" fmla="val 12500"/>
          </a:avLst>
        </a:prstGeom>
        <a:solidFill>
          <a:srgbClr val="FFC000"/>
        </a:solidFill>
        <a:ln w="15875">
          <a:solidFill>
            <a:srgbClr val="FFC000">
              <a:alpha val="98000"/>
            </a:srgbClr>
          </a:solidFill>
          <a:round/>
          <a:headEnd/>
          <a:tailEnd/>
        </a:ln>
      </xdr:spPr>
      <xdr:txBody>
        <a:bodyPr vertOverflow="clip" wrap="square" lIns="36000" tIns="36000" rIns="36000" bIns="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fi-FI" sz="1000" b="1" i="0">
              <a:effectLst/>
              <a:latin typeface="Tahoma" panose="020B0604030504040204" pitchFamily="34" charset="0"/>
              <a:ea typeface="Tahoma" panose="020B0604030504040204" pitchFamily="34" charset="0"/>
              <a:cs typeface="Tahoma" panose="020B0604030504040204" pitchFamily="34" charset="0"/>
            </a:rPr>
            <a:t> </a:t>
          </a:r>
          <a:r>
            <a:rPr lang="fi-FI" sz="1000" b="1" i="0">
              <a:effectLst/>
              <a:latin typeface="Arial" panose="020B0604020202020204" pitchFamily="34" charset="0"/>
              <a:ea typeface="Tahoma" panose="020B0604030504040204" pitchFamily="34" charset="0"/>
              <a:cs typeface="Arial" panose="020B0604020202020204" pitchFamily="34" charset="0"/>
            </a:rPr>
            <a:t>IFYLLNADSDIREKTIV </a:t>
          </a:r>
          <a:r>
            <a:rPr lang="fi-FI" sz="1000" b="0" i="0">
              <a:effectLst/>
              <a:latin typeface="Arial" panose="020B0604020202020204" pitchFamily="34" charset="0"/>
              <a:ea typeface="Tahoma" panose="020B0604030504040204" pitchFamily="34" charset="0"/>
              <a:cs typeface="Arial" panose="020B0604020202020204" pitchFamily="34" charset="0"/>
            </a:rPr>
            <a:t>(KAN DRAGS BORT MED DATORMUS</a:t>
          </a:r>
          <a:r>
            <a:rPr lang="fi-FI" sz="1000" b="0" i="0" baseline="0">
              <a:effectLst/>
              <a:latin typeface="Arial" panose="020B0604020202020204" pitchFamily="34" charset="0"/>
              <a:ea typeface="Tahoma" panose="020B0604030504040204" pitchFamily="34" charset="0"/>
              <a:cs typeface="Arial" panose="020B0604020202020204" pitchFamily="34" charset="0"/>
            </a:rPr>
            <a:t>)</a:t>
          </a:r>
          <a:endParaRPr lang="fi-FI" sz="1000" b="0">
            <a:effectLst/>
            <a:latin typeface="Arial" panose="020B0604020202020204" pitchFamily="34" charset="0"/>
            <a:ea typeface="Tahoma" panose="020B0604030504040204" pitchFamily="34" charset="0"/>
            <a:cs typeface="Arial" panose="020B0604020202020204" pitchFamily="34" charset="0"/>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fi-FI" sz="1000" b="1" i="0">
              <a:effectLst/>
              <a:latin typeface="Arial" panose="020B0604020202020204" pitchFamily="34" charset="0"/>
              <a:ea typeface="Tahoma" panose="020B0604030504040204" pitchFamily="34" charset="0"/>
              <a:cs typeface="Arial" panose="020B0604020202020204" pitchFamily="34" charset="0"/>
            </a:rPr>
            <a:t> </a:t>
          </a:r>
          <a:r>
            <a:rPr lang="fi-FI" sz="1000" b="1" i="0">
              <a:solidFill>
                <a:srgbClr val="FF0000"/>
              </a:solidFill>
              <a:effectLst/>
              <a:latin typeface="Arial" panose="020B0604020202020204" pitchFamily="34" charset="0"/>
              <a:ea typeface="Tahoma" panose="020B0604030504040204" pitchFamily="34" charset="0"/>
              <a:cs typeface="Arial" panose="020B0604020202020204" pitchFamily="34" charset="0"/>
            </a:rPr>
            <a:t>- ALLA</a:t>
          </a:r>
          <a:r>
            <a:rPr lang="fi-FI" sz="1000" b="1" i="0" baseline="0">
              <a:solidFill>
                <a:srgbClr val="FF0000"/>
              </a:solidFill>
              <a:effectLst/>
              <a:latin typeface="Arial" panose="020B0604020202020204" pitchFamily="34" charset="0"/>
              <a:ea typeface="Tahoma" panose="020B0604030504040204" pitchFamily="34" charset="0"/>
              <a:cs typeface="Arial" panose="020B0604020202020204" pitchFamily="34" charset="0"/>
            </a:rPr>
            <a:t> SIFFRORNA MED + TECKEN! SKRIV I HELT TAL!</a:t>
          </a:r>
          <a:b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b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 </a:t>
          </a:r>
          <a:r>
            <a:rPr lang="fi-FI" sz="1000" b="0" i="0" baseline="0">
              <a:effectLst/>
              <a:latin typeface="Arial" panose="020B0604020202020204" pitchFamily="34" charset="0"/>
              <a:ea typeface="Tahoma" panose="020B0604030504040204" pitchFamily="34" charset="0"/>
              <a:cs typeface="Arial" panose="020B0604020202020204" pitchFamily="34" charset="0"/>
            </a:rPr>
            <a:t>Börja från punkt 3. ÖVRIGA KOSTNADERNA AV AFFÄRSVERKSAMHETEN. </a:t>
          </a:r>
          <a:br>
            <a:rPr lang="fi-FI" sz="1000" b="0" i="0" baseline="0">
              <a:effectLst/>
              <a:latin typeface="Arial" panose="020B0604020202020204" pitchFamily="34" charset="0"/>
              <a:ea typeface="Tahoma" panose="020B0604030504040204" pitchFamily="34" charset="0"/>
              <a:cs typeface="Arial" panose="020B0604020202020204" pitchFamily="34" charset="0"/>
            </a:rPr>
          </a:br>
          <a:r>
            <a:rPr lang="fi-FI" sz="1000" b="0" i="0" baseline="0">
              <a:effectLst/>
              <a:latin typeface="Arial" panose="020B0604020202020204" pitchFamily="34" charset="0"/>
              <a:ea typeface="Tahoma" panose="020B0604030504040204" pitchFamily="34" charset="0"/>
              <a:cs typeface="Arial" panose="020B0604020202020204" pitchFamily="34" charset="0"/>
            </a:rPr>
            <a:t> - Fyll i gula cellerna. Om räkenskapsperiodens längd i första perioden är annan än 12 månader</a:t>
          </a: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förändra kostnader motsvarande.</a:t>
          </a:r>
          <a:endParaRPr lang="fi-FI" sz="1000" b="0" i="0" strike="noStrike">
            <a:solidFill>
              <a:srgbClr val="000000"/>
            </a:solidFill>
            <a:latin typeface="Arial" panose="020B0604020202020204" pitchFamily="34" charset="0"/>
            <a:ea typeface="Tahoma" panose="020B0604030504040204" pitchFamily="34" charset="0"/>
            <a:cs typeface="Arial" panose="020B0604020202020204" pitchFamily="34" charset="0"/>
          </a:endParaRPr>
        </a:p>
      </xdr:txBody>
    </xdr:sp>
    <xdr:clientData fLocksWithSheet="0" fPrintsWithSheet="0"/>
  </xdr:twoCellAnchor>
  <xdr:twoCellAnchor>
    <xdr:from>
      <xdr:col>2</xdr:col>
      <xdr:colOff>2409824</xdr:colOff>
      <xdr:row>124</xdr:row>
      <xdr:rowOff>48577</xdr:rowOff>
    </xdr:from>
    <xdr:to>
      <xdr:col>10</xdr:col>
      <xdr:colOff>137160</xdr:colOff>
      <xdr:row>125</xdr:row>
      <xdr:rowOff>131445</xdr:rowOff>
    </xdr:to>
    <xdr:sp macro="" textlink="">
      <xdr:nvSpPr>
        <xdr:cNvPr id="32" name="Pyöristetty suorakulmio 3">
          <a:extLst>
            <a:ext uri="{FF2B5EF4-FFF2-40B4-BE49-F238E27FC236}">
              <a16:creationId xmlns:a16="http://schemas.microsoft.com/office/drawing/2014/main" id="{BDE64F9A-C986-44F9-8628-6CDFA2CDE63A}"/>
            </a:ext>
          </a:extLst>
        </xdr:cNvPr>
        <xdr:cNvSpPr/>
      </xdr:nvSpPr>
      <xdr:spPr>
        <a:xfrm>
          <a:off x="3430904" y="20889277"/>
          <a:ext cx="4356736" cy="280988"/>
        </a:xfrm>
        <a:prstGeom prst="roundRect">
          <a:avLst/>
        </a:prstGeom>
        <a:solidFill>
          <a:srgbClr val="FFC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bIns="72000" rtlCol="0" anchor="ctr"/>
        <a:lstStyle/>
        <a:p>
          <a:pPr algn="ctr"/>
          <a:r>
            <a:rPr lang="fi-FI" sz="1100" b="1" i="0">
              <a:solidFill>
                <a:schemeClr val="dk1"/>
              </a:solidFill>
              <a:effectLst/>
              <a:latin typeface="+mn-lt"/>
              <a:ea typeface="+mn-ea"/>
              <a:cs typeface="+mn-cs"/>
            </a:rPr>
            <a:t>KONROLLERA,</a:t>
          </a:r>
          <a:r>
            <a:rPr lang="fi-FI" sz="1100" b="1" i="0" baseline="0">
              <a:solidFill>
                <a:schemeClr val="dk1"/>
              </a:solidFill>
              <a:effectLst/>
              <a:latin typeface="+mn-lt"/>
              <a:ea typeface="+mn-ea"/>
              <a:cs typeface="+mn-cs"/>
            </a:rPr>
            <a:t> ATT CELLEN </a:t>
          </a:r>
          <a:r>
            <a:rPr lang="fi-FI" sz="1100" b="1" i="0">
              <a:solidFill>
                <a:schemeClr val="dk1"/>
              </a:solidFill>
              <a:effectLst/>
              <a:latin typeface="+mn-lt"/>
              <a:ea typeface="+mn-ea"/>
              <a:cs typeface="+mn-cs"/>
            </a:rPr>
            <a:t>D124=CELLEN </a:t>
          </a:r>
          <a:r>
            <a:rPr lang="fi-FI" sz="1100" b="1" i="0" baseline="0">
              <a:solidFill>
                <a:schemeClr val="dk1"/>
              </a:solidFill>
              <a:effectLst/>
              <a:latin typeface="+mn-lt"/>
              <a:ea typeface="+mn-ea"/>
              <a:cs typeface="+mn-cs"/>
            </a:rPr>
            <a:t> </a:t>
          </a:r>
          <a:r>
            <a:rPr lang="fi-FI" sz="1100" b="1" i="0">
              <a:solidFill>
                <a:schemeClr val="dk1"/>
              </a:solidFill>
              <a:effectLst/>
              <a:latin typeface="+mn-lt"/>
              <a:ea typeface="+mn-ea"/>
              <a:cs typeface="+mn-cs"/>
            </a:rPr>
            <a:t>'2. T2  RESULTATPLAN 'G18!</a:t>
          </a:r>
          <a:r>
            <a:rPr lang="fi-FI" sz="1100">
              <a:solidFill>
                <a:schemeClr val="dk1"/>
              </a:solidFill>
              <a:effectLst/>
              <a:latin typeface="+mn-lt"/>
              <a:ea typeface="+mn-ea"/>
              <a:cs typeface="+mn-cs"/>
            </a:rPr>
            <a:t> </a:t>
          </a:r>
          <a:endParaRPr lang="fi-FI">
            <a:effectLst/>
          </a:endParaRPr>
        </a:p>
      </xdr:txBody>
    </xdr:sp>
    <xdr:clientData fPrintsWithSheet="0"/>
  </xdr:twoCellAnchor>
  <xdr:twoCellAnchor>
    <xdr:from>
      <xdr:col>0</xdr:col>
      <xdr:colOff>177032</xdr:colOff>
      <xdr:row>58</xdr:row>
      <xdr:rowOff>47630</xdr:rowOff>
    </xdr:from>
    <xdr:to>
      <xdr:col>0</xdr:col>
      <xdr:colOff>592190</xdr:colOff>
      <xdr:row>60</xdr:row>
      <xdr:rowOff>147806</xdr:rowOff>
    </xdr:to>
    <xdr:pic>
      <xdr:nvPicPr>
        <xdr:cNvPr id="33" name="Kuva 32" descr="Tulostin">
          <a:hlinkClick xmlns:r="http://schemas.openxmlformats.org/officeDocument/2006/relationships" r:id="rId2"/>
          <a:extLst>
            <a:ext uri="{FF2B5EF4-FFF2-40B4-BE49-F238E27FC236}">
              <a16:creationId xmlns:a16="http://schemas.microsoft.com/office/drawing/2014/main" id="{4100C4B2-9C26-48A1-83F0-153B88A3E5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7032" y="8620130"/>
          <a:ext cx="415158" cy="404976"/>
        </a:xfrm>
        <a:prstGeom prst="rect">
          <a:avLst/>
        </a:prstGeom>
      </xdr:spPr>
    </xdr:pic>
    <xdr:clientData/>
  </xdr:twoCellAnchor>
  <xdr:twoCellAnchor>
    <xdr:from>
      <xdr:col>0</xdr:col>
      <xdr:colOff>169350</xdr:colOff>
      <xdr:row>55</xdr:row>
      <xdr:rowOff>24146</xdr:rowOff>
    </xdr:from>
    <xdr:to>
      <xdr:col>0</xdr:col>
      <xdr:colOff>601350</xdr:colOff>
      <xdr:row>57</xdr:row>
      <xdr:rowOff>120866</xdr:rowOff>
    </xdr:to>
    <xdr:pic>
      <xdr:nvPicPr>
        <xdr:cNvPr id="34" name="Kuva 33">
          <a:hlinkClick xmlns:r="http://schemas.openxmlformats.org/officeDocument/2006/relationships" r:id="rId5"/>
          <a:extLst>
            <a:ext uri="{FF2B5EF4-FFF2-40B4-BE49-F238E27FC236}">
              <a16:creationId xmlns:a16="http://schemas.microsoft.com/office/drawing/2014/main" id="{76F256BF-F9D5-4A14-9307-E6390C2CBDEA}"/>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9350" y="9305306"/>
          <a:ext cx="432000" cy="432000"/>
        </a:xfrm>
        <a:prstGeom prst="rect">
          <a:avLst/>
        </a:prstGeom>
      </xdr:spPr>
    </xdr:pic>
    <xdr:clientData/>
  </xdr:twoCellAnchor>
  <xdr:twoCellAnchor>
    <xdr:from>
      <xdr:col>0</xdr:col>
      <xdr:colOff>161925</xdr:colOff>
      <xdr:row>52</xdr:row>
      <xdr:rowOff>77850</xdr:rowOff>
    </xdr:from>
    <xdr:to>
      <xdr:col>0</xdr:col>
      <xdr:colOff>593925</xdr:colOff>
      <xdr:row>55</xdr:row>
      <xdr:rowOff>6930</xdr:rowOff>
    </xdr:to>
    <xdr:pic>
      <xdr:nvPicPr>
        <xdr:cNvPr id="35" name="Kuva 34">
          <a:hlinkClick xmlns:r="http://schemas.openxmlformats.org/officeDocument/2006/relationships" r:id="rId7"/>
          <a:extLst>
            <a:ext uri="{FF2B5EF4-FFF2-40B4-BE49-F238E27FC236}">
              <a16:creationId xmlns:a16="http://schemas.microsoft.com/office/drawing/2014/main" id="{3D2A0046-E971-4396-A0EF-DC8DF09FC08E}"/>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1925" y="8856090"/>
          <a:ext cx="432000" cy="432000"/>
        </a:xfrm>
        <a:prstGeom prst="rect">
          <a:avLst/>
        </a:prstGeom>
      </xdr:spPr>
    </xdr:pic>
    <xdr:clientData/>
  </xdr:twoCellAnchor>
  <xdr:twoCellAnchor>
    <xdr:from>
      <xdr:col>0</xdr:col>
      <xdr:colOff>163711</xdr:colOff>
      <xdr:row>49</xdr:row>
      <xdr:rowOff>142930</xdr:rowOff>
    </xdr:from>
    <xdr:to>
      <xdr:col>0</xdr:col>
      <xdr:colOff>595711</xdr:colOff>
      <xdr:row>52</xdr:row>
      <xdr:rowOff>72010</xdr:rowOff>
    </xdr:to>
    <xdr:pic>
      <xdr:nvPicPr>
        <xdr:cNvPr id="36" name="Kuva 35">
          <a:hlinkClick xmlns:r="http://schemas.openxmlformats.org/officeDocument/2006/relationships" r:id="rId9"/>
          <a:extLst>
            <a:ext uri="{FF2B5EF4-FFF2-40B4-BE49-F238E27FC236}">
              <a16:creationId xmlns:a16="http://schemas.microsoft.com/office/drawing/2014/main" id="{33767370-84E8-40CA-A74A-E0D8A62AB9D7}"/>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3711" y="8418250"/>
          <a:ext cx="432000" cy="432000"/>
        </a:xfrm>
        <a:prstGeom prst="rect">
          <a:avLst/>
        </a:prstGeom>
      </xdr:spPr>
    </xdr:pic>
    <xdr:clientData/>
  </xdr:twoCellAnchor>
  <xdr:twoCellAnchor>
    <xdr:from>
      <xdr:col>0</xdr:col>
      <xdr:colOff>167171</xdr:colOff>
      <xdr:row>47</xdr:row>
      <xdr:rowOff>49394</xdr:rowOff>
    </xdr:from>
    <xdr:to>
      <xdr:col>0</xdr:col>
      <xdr:colOff>599171</xdr:colOff>
      <xdr:row>49</xdr:row>
      <xdr:rowOff>146114</xdr:rowOff>
    </xdr:to>
    <xdr:pic>
      <xdr:nvPicPr>
        <xdr:cNvPr id="37" name="Kuva 36">
          <a:hlinkClick xmlns:r="http://schemas.openxmlformats.org/officeDocument/2006/relationships" r:id="rId11"/>
          <a:extLst>
            <a:ext uri="{FF2B5EF4-FFF2-40B4-BE49-F238E27FC236}">
              <a16:creationId xmlns:a16="http://schemas.microsoft.com/office/drawing/2014/main" id="{FF44A128-DDD8-4A36-88C2-099906F8C37F}"/>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7171" y="7989434"/>
          <a:ext cx="432000" cy="432000"/>
        </a:xfrm>
        <a:prstGeom prst="rect">
          <a:avLst/>
        </a:prstGeom>
      </xdr:spPr>
    </xdr:pic>
    <xdr:clientData/>
  </xdr:twoCellAnchor>
  <xdr:twoCellAnchor>
    <xdr:from>
      <xdr:col>0</xdr:col>
      <xdr:colOff>174403</xdr:colOff>
      <xdr:row>44</xdr:row>
      <xdr:rowOff>103308</xdr:rowOff>
    </xdr:from>
    <xdr:to>
      <xdr:col>0</xdr:col>
      <xdr:colOff>606403</xdr:colOff>
      <xdr:row>47</xdr:row>
      <xdr:rowOff>32388</xdr:rowOff>
    </xdr:to>
    <xdr:pic>
      <xdr:nvPicPr>
        <xdr:cNvPr id="39" name="Kuva 38">
          <a:hlinkClick xmlns:r="http://schemas.openxmlformats.org/officeDocument/2006/relationships" r:id="rId13"/>
          <a:extLst>
            <a:ext uri="{FF2B5EF4-FFF2-40B4-BE49-F238E27FC236}">
              <a16:creationId xmlns:a16="http://schemas.microsoft.com/office/drawing/2014/main" id="{033533C4-B190-4644-BCE3-A8CD252FFEB8}"/>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4403" y="7540428"/>
          <a:ext cx="432000" cy="432000"/>
        </a:xfrm>
        <a:prstGeom prst="rect">
          <a:avLst/>
        </a:prstGeom>
      </xdr:spPr>
    </xdr:pic>
    <xdr:clientData/>
  </xdr:twoCellAnchor>
  <xdr:twoCellAnchor>
    <xdr:from>
      <xdr:col>0</xdr:col>
      <xdr:colOff>172632</xdr:colOff>
      <xdr:row>42</xdr:row>
      <xdr:rowOff>3017</xdr:rowOff>
    </xdr:from>
    <xdr:to>
      <xdr:col>0</xdr:col>
      <xdr:colOff>604632</xdr:colOff>
      <xdr:row>44</xdr:row>
      <xdr:rowOff>99737</xdr:rowOff>
    </xdr:to>
    <xdr:pic>
      <xdr:nvPicPr>
        <xdr:cNvPr id="40" name="Kuva 39">
          <a:extLst>
            <a:ext uri="{FF2B5EF4-FFF2-40B4-BE49-F238E27FC236}">
              <a16:creationId xmlns:a16="http://schemas.microsoft.com/office/drawing/2014/main" id="{7676B3D1-0E09-4855-8786-9D672C6A7F5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2632" y="7104857"/>
          <a:ext cx="432000" cy="432000"/>
        </a:xfrm>
        <a:prstGeom prst="rect">
          <a:avLst/>
        </a:prstGeom>
      </xdr:spPr>
    </xdr:pic>
    <xdr:clientData/>
  </xdr:twoCellAnchor>
  <xdr:twoCellAnchor>
    <xdr:from>
      <xdr:col>0</xdr:col>
      <xdr:colOff>168766</xdr:colOff>
      <xdr:row>39</xdr:row>
      <xdr:rowOff>69136</xdr:rowOff>
    </xdr:from>
    <xdr:to>
      <xdr:col>0</xdr:col>
      <xdr:colOff>600766</xdr:colOff>
      <xdr:row>41</xdr:row>
      <xdr:rowOff>165856</xdr:rowOff>
    </xdr:to>
    <xdr:pic>
      <xdr:nvPicPr>
        <xdr:cNvPr id="50" name="Kuva 49">
          <a:hlinkClick xmlns:r="http://schemas.openxmlformats.org/officeDocument/2006/relationships" r:id="rId16"/>
          <a:extLst>
            <a:ext uri="{FF2B5EF4-FFF2-40B4-BE49-F238E27FC236}">
              <a16:creationId xmlns:a16="http://schemas.microsoft.com/office/drawing/2014/main" id="{A0D8ABD4-F2EE-4CA3-8CDD-FA5E784C17CB}"/>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8766" y="6668056"/>
          <a:ext cx="432000" cy="432000"/>
        </a:xfrm>
        <a:prstGeom prst="rect">
          <a:avLst/>
        </a:prstGeom>
      </xdr:spPr>
    </xdr:pic>
    <xdr:clientData/>
  </xdr:twoCellAnchor>
  <xdr:twoCellAnchor>
    <xdr:from>
      <xdr:col>0</xdr:col>
      <xdr:colOff>170344</xdr:colOff>
      <xdr:row>36</xdr:row>
      <xdr:rowOff>111187</xdr:rowOff>
    </xdr:from>
    <xdr:to>
      <xdr:col>0</xdr:col>
      <xdr:colOff>602344</xdr:colOff>
      <xdr:row>39</xdr:row>
      <xdr:rowOff>40267</xdr:rowOff>
    </xdr:to>
    <xdr:pic>
      <xdr:nvPicPr>
        <xdr:cNvPr id="51" name="Kuva 50">
          <a:hlinkClick xmlns:r="http://schemas.openxmlformats.org/officeDocument/2006/relationships" r:id="rId9"/>
          <a:extLst>
            <a:ext uri="{FF2B5EF4-FFF2-40B4-BE49-F238E27FC236}">
              <a16:creationId xmlns:a16="http://schemas.microsoft.com/office/drawing/2014/main" id="{6735FCB3-4B4E-4098-8AE8-9AC2888E7A83}"/>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70344" y="6207187"/>
          <a:ext cx="432000" cy="432000"/>
        </a:xfrm>
        <a:prstGeom prst="rect">
          <a:avLst/>
        </a:prstGeom>
      </xdr:spPr>
    </xdr:pic>
    <xdr:clientData/>
  </xdr:twoCellAnchor>
  <xdr:twoCellAnchor>
    <xdr:from>
      <xdr:col>0</xdr:col>
      <xdr:colOff>177574</xdr:colOff>
      <xdr:row>34</xdr:row>
      <xdr:rowOff>3693</xdr:rowOff>
    </xdr:from>
    <xdr:to>
      <xdr:col>0</xdr:col>
      <xdr:colOff>609574</xdr:colOff>
      <xdr:row>36</xdr:row>
      <xdr:rowOff>100413</xdr:rowOff>
    </xdr:to>
    <xdr:pic>
      <xdr:nvPicPr>
        <xdr:cNvPr id="52" name="Kuva 51">
          <a:hlinkClick xmlns:r="http://schemas.openxmlformats.org/officeDocument/2006/relationships" r:id="rId11"/>
          <a:extLst>
            <a:ext uri="{FF2B5EF4-FFF2-40B4-BE49-F238E27FC236}">
              <a16:creationId xmlns:a16="http://schemas.microsoft.com/office/drawing/2014/main" id="{7D1A49EE-C7BE-47BA-9C12-3907B1EF02F3}"/>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77574" y="5764413"/>
          <a:ext cx="432000" cy="432000"/>
        </a:xfrm>
        <a:prstGeom prst="rect">
          <a:avLst/>
        </a:prstGeom>
      </xdr:spPr>
    </xdr:pic>
    <xdr:clientData/>
  </xdr:twoCellAnchor>
  <xdr:twoCellAnchor>
    <xdr:from>
      <xdr:col>0</xdr:col>
      <xdr:colOff>188296</xdr:colOff>
      <xdr:row>31</xdr:row>
      <xdr:rowOff>38100</xdr:rowOff>
    </xdr:from>
    <xdr:to>
      <xdr:col>0</xdr:col>
      <xdr:colOff>620296</xdr:colOff>
      <xdr:row>33</xdr:row>
      <xdr:rowOff>132871</xdr:rowOff>
    </xdr:to>
    <xdr:pic>
      <xdr:nvPicPr>
        <xdr:cNvPr id="53" name="Kuva 52">
          <a:hlinkClick xmlns:r="http://schemas.openxmlformats.org/officeDocument/2006/relationships" r:id="rId20"/>
          <a:extLst>
            <a:ext uri="{FF2B5EF4-FFF2-40B4-BE49-F238E27FC236}">
              <a16:creationId xmlns:a16="http://schemas.microsoft.com/office/drawing/2014/main" id="{A67E2BA5-E557-41E8-942F-A7DCFDAB1BEC}"/>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8296" y="5295900"/>
          <a:ext cx="432000" cy="430051"/>
        </a:xfrm>
        <a:prstGeom prst="rect">
          <a:avLst/>
        </a:prstGeom>
      </xdr:spPr>
    </xdr:pic>
    <xdr:clientData/>
  </xdr:twoCellAnchor>
  <xdr:twoCellAnchor>
    <xdr:from>
      <xdr:col>0</xdr:col>
      <xdr:colOff>177032</xdr:colOff>
      <xdr:row>105</xdr:row>
      <xdr:rowOff>47630</xdr:rowOff>
    </xdr:from>
    <xdr:to>
      <xdr:col>0</xdr:col>
      <xdr:colOff>592190</xdr:colOff>
      <xdr:row>107</xdr:row>
      <xdr:rowOff>147806</xdr:rowOff>
    </xdr:to>
    <xdr:pic>
      <xdr:nvPicPr>
        <xdr:cNvPr id="54" name="Kuva 53" descr="Tulostin">
          <a:hlinkClick xmlns:r="http://schemas.openxmlformats.org/officeDocument/2006/relationships" r:id="rId2"/>
          <a:extLst>
            <a:ext uri="{FF2B5EF4-FFF2-40B4-BE49-F238E27FC236}">
              <a16:creationId xmlns:a16="http://schemas.microsoft.com/office/drawing/2014/main" id="{3A7F7393-48BC-4E34-94DF-3F32888D9E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7032" y="5991230"/>
          <a:ext cx="415158" cy="404976"/>
        </a:xfrm>
        <a:prstGeom prst="rect">
          <a:avLst/>
        </a:prstGeom>
      </xdr:spPr>
    </xdr:pic>
    <xdr:clientData/>
  </xdr:twoCellAnchor>
  <xdr:twoCellAnchor>
    <xdr:from>
      <xdr:col>0</xdr:col>
      <xdr:colOff>169350</xdr:colOff>
      <xdr:row>102</xdr:row>
      <xdr:rowOff>24146</xdr:rowOff>
    </xdr:from>
    <xdr:to>
      <xdr:col>0</xdr:col>
      <xdr:colOff>601350</xdr:colOff>
      <xdr:row>104</xdr:row>
      <xdr:rowOff>120866</xdr:rowOff>
    </xdr:to>
    <xdr:pic>
      <xdr:nvPicPr>
        <xdr:cNvPr id="74" name="Kuva 73">
          <a:hlinkClick xmlns:r="http://schemas.openxmlformats.org/officeDocument/2006/relationships" r:id="rId5"/>
          <a:extLst>
            <a:ext uri="{FF2B5EF4-FFF2-40B4-BE49-F238E27FC236}">
              <a16:creationId xmlns:a16="http://schemas.microsoft.com/office/drawing/2014/main" id="{159767BB-FC4B-4C0D-A297-A68786C9882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9350" y="9305306"/>
          <a:ext cx="432000" cy="432000"/>
        </a:xfrm>
        <a:prstGeom prst="rect">
          <a:avLst/>
        </a:prstGeom>
      </xdr:spPr>
    </xdr:pic>
    <xdr:clientData/>
  </xdr:twoCellAnchor>
  <xdr:twoCellAnchor>
    <xdr:from>
      <xdr:col>0</xdr:col>
      <xdr:colOff>161925</xdr:colOff>
      <xdr:row>99</xdr:row>
      <xdr:rowOff>77850</xdr:rowOff>
    </xdr:from>
    <xdr:to>
      <xdr:col>0</xdr:col>
      <xdr:colOff>593925</xdr:colOff>
      <xdr:row>102</xdr:row>
      <xdr:rowOff>6930</xdr:rowOff>
    </xdr:to>
    <xdr:pic>
      <xdr:nvPicPr>
        <xdr:cNvPr id="75" name="Kuva 74">
          <a:hlinkClick xmlns:r="http://schemas.openxmlformats.org/officeDocument/2006/relationships" r:id="rId7"/>
          <a:extLst>
            <a:ext uri="{FF2B5EF4-FFF2-40B4-BE49-F238E27FC236}">
              <a16:creationId xmlns:a16="http://schemas.microsoft.com/office/drawing/2014/main" id="{217871F1-36F2-410D-A483-253E15091C9D}"/>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1925" y="8856090"/>
          <a:ext cx="432000" cy="432000"/>
        </a:xfrm>
        <a:prstGeom prst="rect">
          <a:avLst/>
        </a:prstGeom>
      </xdr:spPr>
    </xdr:pic>
    <xdr:clientData/>
  </xdr:twoCellAnchor>
  <xdr:twoCellAnchor>
    <xdr:from>
      <xdr:col>0</xdr:col>
      <xdr:colOff>163711</xdr:colOff>
      <xdr:row>96</xdr:row>
      <xdr:rowOff>142930</xdr:rowOff>
    </xdr:from>
    <xdr:to>
      <xdr:col>0</xdr:col>
      <xdr:colOff>595711</xdr:colOff>
      <xdr:row>99</xdr:row>
      <xdr:rowOff>72010</xdr:rowOff>
    </xdr:to>
    <xdr:pic>
      <xdr:nvPicPr>
        <xdr:cNvPr id="76" name="Kuva 75">
          <a:hlinkClick xmlns:r="http://schemas.openxmlformats.org/officeDocument/2006/relationships" r:id="rId9"/>
          <a:extLst>
            <a:ext uri="{FF2B5EF4-FFF2-40B4-BE49-F238E27FC236}">
              <a16:creationId xmlns:a16="http://schemas.microsoft.com/office/drawing/2014/main" id="{ED64E762-C13C-408D-AD39-390AD289F2DD}"/>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3711" y="8418250"/>
          <a:ext cx="432000" cy="432000"/>
        </a:xfrm>
        <a:prstGeom prst="rect">
          <a:avLst/>
        </a:prstGeom>
      </xdr:spPr>
    </xdr:pic>
    <xdr:clientData/>
  </xdr:twoCellAnchor>
  <xdr:twoCellAnchor>
    <xdr:from>
      <xdr:col>0</xdr:col>
      <xdr:colOff>167171</xdr:colOff>
      <xdr:row>94</xdr:row>
      <xdr:rowOff>49394</xdr:rowOff>
    </xdr:from>
    <xdr:to>
      <xdr:col>0</xdr:col>
      <xdr:colOff>599171</xdr:colOff>
      <xdr:row>96</xdr:row>
      <xdr:rowOff>146114</xdr:rowOff>
    </xdr:to>
    <xdr:pic>
      <xdr:nvPicPr>
        <xdr:cNvPr id="77" name="Kuva 76">
          <a:hlinkClick xmlns:r="http://schemas.openxmlformats.org/officeDocument/2006/relationships" r:id="rId11"/>
          <a:extLst>
            <a:ext uri="{FF2B5EF4-FFF2-40B4-BE49-F238E27FC236}">
              <a16:creationId xmlns:a16="http://schemas.microsoft.com/office/drawing/2014/main" id="{40FB0F3A-339A-4C86-9D76-5621C208BFEC}"/>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7171" y="7989434"/>
          <a:ext cx="432000" cy="432000"/>
        </a:xfrm>
        <a:prstGeom prst="rect">
          <a:avLst/>
        </a:prstGeom>
      </xdr:spPr>
    </xdr:pic>
    <xdr:clientData/>
  </xdr:twoCellAnchor>
  <xdr:twoCellAnchor>
    <xdr:from>
      <xdr:col>0</xdr:col>
      <xdr:colOff>174403</xdr:colOff>
      <xdr:row>91</xdr:row>
      <xdr:rowOff>103308</xdr:rowOff>
    </xdr:from>
    <xdr:to>
      <xdr:col>0</xdr:col>
      <xdr:colOff>606403</xdr:colOff>
      <xdr:row>94</xdr:row>
      <xdr:rowOff>32388</xdr:rowOff>
    </xdr:to>
    <xdr:pic>
      <xdr:nvPicPr>
        <xdr:cNvPr id="78" name="Kuva 77">
          <a:hlinkClick xmlns:r="http://schemas.openxmlformats.org/officeDocument/2006/relationships" r:id="rId13"/>
          <a:extLst>
            <a:ext uri="{FF2B5EF4-FFF2-40B4-BE49-F238E27FC236}">
              <a16:creationId xmlns:a16="http://schemas.microsoft.com/office/drawing/2014/main" id="{EA7C8A90-7067-4DD6-A555-4F01121C788F}"/>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4403" y="7540428"/>
          <a:ext cx="432000" cy="432000"/>
        </a:xfrm>
        <a:prstGeom prst="rect">
          <a:avLst/>
        </a:prstGeom>
      </xdr:spPr>
    </xdr:pic>
    <xdr:clientData/>
  </xdr:twoCellAnchor>
  <xdr:twoCellAnchor>
    <xdr:from>
      <xdr:col>0</xdr:col>
      <xdr:colOff>172632</xdr:colOff>
      <xdr:row>89</xdr:row>
      <xdr:rowOff>3017</xdr:rowOff>
    </xdr:from>
    <xdr:to>
      <xdr:col>0</xdr:col>
      <xdr:colOff>604632</xdr:colOff>
      <xdr:row>91</xdr:row>
      <xdr:rowOff>99737</xdr:rowOff>
    </xdr:to>
    <xdr:pic>
      <xdr:nvPicPr>
        <xdr:cNvPr id="79" name="Kuva 78">
          <a:extLst>
            <a:ext uri="{FF2B5EF4-FFF2-40B4-BE49-F238E27FC236}">
              <a16:creationId xmlns:a16="http://schemas.microsoft.com/office/drawing/2014/main" id="{C652C89F-6E04-464F-9E58-DD76C2B35EB2}"/>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2632" y="7104857"/>
          <a:ext cx="432000" cy="432000"/>
        </a:xfrm>
        <a:prstGeom prst="rect">
          <a:avLst/>
        </a:prstGeom>
      </xdr:spPr>
    </xdr:pic>
    <xdr:clientData/>
  </xdr:twoCellAnchor>
  <xdr:twoCellAnchor>
    <xdr:from>
      <xdr:col>0</xdr:col>
      <xdr:colOff>168766</xdr:colOff>
      <xdr:row>86</xdr:row>
      <xdr:rowOff>69136</xdr:rowOff>
    </xdr:from>
    <xdr:to>
      <xdr:col>0</xdr:col>
      <xdr:colOff>600766</xdr:colOff>
      <xdr:row>88</xdr:row>
      <xdr:rowOff>165856</xdr:rowOff>
    </xdr:to>
    <xdr:pic>
      <xdr:nvPicPr>
        <xdr:cNvPr id="80" name="Kuva 79">
          <a:hlinkClick xmlns:r="http://schemas.openxmlformats.org/officeDocument/2006/relationships" r:id="rId16"/>
          <a:extLst>
            <a:ext uri="{FF2B5EF4-FFF2-40B4-BE49-F238E27FC236}">
              <a16:creationId xmlns:a16="http://schemas.microsoft.com/office/drawing/2014/main" id="{881D3374-01D8-40C0-8D1D-6C7A442ED3E9}"/>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8766" y="6668056"/>
          <a:ext cx="432000" cy="432000"/>
        </a:xfrm>
        <a:prstGeom prst="rect">
          <a:avLst/>
        </a:prstGeom>
      </xdr:spPr>
    </xdr:pic>
    <xdr:clientData/>
  </xdr:twoCellAnchor>
  <xdr:twoCellAnchor>
    <xdr:from>
      <xdr:col>0</xdr:col>
      <xdr:colOff>170344</xdr:colOff>
      <xdr:row>83</xdr:row>
      <xdr:rowOff>111187</xdr:rowOff>
    </xdr:from>
    <xdr:to>
      <xdr:col>0</xdr:col>
      <xdr:colOff>602344</xdr:colOff>
      <xdr:row>86</xdr:row>
      <xdr:rowOff>40267</xdr:rowOff>
    </xdr:to>
    <xdr:pic>
      <xdr:nvPicPr>
        <xdr:cNvPr id="81" name="Kuva 80">
          <a:hlinkClick xmlns:r="http://schemas.openxmlformats.org/officeDocument/2006/relationships" r:id="rId9"/>
          <a:extLst>
            <a:ext uri="{FF2B5EF4-FFF2-40B4-BE49-F238E27FC236}">
              <a16:creationId xmlns:a16="http://schemas.microsoft.com/office/drawing/2014/main" id="{1000E5DE-4833-480D-AA61-4B04C3FDB826}"/>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70344" y="6207187"/>
          <a:ext cx="432000" cy="432000"/>
        </a:xfrm>
        <a:prstGeom prst="rect">
          <a:avLst/>
        </a:prstGeom>
      </xdr:spPr>
    </xdr:pic>
    <xdr:clientData/>
  </xdr:twoCellAnchor>
  <xdr:twoCellAnchor>
    <xdr:from>
      <xdr:col>0</xdr:col>
      <xdr:colOff>177574</xdr:colOff>
      <xdr:row>81</xdr:row>
      <xdr:rowOff>3693</xdr:rowOff>
    </xdr:from>
    <xdr:to>
      <xdr:col>0</xdr:col>
      <xdr:colOff>609574</xdr:colOff>
      <xdr:row>83</xdr:row>
      <xdr:rowOff>100413</xdr:rowOff>
    </xdr:to>
    <xdr:pic>
      <xdr:nvPicPr>
        <xdr:cNvPr id="82" name="Kuva 81">
          <a:hlinkClick xmlns:r="http://schemas.openxmlformats.org/officeDocument/2006/relationships" r:id="rId11"/>
          <a:extLst>
            <a:ext uri="{FF2B5EF4-FFF2-40B4-BE49-F238E27FC236}">
              <a16:creationId xmlns:a16="http://schemas.microsoft.com/office/drawing/2014/main" id="{11DC78C8-F302-413B-94D6-D93C6C731EC3}"/>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77574" y="5764413"/>
          <a:ext cx="432000" cy="432000"/>
        </a:xfrm>
        <a:prstGeom prst="rect">
          <a:avLst/>
        </a:prstGeom>
      </xdr:spPr>
    </xdr:pic>
    <xdr:clientData/>
  </xdr:twoCellAnchor>
  <xdr:twoCellAnchor>
    <xdr:from>
      <xdr:col>0</xdr:col>
      <xdr:colOff>188296</xdr:colOff>
      <xdr:row>78</xdr:row>
      <xdr:rowOff>38100</xdr:rowOff>
    </xdr:from>
    <xdr:to>
      <xdr:col>0</xdr:col>
      <xdr:colOff>620296</xdr:colOff>
      <xdr:row>80</xdr:row>
      <xdr:rowOff>132871</xdr:rowOff>
    </xdr:to>
    <xdr:pic>
      <xdr:nvPicPr>
        <xdr:cNvPr id="83" name="Kuva 82">
          <a:hlinkClick xmlns:r="http://schemas.openxmlformats.org/officeDocument/2006/relationships" r:id="rId20"/>
          <a:extLst>
            <a:ext uri="{FF2B5EF4-FFF2-40B4-BE49-F238E27FC236}">
              <a16:creationId xmlns:a16="http://schemas.microsoft.com/office/drawing/2014/main" id="{C0D74D65-F334-486B-8D44-2B26C45B3335}"/>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8296" y="5295900"/>
          <a:ext cx="432000" cy="4300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647700</xdr:colOff>
      <xdr:row>1</xdr:row>
      <xdr:rowOff>76200</xdr:rowOff>
    </xdr:from>
    <xdr:to>
      <xdr:col>7</xdr:col>
      <xdr:colOff>857250</xdr:colOff>
      <xdr:row>3</xdr:row>
      <xdr:rowOff>114300</xdr:rowOff>
    </xdr:to>
    <xdr:pic>
      <xdr:nvPicPr>
        <xdr:cNvPr id="36" name="Kuva 35" descr="Företagstolken logo Liten .jpg">
          <a:extLst>
            <a:ext uri="{FF2B5EF4-FFF2-40B4-BE49-F238E27FC236}">
              <a16:creationId xmlns:a16="http://schemas.microsoft.com/office/drawing/2014/main" id="{D8C2FF64-1715-473D-9553-962793D43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0" y="2381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368481</xdr:colOff>
      <xdr:row>0</xdr:row>
      <xdr:rowOff>140155</xdr:rowOff>
    </xdr:from>
    <xdr:to>
      <xdr:col>20</xdr:col>
      <xdr:colOff>5443</xdr:colOff>
      <xdr:row>7</xdr:row>
      <xdr:rowOff>152402</xdr:rowOff>
    </xdr:to>
    <xdr:sp macro="" textlink="">
      <xdr:nvSpPr>
        <xdr:cNvPr id="32" name="AutoShape 189">
          <a:extLst>
            <a:ext uri="{FF2B5EF4-FFF2-40B4-BE49-F238E27FC236}">
              <a16:creationId xmlns:a16="http://schemas.microsoft.com/office/drawing/2014/main" id="{00000000-0008-0000-0A00-000020000000}"/>
            </a:ext>
          </a:extLst>
        </xdr:cNvPr>
        <xdr:cNvSpPr>
          <a:spLocks noChangeArrowheads="1"/>
        </xdr:cNvSpPr>
      </xdr:nvSpPr>
      <xdr:spPr bwMode="auto">
        <a:xfrm>
          <a:off x="8630738" y="140155"/>
          <a:ext cx="7006591" cy="1111704"/>
        </a:xfrm>
        <a:prstGeom prst="foldedCorner">
          <a:avLst>
            <a:gd name="adj" fmla="val 12500"/>
          </a:avLst>
        </a:prstGeom>
        <a:solidFill>
          <a:srgbClr val="FFC000"/>
        </a:solidFill>
        <a:ln w="15875">
          <a:solidFill>
            <a:srgbClr val="FFC000"/>
          </a:solidFill>
          <a:round/>
          <a:headEnd/>
          <a:tailEnd/>
        </a:ln>
      </xdr:spPr>
      <xdr:txBody>
        <a:bodyPr vertOverflow="clip" wrap="square" lIns="72000" tIns="144000" rIns="36000" bIns="36000" anchor="t" anchorCtr="0" upright="1"/>
        <a:lstStyle/>
        <a:p>
          <a:pPr rtl="0" eaLnBrk="1" fontAlgn="auto" latinLnBrk="0" hangingPunct="1">
            <a:lnSpc>
              <a:spcPts val="1500"/>
            </a:lnSpc>
          </a:pPr>
          <a:r>
            <a:rPr lang="fi-FI" sz="1000" b="1" i="0">
              <a:effectLst/>
              <a:latin typeface="Arial" panose="020B0604020202020204" pitchFamily="34" charset="0"/>
              <a:ea typeface="Tahoma" panose="020B0604030504040204" pitchFamily="34" charset="0"/>
              <a:cs typeface="Arial" panose="020B0604020202020204" pitchFamily="34" charset="0"/>
            </a:rPr>
            <a:t>IFYLLNADSDIREKTIV </a:t>
          </a:r>
          <a:r>
            <a:rPr lang="fi-FI" sz="1000" b="0" i="0">
              <a:effectLst/>
              <a:latin typeface="Arial" panose="020B0604020202020204" pitchFamily="34" charset="0"/>
              <a:ea typeface="Tahoma" panose="020B0604030504040204" pitchFamily="34" charset="0"/>
              <a:cs typeface="Arial" panose="020B0604020202020204" pitchFamily="34" charset="0"/>
            </a:rPr>
            <a:t>(KAN DRAGS BORT MED DATORMUS</a:t>
          </a:r>
          <a:r>
            <a:rPr lang="fi-FI" sz="1000" b="0" i="0" baseline="0">
              <a:effectLst/>
              <a:latin typeface="Arial" panose="020B0604020202020204" pitchFamily="34" charset="0"/>
              <a:ea typeface="Tahoma" panose="020B0604030504040204" pitchFamily="34" charset="0"/>
              <a:cs typeface="Arial" panose="020B0604020202020204" pitchFamily="34" charset="0"/>
            </a:rPr>
            <a:t>)</a:t>
          </a:r>
          <a:endParaRPr lang="fi-FI" sz="1000" b="0" i="0">
            <a:effectLst/>
            <a:latin typeface="Arial" panose="020B0604020202020204" pitchFamily="34" charset="0"/>
            <a:ea typeface="Tahoma" panose="020B0604030504040204" pitchFamily="34" charset="0"/>
            <a:cs typeface="Arial" panose="020B0604020202020204" pitchFamily="34" charset="0"/>
          </a:endParaRPr>
        </a:p>
        <a:p>
          <a:pPr algn="l" rtl="0">
            <a:lnSpc>
              <a:spcPts val="1500"/>
            </a:lnSpc>
            <a:defRPr sz="1000"/>
          </a:pPr>
          <a:r>
            <a:rPr lang="fi-FI" sz="1000" b="0" i="0" strike="noStrike">
              <a:solidFill>
                <a:srgbClr val="000000"/>
              </a:solidFill>
              <a:latin typeface="Arial" panose="020B0604020202020204" pitchFamily="34" charset="0"/>
              <a:ea typeface="Tahoma" panose="020B0604030504040204" pitchFamily="34" charset="0"/>
              <a:cs typeface="Arial" panose="020B0604020202020204" pitchFamily="34" charset="0"/>
            </a:rPr>
            <a:t>Kalkylera</a:t>
          </a: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enhetspriset med hjälp av Realiserad period, om priset inte är känt. Siffrorna i tabeller av realiserade perioder förändras inte! </a:t>
          </a:r>
          <a:r>
            <a:rPr lang="fi-FI" sz="1000" b="0" i="0">
              <a:effectLst/>
              <a:latin typeface="Arial" panose="020B0604020202020204" pitchFamily="34" charset="0"/>
              <a:ea typeface="Tahoma" panose="020B0604030504040204" pitchFamily="34" charset="0"/>
              <a:cs typeface="Arial" panose="020B0604020202020204" pitchFamily="34" charset="0"/>
            </a:rPr>
            <a:t>Observera räkenskapsperiodens</a:t>
          </a:r>
          <a:r>
            <a:rPr lang="fi-FI" sz="1000" b="0" i="0" baseline="0">
              <a:effectLst/>
              <a:latin typeface="Arial" panose="020B0604020202020204" pitchFamily="34" charset="0"/>
              <a:ea typeface="Tahoma" panose="020B0604030504040204" pitchFamily="34" charset="0"/>
              <a:cs typeface="Arial" panose="020B0604020202020204" pitchFamily="34" charset="0"/>
            </a:rPr>
            <a:t> längd vid kalkylering av omsättning. </a:t>
          </a: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FYLL I GYLA CELLERNA! </a:t>
          </a:r>
          <a:b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b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Välj rätta Moms-% enligt produkten</a:t>
          </a:r>
          <a:r>
            <a:rPr lang="fi-FI" sz="1000" b="1" i="0" strike="noStrik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  </a:t>
          </a:r>
          <a:r>
            <a:rPr lang="fi-FI" sz="1000" b="1" i="0" strike="noStrike" baseline="0">
              <a:solidFill>
                <a:srgbClr val="FF0000"/>
              </a:solidFill>
              <a:latin typeface="Arial" panose="020B0604020202020204" pitchFamily="34" charset="0"/>
              <a:ea typeface="Tahoma" panose="020B0604030504040204" pitchFamily="34" charset="0"/>
              <a:cs typeface="Arial" panose="020B0604020202020204" pitchFamily="34" charset="0"/>
            </a:rPr>
            <a:t>MATERIALBRUK MED + TECKEN</a:t>
          </a:r>
          <a:r>
            <a:rPr lang="fi-FI" sz="1000" b="0" i="0" strike="noStrik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endParaRPr lang="fi-FI" sz="1000" b="0" i="0" strike="noStrike">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fLocksWithSheet="0" fPrintsWithSheet="0"/>
  </xdr:twoCellAnchor>
  <xdr:twoCellAnchor>
    <xdr:from>
      <xdr:col>0</xdr:col>
      <xdr:colOff>799420</xdr:colOff>
      <xdr:row>75</xdr:row>
      <xdr:rowOff>33473</xdr:rowOff>
    </xdr:from>
    <xdr:to>
      <xdr:col>5</xdr:col>
      <xdr:colOff>293916</xdr:colOff>
      <xdr:row>77</xdr:row>
      <xdr:rowOff>59870</xdr:rowOff>
    </xdr:to>
    <xdr:sp macro="" textlink="">
      <xdr:nvSpPr>
        <xdr:cNvPr id="17" name="Pyöristetty suorakulmio 32">
          <a:extLst>
            <a:ext uri="{FF2B5EF4-FFF2-40B4-BE49-F238E27FC236}">
              <a16:creationId xmlns:a16="http://schemas.microsoft.com/office/drawing/2014/main" id="{B6CEFD6B-2C19-428F-A543-CB7A087A531C}"/>
            </a:ext>
          </a:extLst>
        </xdr:cNvPr>
        <xdr:cNvSpPr/>
      </xdr:nvSpPr>
      <xdr:spPr>
        <a:xfrm>
          <a:off x="799420" y="11414487"/>
          <a:ext cx="4931910" cy="342083"/>
        </a:xfrm>
        <a:prstGeom prst="roundRect">
          <a:avLst/>
        </a:prstGeom>
        <a:solidFill>
          <a:srgbClr val="FFC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bIns="72000" rtlCol="0" anchor="ctr"/>
        <a:lstStyle/>
        <a:p>
          <a:pPr algn="ctr"/>
          <a:r>
            <a:rPr lang="fi-FI" sz="1100" b="1" i="0">
              <a:solidFill>
                <a:schemeClr val="dk1"/>
              </a:solidFill>
              <a:effectLst/>
              <a:latin typeface="+mn-lt"/>
              <a:ea typeface="+mn-ea"/>
              <a:cs typeface="+mn-cs"/>
            </a:rPr>
            <a:t>KONTROLLERA, ATT CELLEN D70 = CELLEN G11 i '2. T 2 RESTULTATBUDGET</a:t>
          </a:r>
          <a:endParaRPr lang="fi-FI" sz="1800" b="1">
            <a:solidFill>
              <a:sysClr val="windowText" lastClr="000000"/>
            </a:solidFill>
            <a:latin typeface="Arial" pitchFamily="34" charset="0"/>
            <a:cs typeface="Arial" pitchFamily="34" charset="0"/>
          </a:endParaRPr>
        </a:p>
      </xdr:txBody>
    </xdr:sp>
    <xdr:clientData fPrintsWithSheet="0"/>
  </xdr:twoCellAnchor>
  <xdr:twoCellAnchor>
    <xdr:from>
      <xdr:col>0</xdr:col>
      <xdr:colOff>138932</xdr:colOff>
      <xdr:row>42</xdr:row>
      <xdr:rowOff>66680</xdr:rowOff>
    </xdr:from>
    <xdr:to>
      <xdr:col>0</xdr:col>
      <xdr:colOff>554090</xdr:colOff>
      <xdr:row>45</xdr:row>
      <xdr:rowOff>23981</xdr:rowOff>
    </xdr:to>
    <xdr:pic>
      <xdr:nvPicPr>
        <xdr:cNvPr id="18" name="Kuva 17" descr="Tulostin">
          <a:hlinkClick xmlns:r="http://schemas.openxmlformats.org/officeDocument/2006/relationships" r:id="rId2"/>
          <a:extLst>
            <a:ext uri="{FF2B5EF4-FFF2-40B4-BE49-F238E27FC236}">
              <a16:creationId xmlns:a16="http://schemas.microsoft.com/office/drawing/2014/main" id="{5ABBF3BE-3421-46F8-B893-66B58C2994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8932" y="7534280"/>
          <a:ext cx="415158" cy="452601"/>
        </a:xfrm>
        <a:prstGeom prst="rect">
          <a:avLst/>
        </a:prstGeom>
      </xdr:spPr>
    </xdr:pic>
    <xdr:clientData/>
  </xdr:twoCellAnchor>
  <xdr:twoCellAnchor>
    <xdr:from>
      <xdr:col>0</xdr:col>
      <xdr:colOff>142136</xdr:colOff>
      <xdr:row>38</xdr:row>
      <xdr:rowOff>127561</xdr:rowOff>
    </xdr:from>
    <xdr:to>
      <xdr:col>0</xdr:col>
      <xdr:colOff>538136</xdr:colOff>
      <xdr:row>41</xdr:row>
      <xdr:rowOff>66361</xdr:rowOff>
    </xdr:to>
    <xdr:pic>
      <xdr:nvPicPr>
        <xdr:cNvPr id="19" name="Kuva 18">
          <a:hlinkClick xmlns:r="http://schemas.openxmlformats.org/officeDocument/2006/relationships" r:id="rId5"/>
          <a:extLst>
            <a:ext uri="{FF2B5EF4-FFF2-40B4-BE49-F238E27FC236}">
              <a16:creationId xmlns:a16="http://schemas.microsoft.com/office/drawing/2014/main" id="{F0E9B8C2-C46C-4DF0-A8B5-96A36F04F95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136" y="5994961"/>
          <a:ext cx="396000" cy="396000"/>
        </a:xfrm>
        <a:prstGeom prst="rect">
          <a:avLst/>
        </a:prstGeom>
      </xdr:spPr>
    </xdr:pic>
    <xdr:clientData/>
  </xdr:twoCellAnchor>
  <xdr:twoCellAnchor>
    <xdr:from>
      <xdr:col>0</xdr:col>
      <xdr:colOff>144235</xdr:colOff>
      <xdr:row>36</xdr:row>
      <xdr:rowOff>15258</xdr:rowOff>
    </xdr:from>
    <xdr:to>
      <xdr:col>0</xdr:col>
      <xdr:colOff>540235</xdr:colOff>
      <xdr:row>38</xdr:row>
      <xdr:rowOff>104776</xdr:rowOff>
    </xdr:to>
    <xdr:pic>
      <xdr:nvPicPr>
        <xdr:cNvPr id="20" name="Kuva 19">
          <a:hlinkClick xmlns:r="http://schemas.openxmlformats.org/officeDocument/2006/relationships" r:id="rId7"/>
          <a:extLst>
            <a:ext uri="{FF2B5EF4-FFF2-40B4-BE49-F238E27FC236}">
              <a16:creationId xmlns:a16="http://schemas.microsoft.com/office/drawing/2014/main" id="{25A53955-2E14-4E49-B598-CCCE653FF8DF}"/>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4235" y="6558933"/>
          <a:ext cx="396000" cy="394318"/>
        </a:xfrm>
        <a:prstGeom prst="rect">
          <a:avLst/>
        </a:prstGeom>
      </xdr:spPr>
    </xdr:pic>
    <xdr:clientData/>
  </xdr:twoCellAnchor>
  <xdr:twoCellAnchor>
    <xdr:from>
      <xdr:col>0</xdr:col>
      <xdr:colOff>135137</xdr:colOff>
      <xdr:row>33</xdr:row>
      <xdr:rowOff>96665</xdr:rowOff>
    </xdr:from>
    <xdr:to>
      <xdr:col>0</xdr:col>
      <xdr:colOff>531137</xdr:colOff>
      <xdr:row>35</xdr:row>
      <xdr:rowOff>149765</xdr:rowOff>
    </xdr:to>
    <xdr:pic>
      <xdr:nvPicPr>
        <xdr:cNvPr id="21" name="Kuva 20">
          <a:hlinkClick xmlns:r="http://schemas.openxmlformats.org/officeDocument/2006/relationships" r:id="rId9"/>
          <a:extLst>
            <a:ext uri="{FF2B5EF4-FFF2-40B4-BE49-F238E27FC236}">
              <a16:creationId xmlns:a16="http://schemas.microsoft.com/office/drawing/2014/main" id="{8EE234D1-097D-42BE-801E-5CCD07C3DCCF}"/>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5137" y="6183140"/>
          <a:ext cx="396000" cy="357900"/>
        </a:xfrm>
        <a:prstGeom prst="rect">
          <a:avLst/>
        </a:prstGeom>
      </xdr:spPr>
    </xdr:pic>
    <xdr:clientData/>
  </xdr:twoCellAnchor>
  <xdr:twoCellAnchor>
    <xdr:from>
      <xdr:col>0</xdr:col>
      <xdr:colOff>133154</xdr:colOff>
      <xdr:row>31</xdr:row>
      <xdr:rowOff>5851</xdr:rowOff>
    </xdr:from>
    <xdr:to>
      <xdr:col>0</xdr:col>
      <xdr:colOff>529154</xdr:colOff>
      <xdr:row>33</xdr:row>
      <xdr:rowOff>97051</xdr:rowOff>
    </xdr:to>
    <xdr:pic>
      <xdr:nvPicPr>
        <xdr:cNvPr id="22" name="Kuva 21">
          <a:hlinkClick xmlns:r="http://schemas.openxmlformats.org/officeDocument/2006/relationships" r:id="rId11"/>
          <a:extLst>
            <a:ext uri="{FF2B5EF4-FFF2-40B4-BE49-F238E27FC236}">
              <a16:creationId xmlns:a16="http://schemas.microsoft.com/office/drawing/2014/main" id="{45056967-5C57-4ACA-865C-AEE42BFCCCC3}"/>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154" y="4806451"/>
          <a:ext cx="396000" cy="396000"/>
        </a:xfrm>
        <a:prstGeom prst="rect">
          <a:avLst/>
        </a:prstGeom>
      </xdr:spPr>
    </xdr:pic>
    <xdr:clientData/>
  </xdr:twoCellAnchor>
  <xdr:twoCellAnchor>
    <xdr:from>
      <xdr:col>0</xdr:col>
      <xdr:colOff>129500</xdr:colOff>
      <xdr:row>28</xdr:row>
      <xdr:rowOff>95962</xdr:rowOff>
    </xdr:from>
    <xdr:to>
      <xdr:col>0</xdr:col>
      <xdr:colOff>525500</xdr:colOff>
      <xdr:row>30</xdr:row>
      <xdr:rowOff>147635</xdr:rowOff>
    </xdr:to>
    <xdr:pic>
      <xdr:nvPicPr>
        <xdr:cNvPr id="23" name="Kuva 22">
          <a:extLst>
            <a:ext uri="{FF2B5EF4-FFF2-40B4-BE49-F238E27FC236}">
              <a16:creationId xmlns:a16="http://schemas.microsoft.com/office/drawing/2014/main" id="{AF2110F7-D8E8-4243-9931-09AFFA322E64}"/>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9500" y="5420437"/>
          <a:ext cx="396000" cy="356473"/>
        </a:xfrm>
        <a:prstGeom prst="rect">
          <a:avLst/>
        </a:prstGeom>
      </xdr:spPr>
    </xdr:pic>
    <xdr:clientData/>
  </xdr:twoCellAnchor>
  <xdr:twoCellAnchor>
    <xdr:from>
      <xdr:col>0</xdr:col>
      <xdr:colOff>133174</xdr:colOff>
      <xdr:row>26</xdr:row>
      <xdr:rowOff>19025</xdr:rowOff>
    </xdr:from>
    <xdr:to>
      <xdr:col>0</xdr:col>
      <xdr:colOff>529174</xdr:colOff>
      <xdr:row>28</xdr:row>
      <xdr:rowOff>72124</xdr:rowOff>
    </xdr:to>
    <xdr:pic>
      <xdr:nvPicPr>
        <xdr:cNvPr id="24" name="Kuva 23">
          <a:hlinkClick xmlns:r="http://schemas.openxmlformats.org/officeDocument/2006/relationships" r:id="rId14"/>
          <a:extLst>
            <a:ext uri="{FF2B5EF4-FFF2-40B4-BE49-F238E27FC236}">
              <a16:creationId xmlns:a16="http://schemas.microsoft.com/office/drawing/2014/main" id="{414F6AF0-ACD6-4FD4-A9BE-12E5A26FA094}"/>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3174" y="5038700"/>
          <a:ext cx="396000" cy="357899"/>
        </a:xfrm>
        <a:prstGeom prst="rect">
          <a:avLst/>
        </a:prstGeom>
      </xdr:spPr>
    </xdr:pic>
    <xdr:clientData/>
  </xdr:twoCellAnchor>
  <xdr:twoCellAnchor>
    <xdr:from>
      <xdr:col>0</xdr:col>
      <xdr:colOff>149716</xdr:colOff>
      <xdr:row>23</xdr:row>
      <xdr:rowOff>43517</xdr:rowOff>
    </xdr:from>
    <xdr:to>
      <xdr:col>0</xdr:col>
      <xdr:colOff>545716</xdr:colOff>
      <xdr:row>25</xdr:row>
      <xdr:rowOff>134717</xdr:rowOff>
    </xdr:to>
    <xdr:pic>
      <xdr:nvPicPr>
        <xdr:cNvPr id="25" name="Kuva 24">
          <a:hlinkClick xmlns:r="http://schemas.openxmlformats.org/officeDocument/2006/relationships" r:id="rId16"/>
          <a:extLst>
            <a:ext uri="{FF2B5EF4-FFF2-40B4-BE49-F238E27FC236}">
              <a16:creationId xmlns:a16="http://schemas.microsoft.com/office/drawing/2014/main" id="{63670973-6B4C-4BE4-A860-5BBB3C94FAA7}"/>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9716" y="3624917"/>
          <a:ext cx="396000" cy="396000"/>
        </a:xfrm>
        <a:prstGeom prst="rect">
          <a:avLst/>
        </a:prstGeom>
      </xdr:spPr>
    </xdr:pic>
    <xdr:clientData/>
  </xdr:twoCellAnchor>
  <xdr:twoCellAnchor>
    <xdr:from>
      <xdr:col>0</xdr:col>
      <xdr:colOff>160819</xdr:colOff>
      <xdr:row>20</xdr:row>
      <xdr:rowOff>82612</xdr:rowOff>
    </xdr:from>
    <xdr:to>
      <xdr:col>0</xdr:col>
      <xdr:colOff>556819</xdr:colOff>
      <xdr:row>23</xdr:row>
      <xdr:rowOff>21412</xdr:rowOff>
    </xdr:to>
    <xdr:pic>
      <xdr:nvPicPr>
        <xdr:cNvPr id="26" name="Kuva 25">
          <a:hlinkClick xmlns:r="http://schemas.openxmlformats.org/officeDocument/2006/relationships" r:id="rId9"/>
          <a:extLst>
            <a:ext uri="{FF2B5EF4-FFF2-40B4-BE49-F238E27FC236}">
              <a16:creationId xmlns:a16="http://schemas.microsoft.com/office/drawing/2014/main" id="{D2CA879D-3819-425C-9E6D-E0EF51219EE6}"/>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0819" y="3206812"/>
          <a:ext cx="396000" cy="396000"/>
        </a:xfrm>
        <a:prstGeom prst="rect">
          <a:avLst/>
        </a:prstGeom>
      </xdr:spPr>
    </xdr:pic>
    <xdr:clientData/>
  </xdr:twoCellAnchor>
  <xdr:twoCellAnchor>
    <xdr:from>
      <xdr:col>0</xdr:col>
      <xdr:colOff>168049</xdr:colOff>
      <xdr:row>17</xdr:row>
      <xdr:rowOff>142875</xdr:rowOff>
    </xdr:from>
    <xdr:to>
      <xdr:col>0</xdr:col>
      <xdr:colOff>564049</xdr:colOff>
      <xdr:row>20</xdr:row>
      <xdr:rowOff>66318</xdr:rowOff>
    </xdr:to>
    <xdr:pic>
      <xdr:nvPicPr>
        <xdr:cNvPr id="27" name="Kuva 26">
          <a:hlinkClick xmlns:r="http://schemas.openxmlformats.org/officeDocument/2006/relationships" r:id="rId11"/>
          <a:extLst>
            <a:ext uri="{FF2B5EF4-FFF2-40B4-BE49-F238E27FC236}">
              <a16:creationId xmlns:a16="http://schemas.microsoft.com/office/drawing/2014/main" id="{6BBB5729-DFA7-43C9-A12F-82612B263B49}"/>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049" y="2809875"/>
          <a:ext cx="396000" cy="380643"/>
        </a:xfrm>
        <a:prstGeom prst="rect">
          <a:avLst/>
        </a:prstGeom>
      </xdr:spPr>
    </xdr:pic>
    <xdr:clientData/>
  </xdr:twoCellAnchor>
  <xdr:twoCellAnchor>
    <xdr:from>
      <xdr:col>0</xdr:col>
      <xdr:colOff>184215</xdr:colOff>
      <xdr:row>15</xdr:row>
      <xdr:rowOff>28575</xdr:rowOff>
    </xdr:from>
    <xdr:to>
      <xdr:col>0</xdr:col>
      <xdr:colOff>580215</xdr:colOff>
      <xdr:row>17</xdr:row>
      <xdr:rowOff>119775</xdr:rowOff>
    </xdr:to>
    <xdr:pic>
      <xdr:nvPicPr>
        <xdr:cNvPr id="28" name="Kuva 27">
          <a:hlinkClick xmlns:r="http://schemas.openxmlformats.org/officeDocument/2006/relationships" r:id="rId20"/>
          <a:extLst>
            <a:ext uri="{FF2B5EF4-FFF2-40B4-BE49-F238E27FC236}">
              <a16:creationId xmlns:a16="http://schemas.microsoft.com/office/drawing/2014/main" id="{91141BB5-ADC3-448A-AB73-3A630DA707C7}"/>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4215" y="2390775"/>
          <a:ext cx="396000" cy="39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405767</xdr:colOff>
      <xdr:row>2</xdr:row>
      <xdr:rowOff>139882</xdr:rowOff>
    </xdr:from>
    <xdr:to>
      <xdr:col>8</xdr:col>
      <xdr:colOff>794658</xdr:colOff>
      <xdr:row>7</xdr:row>
      <xdr:rowOff>146957</xdr:rowOff>
    </xdr:to>
    <xdr:sp macro="" textlink="">
      <xdr:nvSpPr>
        <xdr:cNvPr id="3" name="AutoShape 189">
          <a:extLst>
            <a:ext uri="{FF2B5EF4-FFF2-40B4-BE49-F238E27FC236}">
              <a16:creationId xmlns:a16="http://schemas.microsoft.com/office/drawing/2014/main" id="{00000000-0008-0000-0500-000003000000}"/>
            </a:ext>
          </a:extLst>
        </xdr:cNvPr>
        <xdr:cNvSpPr>
          <a:spLocks noChangeArrowheads="1"/>
        </xdr:cNvSpPr>
      </xdr:nvSpPr>
      <xdr:spPr bwMode="auto">
        <a:xfrm>
          <a:off x="2980238" y="493668"/>
          <a:ext cx="3627391" cy="736418"/>
        </a:xfrm>
        <a:prstGeom prst="foldedCorner">
          <a:avLst>
            <a:gd name="adj" fmla="val 12500"/>
          </a:avLst>
        </a:prstGeom>
        <a:solidFill>
          <a:srgbClr val="FFC000"/>
        </a:solidFill>
        <a:ln w="15875">
          <a:solidFill>
            <a:srgbClr val="FFC000"/>
          </a:solidFill>
          <a:round/>
          <a:headEnd/>
          <a:tailEnd/>
        </a:ln>
      </xdr:spPr>
      <xdr:txBody>
        <a:bodyPr vertOverflow="clip" wrap="square" lIns="72000" tIns="36000" rIns="3600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t>IFYLLNADSDIREKTIV</a:t>
          </a:r>
          <a:b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br>
          <a:r>
            <a:rPr lang="fi-FI" sz="1000" b="0" i="0" strike="noStrike" baseline="0">
              <a:solidFill>
                <a:schemeClr val="tx1"/>
              </a:solidFill>
              <a:latin typeface="Arial" panose="020B0604020202020204" pitchFamily="34" charset="0"/>
              <a:ea typeface="Tahoma" panose="020B0604030504040204" pitchFamily="34" charset="0"/>
              <a:cs typeface="Arial" panose="020B0604020202020204" pitchFamily="34" charset="0"/>
            </a:rPr>
            <a:t>Kontrollera DRIFTSKAPITAL-tabellen på nedre kanten och dividend/privatuttag i cellerna R50 - U50!</a:t>
          </a:r>
          <a:endParaRPr lang="fi-FI" sz="1000" b="0" i="0" strike="noStrike">
            <a:solidFill>
              <a:schemeClr val="tx1"/>
            </a:solidFill>
            <a:latin typeface="Arial" panose="020B0604020202020204" pitchFamily="34" charset="0"/>
            <a:ea typeface="Tahoma" panose="020B0604030504040204" pitchFamily="34" charset="0"/>
            <a:cs typeface="Arial" panose="020B0604020202020204" pitchFamily="34" charset="0"/>
          </a:endParaRPr>
        </a:p>
      </xdr:txBody>
    </xdr:sp>
    <xdr:clientData fLocksWithSheet="0" fPrintsWithSheet="0"/>
  </xdr:twoCellAnchor>
  <xdr:twoCellAnchor editAs="oneCell">
    <xdr:from>
      <xdr:col>19</xdr:col>
      <xdr:colOff>678997</xdr:colOff>
      <xdr:row>1</xdr:row>
      <xdr:rowOff>50346</xdr:rowOff>
    </xdr:from>
    <xdr:to>
      <xdr:col>20</xdr:col>
      <xdr:colOff>769254</xdr:colOff>
      <xdr:row>3</xdr:row>
      <xdr:rowOff>20560</xdr:rowOff>
    </xdr:to>
    <xdr:pic>
      <xdr:nvPicPr>
        <xdr:cNvPr id="34" name="Kuva 33" descr="Företagstolken logo Liten .jpg">
          <a:extLst>
            <a:ext uri="{FF2B5EF4-FFF2-40B4-BE49-F238E27FC236}">
              <a16:creationId xmlns:a16="http://schemas.microsoft.com/office/drawing/2014/main" id="{00000000-0008-0000-0500-00002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51554" y="208189"/>
          <a:ext cx="972000"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333376</xdr:colOff>
      <xdr:row>1</xdr:row>
      <xdr:rowOff>76200</xdr:rowOff>
    </xdr:from>
    <xdr:to>
      <xdr:col>10</xdr:col>
      <xdr:colOff>523779</xdr:colOff>
      <xdr:row>3</xdr:row>
      <xdr:rowOff>46414</xdr:rowOff>
    </xdr:to>
    <xdr:pic>
      <xdr:nvPicPr>
        <xdr:cNvPr id="35" name="Kuva 34" descr="Företagstolken logo Liten .jpg">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57333" y="234043"/>
          <a:ext cx="1001389"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197925</xdr:colOff>
      <xdr:row>43</xdr:row>
      <xdr:rowOff>81297</xdr:rowOff>
    </xdr:from>
    <xdr:to>
      <xdr:col>0</xdr:col>
      <xdr:colOff>611447</xdr:colOff>
      <xdr:row>46</xdr:row>
      <xdr:rowOff>4038</xdr:rowOff>
    </xdr:to>
    <xdr:pic>
      <xdr:nvPicPr>
        <xdr:cNvPr id="100" name="Kuva 99">
          <a:hlinkClick xmlns:r="http://schemas.openxmlformats.org/officeDocument/2006/relationships" r:id="rId3"/>
          <a:extLst>
            <a:ext uri="{FF2B5EF4-FFF2-40B4-BE49-F238E27FC236}">
              <a16:creationId xmlns:a16="http://schemas.microsoft.com/office/drawing/2014/main" id="{B7E0C54A-92C5-48A4-B35F-A59DB53CFC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7925" y="13282947"/>
          <a:ext cx="413522" cy="408516"/>
        </a:xfrm>
        <a:prstGeom prst="rect">
          <a:avLst/>
        </a:prstGeom>
      </xdr:spPr>
    </xdr:pic>
    <xdr:clientData/>
  </xdr:twoCellAnchor>
  <xdr:twoCellAnchor>
    <xdr:from>
      <xdr:col>0</xdr:col>
      <xdr:colOff>192287</xdr:colOff>
      <xdr:row>38</xdr:row>
      <xdr:rowOff>57205</xdr:rowOff>
    </xdr:from>
    <xdr:to>
      <xdr:col>0</xdr:col>
      <xdr:colOff>597524</xdr:colOff>
      <xdr:row>40</xdr:row>
      <xdr:rowOff>146977</xdr:rowOff>
    </xdr:to>
    <xdr:pic>
      <xdr:nvPicPr>
        <xdr:cNvPr id="102" name="Kuva 101">
          <a:hlinkClick xmlns:r="http://schemas.openxmlformats.org/officeDocument/2006/relationships" r:id="rId5"/>
          <a:extLst>
            <a:ext uri="{FF2B5EF4-FFF2-40B4-BE49-F238E27FC236}">
              <a16:creationId xmlns:a16="http://schemas.microsoft.com/office/drawing/2014/main" id="{07E9F436-B1D1-4D61-94CC-AC3F8DA36A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2287" y="12449230"/>
          <a:ext cx="405237" cy="413622"/>
        </a:xfrm>
        <a:prstGeom prst="rect">
          <a:avLst/>
        </a:prstGeom>
      </xdr:spPr>
    </xdr:pic>
    <xdr:clientData/>
  </xdr:twoCellAnchor>
  <xdr:twoCellAnchor>
    <xdr:from>
      <xdr:col>0</xdr:col>
      <xdr:colOff>195747</xdr:colOff>
      <xdr:row>36</xdr:row>
      <xdr:rowOff>125596</xdr:rowOff>
    </xdr:from>
    <xdr:to>
      <xdr:col>0</xdr:col>
      <xdr:colOff>607608</xdr:colOff>
      <xdr:row>38</xdr:row>
      <xdr:rowOff>28576</xdr:rowOff>
    </xdr:to>
    <xdr:pic>
      <xdr:nvPicPr>
        <xdr:cNvPr id="103" name="Kuva 102">
          <a:hlinkClick xmlns:r="http://schemas.openxmlformats.org/officeDocument/2006/relationships" r:id="rId7"/>
          <a:extLst>
            <a:ext uri="{FF2B5EF4-FFF2-40B4-BE49-F238E27FC236}">
              <a16:creationId xmlns:a16="http://schemas.microsoft.com/office/drawing/2014/main" id="{056E9F78-C3BB-4458-B6D8-30B85BBC6E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5747" y="6469246"/>
          <a:ext cx="411861" cy="379230"/>
        </a:xfrm>
        <a:prstGeom prst="rect">
          <a:avLst/>
        </a:prstGeom>
      </xdr:spPr>
    </xdr:pic>
    <xdr:clientData/>
  </xdr:twoCellAnchor>
  <xdr:twoCellAnchor>
    <xdr:from>
      <xdr:col>0</xdr:col>
      <xdr:colOff>202979</xdr:colOff>
      <xdr:row>34</xdr:row>
      <xdr:rowOff>27108</xdr:rowOff>
    </xdr:from>
    <xdr:to>
      <xdr:col>0</xdr:col>
      <xdr:colOff>608216</xdr:colOff>
      <xdr:row>36</xdr:row>
      <xdr:rowOff>123960</xdr:rowOff>
    </xdr:to>
    <xdr:pic>
      <xdr:nvPicPr>
        <xdr:cNvPr id="104" name="Kuva 103">
          <a:hlinkClick xmlns:r="http://schemas.openxmlformats.org/officeDocument/2006/relationships" r:id="rId9"/>
          <a:extLst>
            <a:ext uri="{FF2B5EF4-FFF2-40B4-BE49-F238E27FC236}">
              <a16:creationId xmlns:a16="http://schemas.microsoft.com/office/drawing/2014/main" id="{CB2BCF92-814A-4653-8A6A-76E4C1912CA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2979" y="11609508"/>
          <a:ext cx="405237" cy="420702"/>
        </a:xfrm>
        <a:prstGeom prst="rect">
          <a:avLst/>
        </a:prstGeom>
      </xdr:spPr>
    </xdr:pic>
    <xdr:clientData/>
  </xdr:twoCellAnchor>
  <xdr:twoCellAnchor>
    <xdr:from>
      <xdr:col>0</xdr:col>
      <xdr:colOff>201207</xdr:colOff>
      <xdr:row>31</xdr:row>
      <xdr:rowOff>88421</xdr:rowOff>
    </xdr:from>
    <xdr:to>
      <xdr:col>0</xdr:col>
      <xdr:colOff>610421</xdr:colOff>
      <xdr:row>34</xdr:row>
      <xdr:rowOff>20785</xdr:rowOff>
    </xdr:to>
    <xdr:pic>
      <xdr:nvPicPr>
        <xdr:cNvPr id="105" name="Kuva 104">
          <a:hlinkClick xmlns:r="http://schemas.openxmlformats.org/officeDocument/2006/relationships" r:id="rId11"/>
          <a:extLst>
            <a:ext uri="{FF2B5EF4-FFF2-40B4-BE49-F238E27FC236}">
              <a16:creationId xmlns:a16="http://schemas.microsoft.com/office/drawing/2014/main" id="{7ABF4E36-0547-4838-94FD-62E8D43AC39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1207" y="11185046"/>
          <a:ext cx="409214" cy="418139"/>
        </a:xfrm>
        <a:prstGeom prst="rect">
          <a:avLst/>
        </a:prstGeom>
      </xdr:spPr>
    </xdr:pic>
    <xdr:clientData/>
  </xdr:twoCellAnchor>
  <xdr:twoCellAnchor>
    <xdr:from>
      <xdr:col>0</xdr:col>
      <xdr:colOff>198919</xdr:colOff>
      <xdr:row>26</xdr:row>
      <xdr:rowOff>149287</xdr:rowOff>
    </xdr:from>
    <xdr:to>
      <xdr:col>0</xdr:col>
      <xdr:colOff>607393</xdr:colOff>
      <xdr:row>29</xdr:row>
      <xdr:rowOff>80286</xdr:rowOff>
    </xdr:to>
    <xdr:pic>
      <xdr:nvPicPr>
        <xdr:cNvPr id="107" name="Kuva 106">
          <a:hlinkClick xmlns:r="http://schemas.openxmlformats.org/officeDocument/2006/relationships" r:id="rId5"/>
          <a:extLst>
            <a:ext uri="{FF2B5EF4-FFF2-40B4-BE49-F238E27FC236}">
              <a16:creationId xmlns:a16="http://schemas.microsoft.com/office/drawing/2014/main" id="{4D4AB80A-E775-4CF8-923B-BF246537819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8919" y="4635562"/>
          <a:ext cx="408474" cy="416774"/>
        </a:xfrm>
        <a:prstGeom prst="rect">
          <a:avLst/>
        </a:prstGeom>
      </xdr:spPr>
    </xdr:pic>
    <xdr:clientData/>
  </xdr:twoCellAnchor>
  <xdr:twoCellAnchor>
    <xdr:from>
      <xdr:col>0</xdr:col>
      <xdr:colOff>206149</xdr:colOff>
      <xdr:row>24</xdr:row>
      <xdr:rowOff>32268</xdr:rowOff>
    </xdr:from>
    <xdr:to>
      <xdr:col>0</xdr:col>
      <xdr:colOff>618433</xdr:colOff>
      <xdr:row>26</xdr:row>
      <xdr:rowOff>125900</xdr:rowOff>
    </xdr:to>
    <xdr:pic>
      <xdr:nvPicPr>
        <xdr:cNvPr id="108" name="Kuva 107">
          <a:hlinkClick xmlns:r="http://schemas.openxmlformats.org/officeDocument/2006/relationships" r:id="rId7"/>
          <a:extLst>
            <a:ext uri="{FF2B5EF4-FFF2-40B4-BE49-F238E27FC236}">
              <a16:creationId xmlns:a16="http://schemas.microsoft.com/office/drawing/2014/main" id="{7D38E7D5-CB17-401C-AA2E-EEA52A7A8BB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06149" y="4194693"/>
          <a:ext cx="412284" cy="417482"/>
        </a:xfrm>
        <a:prstGeom prst="rect">
          <a:avLst/>
        </a:prstGeom>
      </xdr:spPr>
    </xdr:pic>
    <xdr:clientData/>
  </xdr:twoCellAnchor>
  <xdr:twoCellAnchor>
    <xdr:from>
      <xdr:col>0</xdr:col>
      <xdr:colOff>216872</xdr:colOff>
      <xdr:row>21</xdr:row>
      <xdr:rowOff>38100</xdr:rowOff>
    </xdr:from>
    <xdr:to>
      <xdr:col>0</xdr:col>
      <xdr:colOff>623575</xdr:colOff>
      <xdr:row>23</xdr:row>
      <xdr:rowOff>132871</xdr:rowOff>
    </xdr:to>
    <xdr:pic>
      <xdr:nvPicPr>
        <xdr:cNvPr id="109" name="Kuva 108">
          <a:hlinkClick xmlns:r="http://schemas.openxmlformats.org/officeDocument/2006/relationships" r:id="rId15"/>
          <a:extLst>
            <a:ext uri="{FF2B5EF4-FFF2-40B4-BE49-F238E27FC236}">
              <a16:creationId xmlns:a16="http://schemas.microsoft.com/office/drawing/2014/main" id="{E5A9A5E6-7BFF-4E53-9DB1-AC0F2C69A3E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6872" y="3705225"/>
          <a:ext cx="406703" cy="428146"/>
        </a:xfrm>
        <a:prstGeom prst="rect">
          <a:avLst/>
        </a:prstGeom>
      </xdr:spPr>
    </xdr:pic>
    <xdr:clientData/>
  </xdr:twoCellAnchor>
  <xdr:twoCellAnchor>
    <xdr:from>
      <xdr:col>0</xdr:col>
      <xdr:colOff>196082</xdr:colOff>
      <xdr:row>46</xdr:row>
      <xdr:rowOff>19055</xdr:rowOff>
    </xdr:from>
    <xdr:to>
      <xdr:col>0</xdr:col>
      <xdr:colOff>611240</xdr:colOff>
      <xdr:row>48</xdr:row>
      <xdr:rowOff>109706</xdr:rowOff>
    </xdr:to>
    <xdr:pic>
      <xdr:nvPicPr>
        <xdr:cNvPr id="110" name="Kuva 109" descr="Tulostin">
          <a:hlinkClick xmlns:r="http://schemas.openxmlformats.org/officeDocument/2006/relationships" r:id="rId17"/>
          <a:extLst>
            <a:ext uri="{FF2B5EF4-FFF2-40B4-BE49-F238E27FC236}">
              <a16:creationId xmlns:a16="http://schemas.microsoft.com/office/drawing/2014/main" id="{F86284EE-AA44-44B2-B171-09ECF3BC8D9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96082" y="13706480"/>
          <a:ext cx="415158" cy="414501"/>
        </a:xfrm>
        <a:prstGeom prst="rect">
          <a:avLst/>
        </a:prstGeom>
      </xdr:spPr>
    </xdr:pic>
    <xdr:clientData/>
  </xdr:twoCellAnchor>
  <xdr:twoCellAnchor>
    <xdr:from>
      <xdr:col>0</xdr:col>
      <xdr:colOff>180975</xdr:colOff>
      <xdr:row>41</xdr:row>
      <xdr:rowOff>0</xdr:rowOff>
    </xdr:from>
    <xdr:to>
      <xdr:col>0</xdr:col>
      <xdr:colOff>590174</xdr:colOff>
      <xdr:row>43</xdr:row>
      <xdr:rowOff>74581</xdr:rowOff>
    </xdr:to>
    <xdr:pic>
      <xdr:nvPicPr>
        <xdr:cNvPr id="16" name="Kuva 15">
          <a:extLst>
            <a:ext uri="{FF2B5EF4-FFF2-40B4-BE49-F238E27FC236}">
              <a16:creationId xmlns:a16="http://schemas.microsoft.com/office/drawing/2014/main" id="{CEDDBB36-78E2-4404-BA12-8A4B37AED33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0975" y="9563100"/>
          <a:ext cx="409199" cy="398431"/>
        </a:xfrm>
        <a:prstGeom prst="rect">
          <a:avLst/>
        </a:prstGeom>
      </xdr:spPr>
    </xdr:pic>
    <xdr:clientData/>
  </xdr:twoCellAnchor>
  <xdr:twoCellAnchor>
    <xdr:from>
      <xdr:col>0</xdr:col>
      <xdr:colOff>190500</xdr:colOff>
      <xdr:row>29</xdr:row>
      <xdr:rowOff>114300</xdr:rowOff>
    </xdr:from>
    <xdr:to>
      <xdr:col>0</xdr:col>
      <xdr:colOff>606984</xdr:colOff>
      <xdr:row>31</xdr:row>
      <xdr:rowOff>76200</xdr:rowOff>
    </xdr:to>
    <xdr:pic>
      <xdr:nvPicPr>
        <xdr:cNvPr id="17" name="Kuva 16">
          <a:hlinkClick xmlns:r="http://schemas.openxmlformats.org/officeDocument/2006/relationships" r:id="rId21"/>
          <a:extLst>
            <a:ext uri="{FF2B5EF4-FFF2-40B4-BE49-F238E27FC236}">
              <a16:creationId xmlns:a16="http://schemas.microsoft.com/office/drawing/2014/main" id="{76664C0F-B168-4B2E-85D0-54EE59AE544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0500" y="5086350"/>
          <a:ext cx="416484" cy="419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568643</xdr:colOff>
      <xdr:row>0</xdr:row>
      <xdr:rowOff>103415</xdr:rowOff>
    </xdr:from>
    <xdr:ext cx="7894320" cy="1687014"/>
    <xdr:sp macro="" textlink="">
      <xdr:nvSpPr>
        <xdr:cNvPr id="2" name="AutoShape 189">
          <a:extLst>
            <a:ext uri="{FF2B5EF4-FFF2-40B4-BE49-F238E27FC236}">
              <a16:creationId xmlns:a16="http://schemas.microsoft.com/office/drawing/2014/main" id="{00000000-0008-0000-0600-000002000000}"/>
            </a:ext>
          </a:extLst>
        </xdr:cNvPr>
        <xdr:cNvSpPr>
          <a:spLocks noChangeArrowheads="1"/>
        </xdr:cNvSpPr>
      </xdr:nvSpPr>
      <xdr:spPr bwMode="auto">
        <a:xfrm>
          <a:off x="2081757" y="103415"/>
          <a:ext cx="7894320" cy="1687014"/>
        </a:xfrm>
        <a:prstGeom prst="foldedCorner">
          <a:avLst>
            <a:gd name="adj" fmla="val 12500"/>
          </a:avLst>
        </a:prstGeom>
        <a:solidFill>
          <a:srgbClr val="FFC000">
            <a:alpha val="88000"/>
          </a:srgbClr>
        </a:solidFill>
        <a:ln w="15875">
          <a:solidFill>
            <a:srgbClr val="FFC000"/>
          </a:solidFill>
          <a:round/>
          <a:headEnd/>
          <a:tailEnd/>
        </a:ln>
      </xdr:spPr>
      <xdr:txBody>
        <a:bodyPr vertOverflow="clip" wrap="square" lIns="144000" tIns="144000" rIns="144000" bIns="0" anchor="ctr" anchorCtr="0" upright="1">
          <a:no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1" i="0" strike="noStrike">
              <a:solidFill>
                <a:srgbClr val="000000"/>
              </a:solidFill>
              <a:latin typeface="Arial" panose="020B0604020202020204" pitchFamily="34" charset="0"/>
              <a:ea typeface="Tahoma" panose="020B0604030504040204" pitchFamily="34" charset="0"/>
              <a:cs typeface="Arial" panose="020B0604020202020204" pitchFamily="34" charset="0"/>
            </a:rPr>
            <a:t>IFYLLNADSDIREKTIV</a:t>
          </a: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Du kan upprätta kassabudgeten för prognoser 1 eller 2. Obs.! Om du gör båda åren, spara första alternativet till din dator.</a:t>
          </a: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a:t>
          </a:r>
          <a:r>
            <a:rPr lang="fi-FI" sz="1000" b="1"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Viktigt! Bedöma andel av kontant- och fakturaförsäljning samt försäljning / månad i procentar</a:t>
          </a: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 Använd riktiga Moms-procentar!</a:t>
          </a: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baseline="0">
              <a:effectLst/>
              <a:latin typeface="Arial" panose="020B0604020202020204" pitchFamily="34" charset="0"/>
              <a:ea typeface="Tahoma" panose="020B0604030504040204" pitchFamily="34" charset="0"/>
              <a:cs typeface="Arial" panose="020B0604020202020204" pitchFamily="34" charset="0"/>
            </a:rPr>
            <a:t>- LÄGG TILL I PUNKT 4: Från tabell 1. T1 INVSTERINGSPLAN punkt 14 Övrig egen finansiering, försäljning av egendom.</a:t>
          </a: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baseline="0">
              <a:effectLst/>
              <a:latin typeface="Arial" panose="020B0604020202020204" pitchFamily="34" charset="0"/>
              <a:ea typeface="Tahoma" panose="020B0604030504040204" pitchFamily="34" charset="0"/>
              <a:cs typeface="Arial" panose="020B0604020202020204" pitchFamily="34" charset="0"/>
            </a:rPr>
            <a:t>- LÄGG TILL I PUNKT 9: Från tabell 1. T1 INVSTERINGSPLAN investeringar inkl. Moms. Kom ihåg minska leasingfinansiering.</a:t>
          </a:r>
          <a:endParaRPr lang="fi-FI" sz="1000" b="0" i="0">
            <a:effectLst/>
            <a:latin typeface="Arial" panose="020B0604020202020204" pitchFamily="34" charset="0"/>
            <a:ea typeface="Tahoma" panose="020B0604030504040204" pitchFamily="34" charset="0"/>
            <a:cs typeface="Arial" panose="020B0604020202020204" pitchFamily="34" charset="0"/>
          </a:endParaRPr>
        </a:p>
        <a:p>
          <a:pPr rtl="0" eaLnBrk="1" fontAlgn="auto" latinLnBrk="0" hangingPunct="1"/>
          <a:r>
            <a:rPr lang="fi-FI" sz="1000" b="0" i="0" baseline="0">
              <a:effectLst/>
              <a:latin typeface="Arial" panose="020B0604020202020204" pitchFamily="34" charset="0"/>
              <a:ea typeface="Tahoma" panose="020B0604030504040204" pitchFamily="34" charset="0"/>
              <a:cs typeface="Arial" panose="020B0604020202020204" pitchFamily="34" charset="0"/>
            </a:rPr>
            <a:t>- LÄGG TILL I PUNKT 23: Från tabell 1. T1 INVSTERINGSPLAN investeringar Moms 0 %. Kom ihåg minska leasingfinansiering.</a:t>
          </a:r>
          <a:endParaRPr lang="fi-FI" sz="1000" b="0" i="0">
            <a:effectLst/>
            <a:latin typeface="Arial" panose="020B0604020202020204" pitchFamily="34" charset="0"/>
            <a:ea typeface="Tahoma" panose="020B0604030504040204" pitchFamily="34" charset="0"/>
            <a:cs typeface="Arial" panose="020B0604020202020204" pitchFamily="34" charset="0"/>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strike="noStrike" baseline="0">
              <a:solidFill>
                <a:srgbClr val="000000"/>
              </a:solidFill>
              <a:effectLst/>
              <a:latin typeface="Arial" panose="020B0604020202020204" pitchFamily="34" charset="0"/>
              <a:ea typeface="Tahoma" panose="020B0604030504040204" pitchFamily="34" charset="0"/>
              <a:cs typeface="Arial" panose="020B0604020202020204" pitchFamily="34" charset="0"/>
            </a:rPr>
            <a:t>- LÄGG TILL I PUNKT 30: Privata uttag / dividendbetalning</a:t>
          </a:r>
        </a:p>
        <a:p>
          <a:pPr marL="0" marR="0" lvl="0" indent="0" algn="l" defTabSz="914400" rtl="0" eaLnBrk="1" fontAlgn="auto" latinLnBrk="0" hangingPunct="1">
            <a:lnSpc>
              <a:spcPts val="1400"/>
            </a:lnSpc>
            <a:spcBef>
              <a:spcPts val="0"/>
            </a:spcBef>
            <a:spcAft>
              <a:spcPts val="0"/>
            </a:spcAft>
            <a:buClrTx/>
            <a:buSzTx/>
            <a:buFontTx/>
            <a:buNone/>
            <a:tabLst/>
            <a:defRPr sz="1000"/>
          </a:pPr>
          <a:r>
            <a:rPr lang="fi-FI" sz="1000" b="0" i="0" strike="noStrike" baseline="0">
              <a:solidFill>
                <a:srgbClr val="000000"/>
              </a:solidFill>
              <a:effectLst/>
              <a:latin typeface="Arial" panose="020B0604020202020204" pitchFamily="34" charset="0"/>
              <a:ea typeface="Tahoma" panose="020B0604030504040204" pitchFamily="34" charset="0"/>
              <a:cs typeface="Arial" panose="020B0604020202020204" pitchFamily="34" charset="0"/>
            </a:rPr>
            <a:t>- </a:t>
          </a:r>
          <a:r>
            <a:rPr lang="fi-FI" sz="1000" b="0" i="0" strike="noStrike" baseline="0">
              <a:solidFill>
                <a:srgbClr val="000000"/>
              </a:solidFill>
              <a:latin typeface="Arial" panose="020B0604020202020204" pitchFamily="34" charset="0"/>
              <a:ea typeface="Tahoma" panose="020B0604030504040204" pitchFamily="34" charset="0"/>
              <a:cs typeface="Arial" panose="020B0604020202020204" pitchFamily="34" charset="0"/>
            </a:rPr>
            <a:t>Låneavkortningar händer 2 gånger/år. Förändra om behövs.  </a:t>
          </a:r>
        </a:p>
      </xdr:txBody>
    </xdr:sp>
    <xdr:clientData fLocksWithSheet="0" fPrintsWithSheet="0"/>
  </xdr:oneCellAnchor>
  <xdr:twoCellAnchor>
    <xdr:from>
      <xdr:col>2</xdr:col>
      <xdr:colOff>198120</xdr:colOff>
      <xdr:row>69</xdr:row>
      <xdr:rowOff>158115</xdr:rowOff>
    </xdr:from>
    <xdr:to>
      <xdr:col>18</xdr:col>
      <xdr:colOff>228599</xdr:colOff>
      <xdr:row>100</xdr:row>
      <xdr:rowOff>22860</xdr:rowOff>
    </xdr:to>
    <xdr:graphicFrame macro="">
      <xdr:nvGraphicFramePr>
        <xdr:cNvPr id="5474107" name="Kaavio 3">
          <a:extLst>
            <a:ext uri="{FF2B5EF4-FFF2-40B4-BE49-F238E27FC236}">
              <a16:creationId xmlns:a16="http://schemas.microsoft.com/office/drawing/2014/main" id="{00000000-0008-0000-0600-00003B87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346075</xdr:colOff>
      <xdr:row>9</xdr:row>
      <xdr:rowOff>64770</xdr:rowOff>
    </xdr:from>
    <xdr:to>
      <xdr:col>18</xdr:col>
      <xdr:colOff>648335</xdr:colOff>
      <xdr:row>11</xdr:row>
      <xdr:rowOff>85090</xdr:rowOff>
    </xdr:to>
    <xdr:pic>
      <xdr:nvPicPr>
        <xdr:cNvPr id="33" name="Kuva 32" descr="Företagstolken logo Liten .jpg">
          <a:extLst>
            <a:ext uri="{FF2B5EF4-FFF2-40B4-BE49-F238E27FC236}">
              <a16:creationId xmlns:a16="http://schemas.microsoft.com/office/drawing/2014/main" id="{40A3E061-1C77-478D-9850-0A23B13343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52325" y="1995170"/>
          <a:ext cx="981710" cy="344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209550</xdr:colOff>
      <xdr:row>64</xdr:row>
      <xdr:rowOff>76200</xdr:rowOff>
    </xdr:from>
    <xdr:to>
      <xdr:col>18</xdr:col>
      <xdr:colOff>647700</xdr:colOff>
      <xdr:row>67</xdr:row>
      <xdr:rowOff>3175</xdr:rowOff>
    </xdr:to>
    <xdr:pic>
      <xdr:nvPicPr>
        <xdr:cNvPr id="36" name="Kuva 35" descr="Företagstolken logo Liten .jpg">
          <a:extLst>
            <a:ext uri="{FF2B5EF4-FFF2-40B4-BE49-F238E27FC236}">
              <a16:creationId xmlns:a16="http://schemas.microsoft.com/office/drawing/2014/main" id="{76F0F249-C254-4C67-8EA3-779800FB7C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53800" y="108108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192287</xdr:colOff>
      <xdr:row>43</xdr:row>
      <xdr:rowOff>57205</xdr:rowOff>
    </xdr:from>
    <xdr:to>
      <xdr:col>0</xdr:col>
      <xdr:colOff>597524</xdr:colOff>
      <xdr:row>45</xdr:row>
      <xdr:rowOff>146977</xdr:rowOff>
    </xdr:to>
    <xdr:pic>
      <xdr:nvPicPr>
        <xdr:cNvPr id="31" name="Kuva 30">
          <a:hlinkClick xmlns:r="http://schemas.openxmlformats.org/officeDocument/2006/relationships" r:id="rId4"/>
          <a:extLst>
            <a:ext uri="{FF2B5EF4-FFF2-40B4-BE49-F238E27FC236}">
              <a16:creationId xmlns:a16="http://schemas.microsoft.com/office/drawing/2014/main" id="{5B5D85C9-EC5F-4C36-BD24-7BF6F8EC42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2287" y="8972605"/>
          <a:ext cx="405237" cy="413622"/>
        </a:xfrm>
        <a:prstGeom prst="rect">
          <a:avLst/>
        </a:prstGeom>
      </xdr:spPr>
    </xdr:pic>
    <xdr:clientData/>
  </xdr:twoCellAnchor>
  <xdr:twoCellAnchor>
    <xdr:from>
      <xdr:col>0</xdr:col>
      <xdr:colOff>195747</xdr:colOff>
      <xdr:row>40</xdr:row>
      <xdr:rowOff>125595</xdr:rowOff>
    </xdr:from>
    <xdr:to>
      <xdr:col>0</xdr:col>
      <xdr:colOff>607608</xdr:colOff>
      <xdr:row>43</xdr:row>
      <xdr:rowOff>57861</xdr:rowOff>
    </xdr:to>
    <xdr:pic>
      <xdr:nvPicPr>
        <xdr:cNvPr id="32" name="Kuva 31">
          <a:hlinkClick xmlns:r="http://schemas.openxmlformats.org/officeDocument/2006/relationships" r:id="rId6"/>
          <a:extLst>
            <a:ext uri="{FF2B5EF4-FFF2-40B4-BE49-F238E27FC236}">
              <a16:creationId xmlns:a16="http://schemas.microsoft.com/office/drawing/2014/main" id="{2DAB8EA0-17B6-419C-8131-F734F80B6F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5747" y="8555220"/>
          <a:ext cx="411861" cy="418041"/>
        </a:xfrm>
        <a:prstGeom prst="rect">
          <a:avLst/>
        </a:prstGeom>
      </xdr:spPr>
    </xdr:pic>
    <xdr:clientData/>
  </xdr:twoCellAnchor>
  <xdr:twoCellAnchor>
    <xdr:from>
      <xdr:col>0</xdr:col>
      <xdr:colOff>202979</xdr:colOff>
      <xdr:row>38</xdr:row>
      <xdr:rowOff>27108</xdr:rowOff>
    </xdr:from>
    <xdr:to>
      <xdr:col>0</xdr:col>
      <xdr:colOff>608216</xdr:colOff>
      <xdr:row>40</xdr:row>
      <xdr:rowOff>123960</xdr:rowOff>
    </xdr:to>
    <xdr:pic>
      <xdr:nvPicPr>
        <xdr:cNvPr id="34" name="Kuva 33">
          <a:hlinkClick xmlns:r="http://schemas.openxmlformats.org/officeDocument/2006/relationships" r:id="rId8"/>
          <a:extLst>
            <a:ext uri="{FF2B5EF4-FFF2-40B4-BE49-F238E27FC236}">
              <a16:creationId xmlns:a16="http://schemas.microsoft.com/office/drawing/2014/main" id="{0FC81C1C-DB67-41EF-9632-3B7D10F3DFB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2979" y="8132883"/>
          <a:ext cx="405237" cy="420702"/>
        </a:xfrm>
        <a:prstGeom prst="rect">
          <a:avLst/>
        </a:prstGeom>
      </xdr:spPr>
    </xdr:pic>
    <xdr:clientData/>
  </xdr:twoCellAnchor>
  <xdr:twoCellAnchor>
    <xdr:from>
      <xdr:col>0</xdr:col>
      <xdr:colOff>201207</xdr:colOff>
      <xdr:row>35</xdr:row>
      <xdr:rowOff>88421</xdr:rowOff>
    </xdr:from>
    <xdr:to>
      <xdr:col>0</xdr:col>
      <xdr:colOff>610421</xdr:colOff>
      <xdr:row>38</xdr:row>
      <xdr:rowOff>20785</xdr:rowOff>
    </xdr:to>
    <xdr:pic>
      <xdr:nvPicPr>
        <xdr:cNvPr id="35" name="Kuva 34">
          <a:hlinkClick xmlns:r="http://schemas.openxmlformats.org/officeDocument/2006/relationships" r:id="rId10"/>
          <a:extLst>
            <a:ext uri="{FF2B5EF4-FFF2-40B4-BE49-F238E27FC236}">
              <a16:creationId xmlns:a16="http://schemas.microsoft.com/office/drawing/2014/main" id="{9A9FBBD0-3F1B-42B6-95BB-A4D7908804F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1207" y="7708421"/>
          <a:ext cx="409214" cy="418139"/>
        </a:xfrm>
        <a:prstGeom prst="rect">
          <a:avLst/>
        </a:prstGeom>
      </xdr:spPr>
    </xdr:pic>
    <xdr:clientData/>
  </xdr:twoCellAnchor>
  <xdr:twoCellAnchor>
    <xdr:from>
      <xdr:col>0</xdr:col>
      <xdr:colOff>198919</xdr:colOff>
      <xdr:row>30</xdr:row>
      <xdr:rowOff>54037</xdr:rowOff>
    </xdr:from>
    <xdr:to>
      <xdr:col>0</xdr:col>
      <xdr:colOff>607393</xdr:colOff>
      <xdr:row>32</xdr:row>
      <xdr:rowOff>146961</xdr:rowOff>
    </xdr:to>
    <xdr:pic>
      <xdr:nvPicPr>
        <xdr:cNvPr id="37" name="Kuva 36">
          <a:hlinkClick xmlns:r="http://schemas.openxmlformats.org/officeDocument/2006/relationships" r:id="rId4"/>
          <a:extLst>
            <a:ext uri="{FF2B5EF4-FFF2-40B4-BE49-F238E27FC236}">
              <a16:creationId xmlns:a16="http://schemas.microsoft.com/office/drawing/2014/main" id="{0A701375-BE6B-49A7-BAB5-8731EB7C44B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8919" y="6864412"/>
          <a:ext cx="408474" cy="416774"/>
        </a:xfrm>
        <a:prstGeom prst="rect">
          <a:avLst/>
        </a:prstGeom>
      </xdr:spPr>
    </xdr:pic>
    <xdr:clientData/>
  </xdr:twoCellAnchor>
  <xdr:twoCellAnchor>
    <xdr:from>
      <xdr:col>0</xdr:col>
      <xdr:colOff>206149</xdr:colOff>
      <xdr:row>27</xdr:row>
      <xdr:rowOff>108468</xdr:rowOff>
    </xdr:from>
    <xdr:to>
      <xdr:col>0</xdr:col>
      <xdr:colOff>618433</xdr:colOff>
      <xdr:row>30</xdr:row>
      <xdr:rowOff>40175</xdr:rowOff>
    </xdr:to>
    <xdr:pic>
      <xdr:nvPicPr>
        <xdr:cNvPr id="38" name="Kuva 37">
          <a:hlinkClick xmlns:r="http://schemas.openxmlformats.org/officeDocument/2006/relationships" r:id="rId6"/>
          <a:extLst>
            <a:ext uri="{FF2B5EF4-FFF2-40B4-BE49-F238E27FC236}">
              <a16:creationId xmlns:a16="http://schemas.microsoft.com/office/drawing/2014/main" id="{2030B44B-9D32-4B61-BFCC-4B226B6DA1B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6149" y="6433068"/>
          <a:ext cx="412284" cy="417482"/>
        </a:xfrm>
        <a:prstGeom prst="rect">
          <a:avLst/>
        </a:prstGeom>
      </xdr:spPr>
    </xdr:pic>
    <xdr:clientData/>
  </xdr:twoCellAnchor>
  <xdr:twoCellAnchor>
    <xdr:from>
      <xdr:col>0</xdr:col>
      <xdr:colOff>204807</xdr:colOff>
      <xdr:row>25</xdr:row>
      <xdr:rowOff>69850</xdr:rowOff>
    </xdr:from>
    <xdr:to>
      <xdr:col>0</xdr:col>
      <xdr:colOff>612780</xdr:colOff>
      <xdr:row>27</xdr:row>
      <xdr:rowOff>113821</xdr:rowOff>
    </xdr:to>
    <xdr:pic>
      <xdr:nvPicPr>
        <xdr:cNvPr id="39" name="Kuva 38">
          <a:hlinkClick xmlns:r="http://schemas.openxmlformats.org/officeDocument/2006/relationships" r:id="rId14"/>
          <a:extLst>
            <a:ext uri="{FF2B5EF4-FFF2-40B4-BE49-F238E27FC236}">
              <a16:creationId xmlns:a16="http://schemas.microsoft.com/office/drawing/2014/main" id="{0F6D75BE-7D00-437C-9FC2-7D45C50777A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04807" y="4476750"/>
          <a:ext cx="407973" cy="393221"/>
        </a:xfrm>
        <a:prstGeom prst="rect">
          <a:avLst/>
        </a:prstGeom>
      </xdr:spPr>
    </xdr:pic>
    <xdr:clientData/>
  </xdr:twoCellAnchor>
  <xdr:twoCellAnchor>
    <xdr:from>
      <xdr:col>0</xdr:col>
      <xdr:colOff>182287</xdr:colOff>
      <xdr:row>52</xdr:row>
      <xdr:rowOff>72592</xdr:rowOff>
    </xdr:from>
    <xdr:to>
      <xdr:col>0</xdr:col>
      <xdr:colOff>597445</xdr:colOff>
      <xdr:row>55</xdr:row>
      <xdr:rowOff>10843</xdr:rowOff>
    </xdr:to>
    <xdr:pic>
      <xdr:nvPicPr>
        <xdr:cNvPr id="40" name="Kuva 39" descr="Tulostin">
          <a:hlinkClick xmlns:r="http://schemas.openxmlformats.org/officeDocument/2006/relationships" r:id="rId16"/>
          <a:extLst>
            <a:ext uri="{FF2B5EF4-FFF2-40B4-BE49-F238E27FC236}">
              <a16:creationId xmlns:a16="http://schemas.microsoft.com/office/drawing/2014/main" id="{C9ADE7D5-1BF6-4215-842C-2D4A2973CB9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82287" y="8099868"/>
          <a:ext cx="415158" cy="391509"/>
        </a:xfrm>
        <a:prstGeom prst="rect">
          <a:avLst/>
        </a:prstGeom>
      </xdr:spPr>
    </xdr:pic>
    <xdr:clientData/>
  </xdr:twoCellAnchor>
  <xdr:twoCellAnchor>
    <xdr:from>
      <xdr:col>0</xdr:col>
      <xdr:colOff>190500</xdr:colOff>
      <xdr:row>32</xdr:row>
      <xdr:rowOff>152400</xdr:rowOff>
    </xdr:from>
    <xdr:to>
      <xdr:col>0</xdr:col>
      <xdr:colOff>606984</xdr:colOff>
      <xdr:row>35</xdr:row>
      <xdr:rowOff>62331</xdr:rowOff>
    </xdr:to>
    <xdr:pic>
      <xdr:nvPicPr>
        <xdr:cNvPr id="42" name="Kuva 41">
          <a:hlinkClick xmlns:r="http://schemas.openxmlformats.org/officeDocument/2006/relationships" r:id="rId19"/>
          <a:extLst>
            <a:ext uri="{FF2B5EF4-FFF2-40B4-BE49-F238E27FC236}">
              <a16:creationId xmlns:a16="http://schemas.microsoft.com/office/drawing/2014/main" id="{CB66895A-5B3D-4CA9-A5EE-61633B2F072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90500" y="7286625"/>
          <a:ext cx="416484" cy="395706"/>
        </a:xfrm>
        <a:prstGeom prst="rect">
          <a:avLst/>
        </a:prstGeom>
      </xdr:spPr>
    </xdr:pic>
    <xdr:clientData/>
  </xdr:twoCellAnchor>
  <xdr:twoCellAnchor>
    <xdr:from>
      <xdr:col>0</xdr:col>
      <xdr:colOff>176289</xdr:colOff>
      <xdr:row>49</xdr:row>
      <xdr:rowOff>82156</xdr:rowOff>
    </xdr:from>
    <xdr:to>
      <xdr:col>0</xdr:col>
      <xdr:colOff>580983</xdr:colOff>
      <xdr:row>51</xdr:row>
      <xdr:rowOff>146050</xdr:rowOff>
    </xdr:to>
    <xdr:pic>
      <xdr:nvPicPr>
        <xdr:cNvPr id="43" name="Kuva 42">
          <a:extLst>
            <a:ext uri="{FF2B5EF4-FFF2-40B4-BE49-F238E27FC236}">
              <a16:creationId xmlns:a16="http://schemas.microsoft.com/office/drawing/2014/main" id="{42CA8C26-92CF-45C0-979E-34E6DF14C71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76289" y="8241906"/>
          <a:ext cx="404694" cy="413144"/>
        </a:xfrm>
        <a:prstGeom prst="rect">
          <a:avLst/>
        </a:prstGeom>
      </xdr:spPr>
    </xdr:pic>
    <xdr:clientData/>
  </xdr:twoCellAnchor>
  <xdr:twoCellAnchor>
    <xdr:from>
      <xdr:col>0</xdr:col>
      <xdr:colOff>180975</xdr:colOff>
      <xdr:row>46</xdr:row>
      <xdr:rowOff>28575</xdr:rowOff>
    </xdr:from>
    <xdr:to>
      <xdr:col>0</xdr:col>
      <xdr:colOff>590174</xdr:colOff>
      <xdr:row>49</xdr:row>
      <xdr:rowOff>55530</xdr:rowOff>
    </xdr:to>
    <xdr:pic>
      <xdr:nvPicPr>
        <xdr:cNvPr id="44" name="Kuva 43">
          <a:hlinkClick xmlns:r="http://schemas.openxmlformats.org/officeDocument/2006/relationships" r:id="rId22"/>
          <a:extLst>
            <a:ext uri="{FF2B5EF4-FFF2-40B4-BE49-F238E27FC236}">
              <a16:creationId xmlns:a16="http://schemas.microsoft.com/office/drawing/2014/main" id="{5B994F9E-A3CD-45C9-80C6-B78B18B9FD0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0975" y="7248525"/>
          <a:ext cx="409199" cy="398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F&#246;retagstolken/Nya%20moduler/FT22%20Resultatplan%2016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IDAN"/>
      <sheetName val="T1 INVESTERINGSP."/>
      <sheetName val="T2 RESULTATB."/>
      <sheetName val="T3 BALANS"/>
      <sheetName val="T4 FINANSIERINGSB."/>
      <sheetName val="T5 KASSABUDGET"/>
      <sheetName val="AT T5 Kassa"/>
      <sheetName val="T7 LÅN"/>
      <sheetName val="E1 KOSTNADER"/>
      <sheetName val="E2 OMSÄTTNING"/>
      <sheetName val="Avustus, palkat, alv-tilitys"/>
      <sheetName val="AT lainat, palkat, alv-menot"/>
    </sheetNames>
    <sheetDataSet>
      <sheetData sheetId="0" refreshError="1"/>
      <sheetData sheetId="1">
        <row r="15">
          <cell r="E15" t="str">
            <v>Prognos 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2">
    <tabColor rgb="FF33CC33"/>
  </sheetPr>
  <dimension ref="B1:Q61"/>
  <sheetViews>
    <sheetView showGridLines="0" tabSelected="1" zoomScaleNormal="100" workbookViewId="0">
      <selection activeCell="P17" sqref="P17"/>
    </sheetView>
  </sheetViews>
  <sheetFormatPr defaultRowHeight="12.45"/>
  <cols>
    <col min="1" max="1" width="3.69140625" customWidth="1"/>
    <col min="2" max="2" width="4.84375" style="41" customWidth="1"/>
    <col min="3" max="3" width="2.53515625" style="41" customWidth="1"/>
    <col min="4" max="4" width="36.53515625" customWidth="1"/>
    <col min="5" max="5" width="2.84375" customWidth="1"/>
    <col min="6" max="6" width="41.84375" customWidth="1"/>
    <col min="7" max="7" width="2.69140625" customWidth="1"/>
    <col min="8" max="9" width="7.4609375" customWidth="1"/>
    <col min="11" max="11" width="10" customWidth="1"/>
  </cols>
  <sheetData>
    <row r="1" spans="2:17" ht="12.75" customHeight="1">
      <c r="I1" s="90"/>
    </row>
    <row r="2" spans="2:17" ht="12.75" customHeight="1">
      <c r="H2" s="1943"/>
      <c r="I2" s="1943"/>
    </row>
    <row r="3" spans="2:17">
      <c r="H3" s="1943"/>
      <c r="I3" s="1943"/>
    </row>
    <row r="4" spans="2:17" ht="24.9" customHeight="1">
      <c r="B4" s="43"/>
      <c r="C4" s="43"/>
      <c r="D4" s="1"/>
      <c r="J4" s="1952"/>
      <c r="K4" s="1952"/>
    </row>
    <row r="5" spans="2:17" ht="35.25" customHeight="1">
      <c r="F5" s="1881"/>
      <c r="H5" s="1883"/>
      <c r="I5" s="1883"/>
      <c r="J5" s="1954" t="s">
        <v>771</v>
      </c>
      <c r="K5" s="1954"/>
      <c r="L5" s="1883"/>
    </row>
    <row r="6" spans="2:17" ht="10.199999999999999" customHeight="1">
      <c r="F6" s="1880"/>
      <c r="H6" s="561"/>
      <c r="I6" s="561"/>
      <c r="J6" s="561"/>
      <c r="K6" s="561"/>
      <c r="L6" s="1478"/>
    </row>
    <row r="7" spans="2:17" ht="33" customHeight="1">
      <c r="B7" s="43"/>
      <c r="F7" s="1881"/>
      <c r="H7" s="1948" t="s">
        <v>775</v>
      </c>
      <c r="I7" s="1948"/>
      <c r="J7" s="1948"/>
      <c r="K7" s="1948"/>
      <c r="L7" s="1948"/>
    </row>
    <row r="8" spans="2:17" ht="10.199999999999999" customHeight="1">
      <c r="F8" s="1880"/>
    </row>
    <row r="9" spans="2:17" ht="33" customHeight="1">
      <c r="F9" s="1881"/>
      <c r="N9" s="295"/>
    </row>
    <row r="10" spans="2:17" ht="10.199999999999999" customHeight="1">
      <c r="F10" s="1880"/>
    </row>
    <row r="11" spans="2:17" ht="33" customHeight="1">
      <c r="F11" s="1881"/>
      <c r="I11" s="1940"/>
      <c r="J11" s="1941"/>
      <c r="L11" s="295"/>
    </row>
    <row r="12" spans="2:17" ht="10.199999999999999" customHeight="1">
      <c r="F12" s="1880"/>
    </row>
    <row r="13" spans="2:17" ht="33" customHeight="1">
      <c r="F13" s="1881"/>
    </row>
    <row r="14" spans="2:17" ht="10.199999999999999" customHeight="1">
      <c r="F14" s="1880"/>
      <c r="Q14" t="s">
        <v>0</v>
      </c>
    </row>
    <row r="15" spans="2:17" ht="33" customHeight="1">
      <c r="F15" s="1881"/>
      <c r="N15" s="1" t="s">
        <v>0</v>
      </c>
    </row>
    <row r="16" spans="2:17" ht="10.199999999999999" customHeight="1">
      <c r="F16" s="1880"/>
      <c r="H16" s="1"/>
    </row>
    <row r="17" spans="2:16" ht="33" customHeight="1">
      <c r="F17" s="1881"/>
      <c r="M17" s="295"/>
    </row>
    <row r="18" spans="2:16" ht="10.199999999999999" customHeight="1">
      <c r="F18" s="1882"/>
      <c r="M18" s="295"/>
    </row>
    <row r="19" spans="2:16" ht="33" customHeight="1">
      <c r="F19" s="1881"/>
    </row>
    <row r="20" spans="2:16" ht="10.199999999999999" customHeight="1">
      <c r="F20" s="1880"/>
    </row>
    <row r="21" spans="2:16" ht="33" customHeight="1">
      <c r="F21" s="1881"/>
      <c r="I21" s="1942"/>
      <c r="J21" s="1942"/>
    </row>
    <row r="22" spans="2:16" ht="10.199999999999999" customHeight="1">
      <c r="F22" s="1880"/>
    </row>
    <row r="23" spans="2:16" ht="33" customHeight="1">
      <c r="F23" s="1881"/>
      <c r="H23" s="610"/>
      <c r="I23" s="217"/>
      <c r="J23" s="1947" t="s">
        <v>788</v>
      </c>
      <c r="K23" s="1947"/>
      <c r="P23" s="1481"/>
    </row>
    <row r="24" spans="2:16" ht="9.75" customHeight="1">
      <c r="B24" s="43"/>
      <c r="C24" s="43"/>
      <c r="F24" s="1880"/>
      <c r="H24" s="1884"/>
      <c r="I24" s="1884"/>
      <c r="J24" s="1951"/>
      <c r="K24" s="1951"/>
      <c r="L24" s="1884"/>
    </row>
    <row r="25" spans="2:16" ht="33" customHeight="1">
      <c r="F25" s="1881"/>
      <c r="H25" s="610"/>
      <c r="I25" s="217"/>
      <c r="J25" s="1950"/>
      <c r="K25" s="1950"/>
    </row>
    <row r="26" spans="2:16">
      <c r="D26" s="1398" t="s">
        <v>762</v>
      </c>
      <c r="E26" s="51"/>
      <c r="F26" s="93"/>
      <c r="G26" s="51"/>
      <c r="H26" s="51"/>
      <c r="I26" s="51"/>
      <c r="J26" s="1949"/>
      <c r="K26" s="1949"/>
      <c r="L26" s="1949"/>
    </row>
    <row r="27" spans="2:16">
      <c r="C27" s="1953"/>
      <c r="D27" s="1953"/>
      <c r="F27" s="1944"/>
    </row>
    <row r="28" spans="2:16">
      <c r="F28" s="1944"/>
    </row>
    <row r="29" spans="2:16">
      <c r="D29" s="1945"/>
      <c r="E29" s="1946"/>
    </row>
    <row r="40" spans="4:6">
      <c r="D40" s="18"/>
      <c r="F40" s="18"/>
    </row>
    <row r="51" spans="4:4">
      <c r="D51" s="18"/>
    </row>
    <row r="61" spans="4:4">
      <c r="D61" s="608"/>
    </row>
  </sheetData>
  <sheetProtection algorithmName="SHA-512" hashValue="KO1V6J3pgtVtsRSWRTLbvBMsElG/Qim6EHPATydFpFQsZJzwkSNlGOp52x/11ix1tRiAXWaegWVartFcd9LxiQ==" saltValue="mhrhRBmOc4XGVGqZczy2cA==" spinCount="100000" sheet="1" objects="1" scenarios="1" selectLockedCells="1" selectUnlockedCells="1"/>
  <mergeCells count="13">
    <mergeCell ref="I11:J11"/>
    <mergeCell ref="I21:J21"/>
    <mergeCell ref="H2:I3"/>
    <mergeCell ref="F27:F28"/>
    <mergeCell ref="D29:E29"/>
    <mergeCell ref="J23:K23"/>
    <mergeCell ref="H7:L7"/>
    <mergeCell ref="J26:L26"/>
    <mergeCell ref="J25:K25"/>
    <mergeCell ref="J24:K24"/>
    <mergeCell ref="J4:K4"/>
    <mergeCell ref="C27:D27"/>
    <mergeCell ref="J5:K5"/>
  </mergeCells>
  <pageMargins left="0.25" right="0.25" top="0.75" bottom="0.75" header="0.3" footer="0.3"/>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7"/>
  <dimension ref="A1:Z68"/>
  <sheetViews>
    <sheetView topLeftCell="B1" workbookViewId="0">
      <selection activeCell="I11" sqref="I11"/>
    </sheetView>
  </sheetViews>
  <sheetFormatPr defaultRowHeight="12.45"/>
  <cols>
    <col min="1" max="1" width="10.07421875" customWidth="1"/>
    <col min="2" max="2" width="23.69140625" customWidth="1"/>
    <col min="3" max="12" width="9.3046875" customWidth="1"/>
    <col min="13" max="13" width="9.69140625" customWidth="1"/>
    <col min="14" max="14" width="9.3046875" customWidth="1"/>
    <col min="25" max="25" width="9.69140625" bestFit="1" customWidth="1"/>
  </cols>
  <sheetData>
    <row r="1" spans="1:26" ht="12.9" thickBot="1">
      <c r="A1" s="4"/>
      <c r="B1" s="4"/>
      <c r="C1" s="4"/>
      <c r="D1" s="4"/>
      <c r="E1" s="4"/>
      <c r="F1" s="4"/>
      <c r="G1" s="4"/>
      <c r="H1" s="4"/>
      <c r="I1" s="4"/>
      <c r="J1" s="4"/>
      <c r="K1" s="4"/>
      <c r="L1" s="4"/>
      <c r="M1" s="4"/>
      <c r="N1" s="4"/>
    </row>
    <row r="2" spans="1:26" s="2" customFormat="1">
      <c r="A2" s="598"/>
      <c r="B2" s="50" t="s">
        <v>152</v>
      </c>
      <c r="C2" s="599" t="str">
        <f>'10. T5 KASSABUDGET '!G14</f>
        <v>jan.23</v>
      </c>
      <c r="D2" s="599" t="str">
        <f>'10. T5 KASSABUDGET '!H14</f>
        <v>feb.23</v>
      </c>
      <c r="E2" s="599" t="str">
        <f>'10. T5 KASSABUDGET '!I14</f>
        <v>mars.23</v>
      </c>
      <c r="F2" s="599" t="str">
        <f>'10. T5 KASSABUDGET '!J14</f>
        <v>april.23</v>
      </c>
      <c r="G2" s="599" t="str">
        <f>'10. T5 KASSABUDGET '!K14</f>
        <v>mai.23</v>
      </c>
      <c r="H2" s="599" t="str">
        <f>'10. T5 KASSABUDGET '!L14</f>
        <v>juni.23</v>
      </c>
      <c r="I2" s="599" t="str">
        <f>'10. T5 KASSABUDGET '!M14</f>
        <v>juli.23</v>
      </c>
      <c r="J2" s="599" t="str">
        <f>'10. T5 KASSABUDGET '!N14</f>
        <v>aug.23</v>
      </c>
      <c r="K2" s="599" t="str">
        <f>'10. T5 KASSABUDGET '!O14</f>
        <v>sep.23</v>
      </c>
      <c r="L2" s="599" t="str">
        <f>'10. T5 KASSABUDGET '!P14</f>
        <v>okt.23</v>
      </c>
      <c r="M2" s="599" t="str">
        <f>'10. T5 KASSABUDGET '!Q14</f>
        <v>nov.23</v>
      </c>
      <c r="N2" s="600" t="str">
        <f>'10. T5 KASSABUDGET '!R14</f>
        <v>dec.23</v>
      </c>
      <c r="O2" s="585"/>
      <c r="P2" s="585"/>
      <c r="Q2" s="585"/>
      <c r="R2" s="585"/>
      <c r="S2" s="585"/>
      <c r="T2" s="585"/>
      <c r="U2" s="585"/>
      <c r="V2" s="585"/>
      <c r="W2" s="585"/>
      <c r="X2" s="585"/>
      <c r="Y2" s="585"/>
      <c r="Z2" s="585"/>
    </row>
    <row r="3" spans="1:26" s="2" customFormat="1">
      <c r="A3" s="601"/>
      <c r="B3" s="30" t="s">
        <v>151</v>
      </c>
      <c r="C3" s="587">
        <f>IF('10. T5 KASSABUDGET '!H10=1,'9. T4 FINANSIERINGSB. '!G52,'9. T4 FINANSIERINGSB. '!H52)</f>
        <v>10.25775218038957</v>
      </c>
      <c r="D3" s="587">
        <f>C3</f>
        <v>10.25775218038957</v>
      </c>
      <c r="E3" s="587">
        <f t="shared" ref="E3:N3" si="0">D3</f>
        <v>10.25775218038957</v>
      </c>
      <c r="F3" s="587">
        <f t="shared" si="0"/>
        <v>10.25775218038957</v>
      </c>
      <c r="G3" s="587">
        <f t="shared" si="0"/>
        <v>10.25775218038957</v>
      </c>
      <c r="H3" s="587">
        <f t="shared" si="0"/>
        <v>10.25775218038957</v>
      </c>
      <c r="I3" s="587">
        <f t="shared" si="0"/>
        <v>10.25775218038957</v>
      </c>
      <c r="J3" s="587">
        <f t="shared" si="0"/>
        <v>10.25775218038957</v>
      </c>
      <c r="K3" s="587">
        <f t="shared" si="0"/>
        <v>10.25775218038957</v>
      </c>
      <c r="L3" s="587">
        <f t="shared" si="0"/>
        <v>10.25775218038957</v>
      </c>
      <c r="M3" s="587">
        <f t="shared" si="0"/>
        <v>10.25775218038957</v>
      </c>
      <c r="N3" s="602">
        <f t="shared" si="0"/>
        <v>10.25775218038957</v>
      </c>
    </row>
    <row r="4" spans="1:26" s="2" customFormat="1">
      <c r="A4" s="601"/>
      <c r="B4" s="30" t="s">
        <v>153</v>
      </c>
      <c r="C4" s="588">
        <f>IF(C3=0,0,IF('10. T5 KASSABUDGET '!H10=1,'3. &amp; 8. T3 BALANS'!G42/C3,'3. &amp; 8. T3 BALANS'!H42/C3))</f>
        <v>481.87945205479457</v>
      </c>
      <c r="D4" s="588"/>
      <c r="E4" s="588"/>
      <c r="F4" s="588"/>
      <c r="G4" s="588"/>
      <c r="H4" s="588"/>
      <c r="I4" s="30"/>
      <c r="J4" s="30"/>
      <c r="K4" s="30"/>
      <c r="L4" s="30"/>
      <c r="M4" s="30"/>
      <c r="N4" s="603"/>
    </row>
    <row r="5" spans="1:26">
      <c r="A5" s="473"/>
      <c r="B5" s="4" t="s">
        <v>141</v>
      </c>
      <c r="C5" s="32">
        <f>IF(C3&lt;31,C4*C3,0)</f>
        <v>4943</v>
      </c>
      <c r="D5" s="32"/>
      <c r="E5" s="32"/>
      <c r="F5" s="32"/>
      <c r="G5" s="32"/>
      <c r="H5" s="32"/>
      <c r="I5" s="4"/>
      <c r="J5" s="4"/>
      <c r="K5" s="4"/>
      <c r="L5" s="4"/>
      <c r="M5" s="4"/>
      <c r="N5" s="604"/>
    </row>
    <row r="6" spans="1:26">
      <c r="A6" s="473"/>
      <c r="B6" s="4" t="s">
        <v>142</v>
      </c>
      <c r="C6" s="32">
        <f>IF(C$3&lt;31,0,IF(C$3&lt;61,30*C$4,0))</f>
        <v>0</v>
      </c>
      <c r="D6" s="32">
        <f>IF(D$3&lt;31,0,IF(D$3&lt;61,$C$4*(30-(60-$C$3)),0))</f>
        <v>0</v>
      </c>
      <c r="E6" s="32"/>
      <c r="F6" s="32"/>
      <c r="G6" s="32"/>
      <c r="H6" s="32"/>
      <c r="I6" s="4"/>
      <c r="J6" s="4"/>
      <c r="K6" s="4"/>
      <c r="L6" s="4"/>
      <c r="M6" s="4"/>
      <c r="N6" s="604"/>
    </row>
    <row r="7" spans="1:26">
      <c r="A7" s="473"/>
      <c r="B7" s="4" t="s">
        <v>143</v>
      </c>
      <c r="C7" s="32">
        <f>IF(C$3&lt;61,0,IF(C$3&lt;91,30*C$4,0))</f>
        <v>0</v>
      </c>
      <c r="D7" s="32">
        <f t="shared" ref="D7:D16" si="1">C7</f>
        <v>0</v>
      </c>
      <c r="E7" s="32">
        <f>IF(E$3&lt;61,0,IF(E$3&lt;91,$C$4*(30-(90-$C$3)),0))</f>
        <v>0</v>
      </c>
      <c r="F7" s="32"/>
      <c r="G7" s="32"/>
      <c r="H7" s="32"/>
      <c r="I7" s="4"/>
      <c r="J7" s="4"/>
      <c r="K7" s="4"/>
      <c r="L7" s="4"/>
      <c r="M7" s="4"/>
      <c r="N7" s="604"/>
    </row>
    <row r="8" spans="1:26">
      <c r="A8" s="473"/>
      <c r="B8" s="4" t="s">
        <v>144</v>
      </c>
      <c r="C8" s="32">
        <f>IF(C$3&lt;91,0,IF(C$3&lt;121,30*C$4,0))</f>
        <v>0</v>
      </c>
      <c r="D8" s="32">
        <f t="shared" si="1"/>
        <v>0</v>
      </c>
      <c r="E8" s="32">
        <f t="shared" ref="E8:F16" si="2">D8</f>
        <v>0</v>
      </c>
      <c r="F8" s="32">
        <f>IF(F$3&lt;91,0,IF(F$3&lt;121,$C$4*(30-(120-$C$3)),0))</f>
        <v>0</v>
      </c>
      <c r="G8" s="32"/>
      <c r="H8" s="32"/>
      <c r="I8" s="4"/>
      <c r="J8" s="4"/>
      <c r="K8" s="4"/>
      <c r="L8" s="4"/>
      <c r="M8" s="4"/>
      <c r="N8" s="604"/>
    </row>
    <row r="9" spans="1:26">
      <c r="A9" s="473"/>
      <c r="B9" s="4" t="s">
        <v>145</v>
      </c>
      <c r="C9" s="32">
        <f>IF(C$3&lt;121,0,IF(C$3&lt;151,30*C$4,0))</f>
        <v>0</v>
      </c>
      <c r="D9" s="32">
        <f t="shared" si="1"/>
        <v>0</v>
      </c>
      <c r="E9" s="32">
        <f t="shared" si="2"/>
        <v>0</v>
      </c>
      <c r="F9" s="32">
        <f t="shared" si="2"/>
        <v>0</v>
      </c>
      <c r="G9" s="32">
        <f>IF(G$3&lt;121,0,IF(G$3&lt;151,$C$4*(30-(150-$C$3)),0))</f>
        <v>0</v>
      </c>
      <c r="H9" s="32"/>
      <c r="I9" s="4"/>
      <c r="J9" s="4"/>
      <c r="K9" s="4"/>
      <c r="L9" s="4"/>
      <c r="M9" s="4"/>
      <c r="N9" s="604"/>
    </row>
    <row r="10" spans="1:26">
      <c r="A10" s="473"/>
      <c r="B10" s="4" t="s">
        <v>146</v>
      </c>
      <c r="C10" s="32">
        <f>IF(C$3&lt;151,0,IF(C$3&lt;181,30*C$4,0))</f>
        <v>0</v>
      </c>
      <c r="D10" s="32">
        <f t="shared" si="1"/>
        <v>0</v>
      </c>
      <c r="E10" s="32">
        <f t="shared" si="2"/>
        <v>0</v>
      </c>
      <c r="F10" s="32">
        <f t="shared" si="2"/>
        <v>0</v>
      </c>
      <c r="G10" s="32">
        <f t="shared" ref="G10:G16" si="3">F10</f>
        <v>0</v>
      </c>
      <c r="H10" s="32">
        <f>IF(H$3&lt;151,0,IF(H$3&lt;181,$C$4*(30-(180-$C$3)),0))</f>
        <v>0</v>
      </c>
      <c r="I10" s="4"/>
      <c r="J10" s="4"/>
      <c r="K10" s="4"/>
      <c r="L10" s="4"/>
      <c r="M10" s="4"/>
      <c r="N10" s="604"/>
    </row>
    <row r="11" spans="1:26">
      <c r="A11" s="473"/>
      <c r="B11" s="4" t="s">
        <v>155</v>
      </c>
      <c r="C11" s="32">
        <f>IF(C$3&lt;181,0,IF(C$3&lt;211,30*C$4,0))</f>
        <v>0</v>
      </c>
      <c r="D11" s="32">
        <f t="shared" si="1"/>
        <v>0</v>
      </c>
      <c r="E11" s="32">
        <f t="shared" si="2"/>
        <v>0</v>
      </c>
      <c r="F11" s="32">
        <f t="shared" si="2"/>
        <v>0</v>
      </c>
      <c r="G11" s="32">
        <f t="shared" si="3"/>
        <v>0</v>
      </c>
      <c r="H11" s="32">
        <f t="shared" ref="H11:H16" si="4">G11</f>
        <v>0</v>
      </c>
      <c r="I11" s="32">
        <f>IF(I$3&lt;181,0,IF(I$3&lt;211,$C$4*(30-(210-$C$3)),0))</f>
        <v>0</v>
      </c>
      <c r="J11" s="4"/>
      <c r="K11" s="4"/>
      <c r="L11" s="4"/>
      <c r="M11" s="4"/>
      <c r="N11" s="604"/>
    </row>
    <row r="12" spans="1:26">
      <c r="A12" s="473"/>
      <c r="B12" s="4" t="s">
        <v>156</v>
      </c>
      <c r="C12" s="32">
        <f>IF(C$3&lt;211,0,IF(C$3&lt;241,30*C$4,0))</f>
        <v>0</v>
      </c>
      <c r="D12" s="32">
        <f t="shared" si="1"/>
        <v>0</v>
      </c>
      <c r="E12" s="32">
        <f t="shared" si="2"/>
        <v>0</v>
      </c>
      <c r="F12" s="32">
        <f t="shared" si="2"/>
        <v>0</v>
      </c>
      <c r="G12" s="32">
        <f t="shared" si="3"/>
        <v>0</v>
      </c>
      <c r="H12" s="32">
        <f t="shared" si="4"/>
        <v>0</v>
      </c>
      <c r="I12" s="32">
        <f>H12</f>
        <v>0</v>
      </c>
      <c r="J12" s="32">
        <f>IF(J$3&lt;211,0,IF(J$3&lt;241,$C$4*(30-(240-$C$3)),0))</f>
        <v>0</v>
      </c>
      <c r="K12" s="4"/>
      <c r="L12" s="4"/>
      <c r="M12" s="4"/>
      <c r="N12" s="604"/>
    </row>
    <row r="13" spans="1:26">
      <c r="A13" s="473"/>
      <c r="B13" s="4" t="s">
        <v>157</v>
      </c>
      <c r="C13" s="32">
        <f>IF(C$3&lt;241,0,IF(C$3&lt;271,30*C$4,0))</f>
        <v>0</v>
      </c>
      <c r="D13" s="32">
        <f t="shared" si="1"/>
        <v>0</v>
      </c>
      <c r="E13" s="32">
        <f t="shared" si="2"/>
        <v>0</v>
      </c>
      <c r="F13" s="32">
        <f t="shared" si="2"/>
        <v>0</v>
      </c>
      <c r="G13" s="32">
        <f t="shared" si="3"/>
        <v>0</v>
      </c>
      <c r="H13" s="32">
        <f t="shared" si="4"/>
        <v>0</v>
      </c>
      <c r="I13" s="32">
        <f>H13</f>
        <v>0</v>
      </c>
      <c r="J13" s="32">
        <f>I13</f>
        <v>0</v>
      </c>
      <c r="K13" s="32">
        <f>IF(K$3&lt;241,0,IF(K$3&lt;271,$C$4*(30-(270-$C$3)),0))</f>
        <v>0</v>
      </c>
      <c r="L13" s="4"/>
      <c r="M13" s="4"/>
      <c r="N13" s="604"/>
    </row>
    <row r="14" spans="1:26">
      <c r="A14" s="473"/>
      <c r="B14" s="4" t="s">
        <v>158</v>
      </c>
      <c r="C14" s="32">
        <f>IF(C$3&lt;271,0,IF(C$3&lt;301,30*C$4,0))</f>
        <v>0</v>
      </c>
      <c r="D14" s="32">
        <f t="shared" si="1"/>
        <v>0</v>
      </c>
      <c r="E14" s="32">
        <f t="shared" si="2"/>
        <v>0</v>
      </c>
      <c r="F14" s="32">
        <f t="shared" si="2"/>
        <v>0</v>
      </c>
      <c r="G14" s="32">
        <f t="shared" si="3"/>
        <v>0</v>
      </c>
      <c r="H14" s="32">
        <f t="shared" si="4"/>
        <v>0</v>
      </c>
      <c r="I14" s="32">
        <f>H14</f>
        <v>0</v>
      </c>
      <c r="J14" s="32">
        <f>I14</f>
        <v>0</v>
      </c>
      <c r="K14" s="32">
        <f>J14</f>
        <v>0</v>
      </c>
      <c r="L14" s="32">
        <f>IF(L$3&lt;271,0,IF(L$3&lt;301,$C$4*(30-(300-$C$3)),0))</f>
        <v>0</v>
      </c>
      <c r="M14" s="4"/>
      <c r="N14" s="604"/>
    </row>
    <row r="15" spans="1:26">
      <c r="A15" s="473"/>
      <c r="B15" s="4" t="s">
        <v>159</v>
      </c>
      <c r="C15" s="32">
        <f>IF(C$3&lt;301,0,IF(C$3&lt;331,30*C$4,0))</f>
        <v>0</v>
      </c>
      <c r="D15" s="32">
        <f t="shared" si="1"/>
        <v>0</v>
      </c>
      <c r="E15" s="32">
        <f t="shared" si="2"/>
        <v>0</v>
      </c>
      <c r="F15" s="32">
        <f t="shared" si="2"/>
        <v>0</v>
      </c>
      <c r="G15" s="32">
        <f t="shared" si="3"/>
        <v>0</v>
      </c>
      <c r="H15" s="32">
        <f t="shared" si="4"/>
        <v>0</v>
      </c>
      <c r="I15" s="32">
        <f>H15</f>
        <v>0</v>
      </c>
      <c r="J15" s="32">
        <f>I15</f>
        <v>0</v>
      </c>
      <c r="K15" s="32">
        <f>J15</f>
        <v>0</v>
      </c>
      <c r="L15" s="32">
        <f>K15</f>
        <v>0</v>
      </c>
      <c r="M15" s="32">
        <f>IF(M$3&lt;301,0,IF(M$3&lt;331,$C$4*(30-(330-$C$3)),0))</f>
        <v>0</v>
      </c>
      <c r="N15" s="604"/>
    </row>
    <row r="16" spans="1:26">
      <c r="A16" s="473"/>
      <c r="B16" s="4" t="s">
        <v>160</v>
      </c>
      <c r="C16" s="32">
        <f>IF(C$3&lt;331,0,IF(C$3&lt;361,30*C$4,0))</f>
        <v>0</v>
      </c>
      <c r="D16" s="32">
        <f t="shared" si="1"/>
        <v>0</v>
      </c>
      <c r="E16" s="32">
        <f t="shared" si="2"/>
        <v>0</v>
      </c>
      <c r="F16" s="32">
        <f t="shared" si="2"/>
        <v>0</v>
      </c>
      <c r="G16" s="32">
        <f t="shared" si="3"/>
        <v>0</v>
      </c>
      <c r="H16" s="32">
        <f t="shared" si="4"/>
        <v>0</v>
      </c>
      <c r="I16" s="32">
        <f>H16</f>
        <v>0</v>
      </c>
      <c r="J16" s="32">
        <f>I16</f>
        <v>0</v>
      </c>
      <c r="K16" s="32">
        <f>J16</f>
        <v>0</v>
      </c>
      <c r="L16" s="32">
        <f>K16</f>
        <v>0</v>
      </c>
      <c r="M16" s="32">
        <f>IF(M$3&lt;151,0,IF(M$3&lt;181,30*M$4,0))</f>
        <v>0</v>
      </c>
      <c r="N16" s="32">
        <f>IF(N$3&lt;331,0,IF(N$3&lt;361,$C$4*(30-(360-$C$3)),0))</f>
        <v>0</v>
      </c>
    </row>
    <row r="17" spans="1:26">
      <c r="A17" s="473"/>
      <c r="B17" s="4"/>
      <c r="C17" s="32"/>
      <c r="D17" s="32"/>
      <c r="E17" s="32"/>
      <c r="F17" s="32"/>
      <c r="G17" s="32"/>
      <c r="H17" s="32"/>
      <c r="I17" s="4"/>
      <c r="J17" s="4"/>
      <c r="K17" s="4"/>
      <c r="L17" s="4"/>
      <c r="M17" s="4"/>
      <c r="N17" s="604"/>
    </row>
    <row r="18" spans="1:26" ht="12.9" thickBot="1">
      <c r="A18" s="605"/>
      <c r="B18" s="606" t="s">
        <v>55</v>
      </c>
      <c r="C18" s="607">
        <f>SUM(C5:C17)</f>
        <v>4943</v>
      </c>
      <c r="D18" s="607">
        <f t="shared" ref="D18:N18" si="5">SUM(D5:D17)</f>
        <v>0</v>
      </c>
      <c r="E18" s="607">
        <f t="shared" si="5"/>
        <v>0</v>
      </c>
      <c r="F18" s="607">
        <f t="shared" si="5"/>
        <v>0</v>
      </c>
      <c r="G18" s="607">
        <f t="shared" si="5"/>
        <v>0</v>
      </c>
      <c r="H18" s="607">
        <f t="shared" si="5"/>
        <v>0</v>
      </c>
      <c r="I18" s="607">
        <f t="shared" si="5"/>
        <v>0</v>
      </c>
      <c r="J18" s="607">
        <f t="shared" si="5"/>
        <v>0</v>
      </c>
      <c r="K18" s="607">
        <f t="shared" si="5"/>
        <v>0</v>
      </c>
      <c r="L18" s="607">
        <f t="shared" si="5"/>
        <v>0</v>
      </c>
      <c r="M18" s="607">
        <f t="shared" si="5"/>
        <v>0</v>
      </c>
      <c r="N18" s="607">
        <f t="shared" si="5"/>
        <v>0</v>
      </c>
    </row>
    <row r="19" spans="1:26" s="2" customFormat="1">
      <c r="A19" s="30"/>
      <c r="B19" s="30" t="s">
        <v>154</v>
      </c>
      <c r="C19" s="586" t="str">
        <f>C2</f>
        <v>jan.23</v>
      </c>
      <c r="D19" s="586" t="str">
        <f t="shared" ref="D19:N19" si="6">D2</f>
        <v>feb.23</v>
      </c>
      <c r="E19" s="586" t="str">
        <f t="shared" si="6"/>
        <v>mars.23</v>
      </c>
      <c r="F19" s="586" t="str">
        <f t="shared" si="6"/>
        <v>april.23</v>
      </c>
      <c r="G19" s="586" t="str">
        <f t="shared" si="6"/>
        <v>mai.23</v>
      </c>
      <c r="H19" s="586" t="str">
        <f t="shared" si="6"/>
        <v>juni.23</v>
      </c>
      <c r="I19" s="586" t="str">
        <f t="shared" si="6"/>
        <v>juli.23</v>
      </c>
      <c r="J19" s="586" t="str">
        <f t="shared" si="6"/>
        <v>aug.23</v>
      </c>
      <c r="K19" s="586" t="str">
        <f t="shared" si="6"/>
        <v>sep.23</v>
      </c>
      <c r="L19" s="586" t="str">
        <f t="shared" si="6"/>
        <v>okt.23</v>
      </c>
      <c r="M19" s="586" t="str">
        <f t="shared" si="6"/>
        <v>nov.23</v>
      </c>
      <c r="N19" s="586" t="str">
        <f t="shared" si="6"/>
        <v>dec.23</v>
      </c>
      <c r="O19" s="585"/>
      <c r="P19" s="585"/>
      <c r="Q19" s="585"/>
      <c r="R19" s="585"/>
      <c r="S19" s="585"/>
      <c r="T19" s="585"/>
      <c r="U19" s="585"/>
      <c r="V19" s="585"/>
      <c r="W19" s="585"/>
      <c r="X19" s="585"/>
      <c r="Y19" s="585"/>
      <c r="Z19" s="585"/>
    </row>
    <row r="20" spans="1:26" s="2" customFormat="1">
      <c r="A20" s="597" t="s">
        <v>148</v>
      </c>
      <c r="B20" s="30" t="s">
        <v>149</v>
      </c>
      <c r="C20" s="587">
        <f>'10. T5 KASSABUDGET '!E21</f>
        <v>14</v>
      </c>
      <c r="D20" s="587">
        <f t="shared" ref="D20:N20" si="7">C20</f>
        <v>14</v>
      </c>
      <c r="E20" s="587">
        <f t="shared" si="7"/>
        <v>14</v>
      </c>
      <c r="F20" s="587">
        <f t="shared" si="7"/>
        <v>14</v>
      </c>
      <c r="G20" s="587">
        <f t="shared" si="7"/>
        <v>14</v>
      </c>
      <c r="H20" s="587">
        <f t="shared" si="7"/>
        <v>14</v>
      </c>
      <c r="I20" s="587">
        <f t="shared" si="7"/>
        <v>14</v>
      </c>
      <c r="J20" s="587">
        <f t="shared" si="7"/>
        <v>14</v>
      </c>
      <c r="K20" s="587">
        <f t="shared" si="7"/>
        <v>14</v>
      </c>
      <c r="L20" s="587">
        <f t="shared" si="7"/>
        <v>14</v>
      </c>
      <c r="M20" s="587">
        <f t="shared" si="7"/>
        <v>14</v>
      </c>
      <c r="N20" s="587">
        <f t="shared" si="7"/>
        <v>14</v>
      </c>
    </row>
    <row r="21" spans="1:26" s="2" customFormat="1">
      <c r="A21" s="30" t="s">
        <v>0</v>
      </c>
      <c r="B21" s="30" t="s">
        <v>125</v>
      </c>
      <c r="C21" s="588">
        <f>'10. T5 KASSABUDGET '!G19</f>
        <v>9898.3310000000001</v>
      </c>
      <c r="D21" s="588">
        <f>'10. T5 KASSABUDGET '!H19</f>
        <v>9898.3310000000001</v>
      </c>
      <c r="E21" s="588">
        <f>'10. T5 KASSABUDGET '!I19</f>
        <v>9898.3310000000001</v>
      </c>
      <c r="F21" s="588">
        <f>'10. T5 KASSABUDGET '!J19</f>
        <v>9898.3310000000001</v>
      </c>
      <c r="G21" s="588">
        <f>'10. T5 KASSABUDGET '!K19</f>
        <v>9898.3310000000001</v>
      </c>
      <c r="H21" s="588">
        <f>'10. T5 KASSABUDGET '!L19</f>
        <v>9898.3310000000001</v>
      </c>
      <c r="I21" s="588">
        <f>'10. T5 KASSABUDGET '!M19</f>
        <v>9898.3310000000001</v>
      </c>
      <c r="J21" s="588">
        <f>'10. T5 KASSABUDGET '!N19</f>
        <v>9898.3310000000001</v>
      </c>
      <c r="K21" s="588">
        <f>'10. T5 KASSABUDGET '!O19</f>
        <v>9898.3310000000001</v>
      </c>
      <c r="L21" s="588">
        <f>'10. T5 KASSABUDGET '!P19</f>
        <v>9898.3310000000001</v>
      </c>
      <c r="M21" s="588">
        <f>'10. T5 KASSABUDGET '!Q19</f>
        <v>9898.3310000000001</v>
      </c>
      <c r="N21" s="588">
        <f>'10. T5 KASSABUDGET '!R19</f>
        <v>10375.358999999999</v>
      </c>
      <c r="Q21" s="2">
        <v>0</v>
      </c>
    </row>
    <row r="22" spans="1:26" s="591" customFormat="1">
      <c r="A22" s="589" t="s">
        <v>132</v>
      </c>
      <c r="B22" s="589" t="s">
        <v>126</v>
      </c>
      <c r="C22" s="590">
        <f>IF(C$20&lt;31,C21*(30-C20)/30,0)</f>
        <v>5279.1098666666667</v>
      </c>
      <c r="D22" s="590">
        <f t="shared" ref="D22:N22" si="8">IF(D$20&lt;31,D21*(30-D20)/30,0)</f>
        <v>5279.1098666666667</v>
      </c>
      <c r="E22" s="590">
        <f t="shared" si="8"/>
        <v>5279.1098666666667</v>
      </c>
      <c r="F22" s="590">
        <f t="shared" si="8"/>
        <v>5279.1098666666667</v>
      </c>
      <c r="G22" s="590">
        <f t="shared" si="8"/>
        <v>5279.1098666666667</v>
      </c>
      <c r="H22" s="590">
        <f t="shared" si="8"/>
        <v>5279.1098666666667</v>
      </c>
      <c r="I22" s="590">
        <f t="shared" si="8"/>
        <v>5279.1098666666667</v>
      </c>
      <c r="J22" s="590">
        <f t="shared" si="8"/>
        <v>5279.1098666666667</v>
      </c>
      <c r="K22" s="590">
        <f t="shared" si="8"/>
        <v>5279.1098666666667</v>
      </c>
      <c r="L22" s="590">
        <f t="shared" si="8"/>
        <v>5279.1098666666667</v>
      </c>
      <c r="M22" s="590">
        <f t="shared" si="8"/>
        <v>5279.1098666666667</v>
      </c>
      <c r="N22" s="590">
        <f t="shared" si="8"/>
        <v>5533.5247999999992</v>
      </c>
    </row>
    <row r="23" spans="1:26">
      <c r="A23" s="4" t="s">
        <v>136</v>
      </c>
      <c r="B23" s="4" t="s">
        <v>127</v>
      </c>
      <c r="C23" s="32">
        <f t="shared" ref="C23:N23" si="9">IF(C20&gt;30,0,C21-C22)</f>
        <v>4619.2211333333335</v>
      </c>
      <c r="D23" s="32">
        <f t="shared" si="9"/>
        <v>4619.2211333333335</v>
      </c>
      <c r="E23" s="32">
        <f t="shared" si="9"/>
        <v>4619.2211333333335</v>
      </c>
      <c r="F23" s="32">
        <f t="shared" si="9"/>
        <v>4619.2211333333335</v>
      </c>
      <c r="G23" s="32">
        <f t="shared" si="9"/>
        <v>4619.2211333333335</v>
      </c>
      <c r="H23" s="32">
        <f t="shared" si="9"/>
        <v>4619.2211333333335</v>
      </c>
      <c r="I23" s="32">
        <f t="shared" si="9"/>
        <v>4619.2211333333335</v>
      </c>
      <c r="J23" s="32">
        <f t="shared" si="9"/>
        <v>4619.2211333333335</v>
      </c>
      <c r="K23" s="32">
        <f t="shared" si="9"/>
        <v>4619.2211333333335</v>
      </c>
      <c r="L23" s="32">
        <f t="shared" si="9"/>
        <v>4619.2211333333335</v>
      </c>
      <c r="M23" s="32">
        <f t="shared" si="9"/>
        <v>4619.2211333333335</v>
      </c>
      <c r="N23" s="32">
        <f t="shared" si="9"/>
        <v>4841.8341999999993</v>
      </c>
    </row>
    <row r="24" spans="1:26">
      <c r="A24" s="589" t="s">
        <v>136</v>
      </c>
      <c r="B24" s="589" t="s">
        <v>127</v>
      </c>
      <c r="C24" s="590">
        <f t="shared" ref="C24:N24" si="10">IF(C$20&lt;31,0,IF(C$20&gt;60,0,C$21*(60-C$20))/30)</f>
        <v>0</v>
      </c>
      <c r="D24" s="590">
        <f t="shared" si="10"/>
        <v>0</v>
      </c>
      <c r="E24" s="590">
        <f t="shared" si="10"/>
        <v>0</v>
      </c>
      <c r="F24" s="590">
        <f t="shared" si="10"/>
        <v>0</v>
      </c>
      <c r="G24" s="590">
        <f t="shared" si="10"/>
        <v>0</v>
      </c>
      <c r="H24" s="590">
        <f t="shared" si="10"/>
        <v>0</v>
      </c>
      <c r="I24" s="590">
        <f t="shared" si="10"/>
        <v>0</v>
      </c>
      <c r="J24" s="590">
        <f t="shared" si="10"/>
        <v>0</v>
      </c>
      <c r="K24" s="590">
        <f t="shared" si="10"/>
        <v>0</v>
      </c>
      <c r="L24" s="590">
        <f t="shared" si="10"/>
        <v>0</v>
      </c>
      <c r="M24" s="590">
        <f t="shared" si="10"/>
        <v>0</v>
      </c>
      <c r="N24" s="590">
        <f t="shared" si="10"/>
        <v>0</v>
      </c>
      <c r="Q24" s="4" t="s">
        <v>0</v>
      </c>
    </row>
    <row r="25" spans="1:26">
      <c r="A25" s="4" t="s">
        <v>137</v>
      </c>
      <c r="B25" s="4" t="s">
        <v>128</v>
      </c>
      <c r="C25" s="32">
        <f>IF(C$20&lt;31,0,IF(C$20&gt;60,0,C21-C24))</f>
        <v>0</v>
      </c>
      <c r="D25" s="32">
        <f t="shared" ref="D25:M25" si="11">IF(D$20&lt;31,0,IF(D$20&gt;60,0,D21-D24))</f>
        <v>0</v>
      </c>
      <c r="E25" s="32">
        <f t="shared" si="11"/>
        <v>0</v>
      </c>
      <c r="F25" s="32">
        <f t="shared" si="11"/>
        <v>0</v>
      </c>
      <c r="G25" s="32">
        <f t="shared" si="11"/>
        <v>0</v>
      </c>
      <c r="H25" s="32">
        <f t="shared" si="11"/>
        <v>0</v>
      </c>
      <c r="I25" s="32">
        <f t="shared" si="11"/>
        <v>0</v>
      </c>
      <c r="J25" s="32">
        <f t="shared" si="11"/>
        <v>0</v>
      </c>
      <c r="K25" s="32">
        <f t="shared" si="11"/>
        <v>0</v>
      </c>
      <c r="L25" s="32">
        <f t="shared" si="11"/>
        <v>0</v>
      </c>
      <c r="M25" s="32">
        <f t="shared" si="11"/>
        <v>0</v>
      </c>
      <c r="N25" s="32">
        <f>IF(N$20&lt;31,0,IF(N$20&gt;60,0,N21-N24))</f>
        <v>0</v>
      </c>
      <c r="Q25" s="4"/>
    </row>
    <row r="26" spans="1:26">
      <c r="A26" s="589" t="s">
        <v>137</v>
      </c>
      <c r="B26" s="589" t="s">
        <v>128</v>
      </c>
      <c r="C26" s="590">
        <f t="shared" ref="C26:N26" si="12">IF(C$20&lt;61,0,IF(C$20&gt;90,0,C$21*(90-C$20))/30)</f>
        <v>0</v>
      </c>
      <c r="D26" s="590">
        <f t="shared" si="12"/>
        <v>0</v>
      </c>
      <c r="E26" s="590">
        <f t="shared" si="12"/>
        <v>0</v>
      </c>
      <c r="F26" s="590">
        <f t="shared" si="12"/>
        <v>0</v>
      </c>
      <c r="G26" s="590">
        <f t="shared" si="12"/>
        <v>0</v>
      </c>
      <c r="H26" s="590">
        <f t="shared" si="12"/>
        <v>0</v>
      </c>
      <c r="I26" s="590">
        <f t="shared" si="12"/>
        <v>0</v>
      </c>
      <c r="J26" s="590">
        <f t="shared" si="12"/>
        <v>0</v>
      </c>
      <c r="K26" s="590">
        <f t="shared" si="12"/>
        <v>0</v>
      </c>
      <c r="L26" s="590">
        <f t="shared" si="12"/>
        <v>0</v>
      </c>
      <c r="M26" s="590">
        <f t="shared" si="12"/>
        <v>0</v>
      </c>
      <c r="N26" s="590">
        <f t="shared" si="12"/>
        <v>0</v>
      </c>
      <c r="Q26" s="4"/>
    </row>
    <row r="27" spans="1:26">
      <c r="A27" s="4" t="s">
        <v>138</v>
      </c>
      <c r="B27" s="4" t="s">
        <v>129</v>
      </c>
      <c r="C27" s="32">
        <f>IF(C$20&lt;61,0,IF(C$20&gt;90,0,C21-C26))</f>
        <v>0</v>
      </c>
      <c r="D27" s="32">
        <f t="shared" ref="D27:N27" si="13">IF(D$20&lt;61,0,IF(D$20&gt;90,0,D21-D26))</f>
        <v>0</v>
      </c>
      <c r="E27" s="32">
        <f t="shared" si="13"/>
        <v>0</v>
      </c>
      <c r="F27" s="32">
        <f t="shared" si="13"/>
        <v>0</v>
      </c>
      <c r="G27" s="32">
        <f t="shared" si="13"/>
        <v>0</v>
      </c>
      <c r="H27" s="32">
        <f t="shared" si="13"/>
        <v>0</v>
      </c>
      <c r="I27" s="32">
        <f t="shared" si="13"/>
        <v>0</v>
      </c>
      <c r="J27" s="32">
        <f t="shared" si="13"/>
        <v>0</v>
      </c>
      <c r="K27" s="32">
        <f t="shared" si="13"/>
        <v>0</v>
      </c>
      <c r="L27" s="32">
        <f t="shared" si="13"/>
        <v>0</v>
      </c>
      <c r="M27" s="32">
        <f t="shared" si="13"/>
        <v>0</v>
      </c>
      <c r="N27" s="32">
        <f t="shared" si="13"/>
        <v>0</v>
      </c>
      <c r="Q27" s="4"/>
    </row>
    <row r="28" spans="1:26">
      <c r="A28" s="589" t="s">
        <v>138</v>
      </c>
      <c r="B28" s="589" t="s">
        <v>129</v>
      </c>
      <c r="C28" s="590">
        <f t="shared" ref="C28:N28" si="14">IF(C$20&lt;91,0,IF(C$20&gt;120,0,C$21*(120-C$20))/30)</f>
        <v>0</v>
      </c>
      <c r="D28" s="590">
        <f t="shared" si="14"/>
        <v>0</v>
      </c>
      <c r="E28" s="590">
        <f t="shared" si="14"/>
        <v>0</v>
      </c>
      <c r="F28" s="590">
        <f t="shared" si="14"/>
        <v>0</v>
      </c>
      <c r="G28" s="590">
        <f t="shared" si="14"/>
        <v>0</v>
      </c>
      <c r="H28" s="590">
        <f t="shared" si="14"/>
        <v>0</v>
      </c>
      <c r="I28" s="590">
        <f t="shared" si="14"/>
        <v>0</v>
      </c>
      <c r="J28" s="590">
        <f t="shared" si="14"/>
        <v>0</v>
      </c>
      <c r="K28" s="590">
        <f t="shared" si="14"/>
        <v>0</v>
      </c>
      <c r="L28" s="590">
        <f t="shared" si="14"/>
        <v>0</v>
      </c>
      <c r="M28" s="590">
        <f t="shared" si="14"/>
        <v>0</v>
      </c>
      <c r="N28" s="590">
        <f t="shared" si="14"/>
        <v>0</v>
      </c>
      <c r="Q28" s="4"/>
    </row>
    <row r="29" spans="1:26">
      <c r="A29" s="4" t="s">
        <v>139</v>
      </c>
      <c r="B29" s="4" t="s">
        <v>130</v>
      </c>
      <c r="C29" s="32">
        <f>IF(C$20&lt;91,0,IF(C$20&gt;120,0,C21-C28))</f>
        <v>0</v>
      </c>
      <c r="D29" s="32">
        <f t="shared" ref="D29:N29" si="15">IF(D$20&lt;91,0,IF(D$20&gt;120,0,D21-D28))</f>
        <v>0</v>
      </c>
      <c r="E29" s="32">
        <f t="shared" si="15"/>
        <v>0</v>
      </c>
      <c r="F29" s="32">
        <f t="shared" si="15"/>
        <v>0</v>
      </c>
      <c r="G29" s="32">
        <f t="shared" si="15"/>
        <v>0</v>
      </c>
      <c r="H29" s="32">
        <f t="shared" si="15"/>
        <v>0</v>
      </c>
      <c r="I29" s="32">
        <f t="shared" si="15"/>
        <v>0</v>
      </c>
      <c r="J29" s="32">
        <f t="shared" si="15"/>
        <v>0</v>
      </c>
      <c r="K29" s="32">
        <f t="shared" si="15"/>
        <v>0</v>
      </c>
      <c r="L29" s="32">
        <f t="shared" si="15"/>
        <v>0</v>
      </c>
      <c r="M29" s="32">
        <f t="shared" si="15"/>
        <v>0</v>
      </c>
      <c r="N29" s="32">
        <f t="shared" si="15"/>
        <v>0</v>
      </c>
      <c r="Q29" s="4"/>
    </row>
    <row r="30" spans="1:26">
      <c r="A30" s="589" t="s">
        <v>139</v>
      </c>
      <c r="B30" s="589" t="s">
        <v>130</v>
      </c>
      <c r="C30" s="590">
        <f t="shared" ref="C30:N30" si="16">IF(C$20&lt;121,0,IF(C$20&gt;150,0,C$21*(150-C$20))/30)</f>
        <v>0</v>
      </c>
      <c r="D30" s="590">
        <f t="shared" si="16"/>
        <v>0</v>
      </c>
      <c r="E30" s="590">
        <f t="shared" si="16"/>
        <v>0</v>
      </c>
      <c r="F30" s="590">
        <f t="shared" si="16"/>
        <v>0</v>
      </c>
      <c r="G30" s="590">
        <f t="shared" si="16"/>
        <v>0</v>
      </c>
      <c r="H30" s="590">
        <f t="shared" si="16"/>
        <v>0</v>
      </c>
      <c r="I30" s="590">
        <f t="shared" si="16"/>
        <v>0</v>
      </c>
      <c r="J30" s="590">
        <f t="shared" si="16"/>
        <v>0</v>
      </c>
      <c r="K30" s="590">
        <f t="shared" si="16"/>
        <v>0</v>
      </c>
      <c r="L30" s="590">
        <f t="shared" si="16"/>
        <v>0</v>
      </c>
      <c r="M30" s="590">
        <f t="shared" si="16"/>
        <v>0</v>
      </c>
      <c r="N30" s="590">
        <f t="shared" si="16"/>
        <v>0</v>
      </c>
      <c r="Q30" s="4"/>
    </row>
    <row r="31" spans="1:26">
      <c r="A31" s="4" t="s">
        <v>140</v>
      </c>
      <c r="B31" s="4" t="s">
        <v>131</v>
      </c>
      <c r="C31" s="32">
        <f>IF(C$20&lt;121,0,IF(C$20&gt;150,0,C21-C30))</f>
        <v>0</v>
      </c>
      <c r="D31" s="32">
        <f t="shared" ref="D31:N31" si="17">IF(D$20&lt;121,0,IF(D$20&gt;150,0,D21-D30))</f>
        <v>0</v>
      </c>
      <c r="E31" s="32">
        <f t="shared" si="17"/>
        <v>0</v>
      </c>
      <c r="F31" s="32">
        <f t="shared" si="17"/>
        <v>0</v>
      </c>
      <c r="G31" s="32">
        <f t="shared" si="17"/>
        <v>0</v>
      </c>
      <c r="H31" s="32">
        <f t="shared" si="17"/>
        <v>0</v>
      </c>
      <c r="I31" s="32">
        <f t="shared" si="17"/>
        <v>0</v>
      </c>
      <c r="J31" s="32">
        <f t="shared" si="17"/>
        <v>0</v>
      </c>
      <c r="K31" s="32">
        <f t="shared" si="17"/>
        <v>0</v>
      </c>
      <c r="L31" s="32">
        <f t="shared" si="17"/>
        <v>0</v>
      </c>
      <c r="M31" s="32">
        <f t="shared" si="17"/>
        <v>0</v>
      </c>
      <c r="N31" s="32">
        <f t="shared" si="17"/>
        <v>0</v>
      </c>
      <c r="Q31" s="4"/>
    </row>
    <row r="32" spans="1:26">
      <c r="A32" s="589" t="s">
        <v>140</v>
      </c>
      <c r="B32" s="589" t="s">
        <v>131</v>
      </c>
      <c r="C32" s="590">
        <f t="shared" ref="C32:N32" si="18">IF(C$20&lt;151,0,IF(C$20&gt;180,0,C$21*(180-C$20))/30)</f>
        <v>0</v>
      </c>
      <c r="D32" s="590">
        <f t="shared" si="18"/>
        <v>0</v>
      </c>
      <c r="E32" s="590">
        <f t="shared" si="18"/>
        <v>0</v>
      </c>
      <c r="F32" s="590">
        <f t="shared" si="18"/>
        <v>0</v>
      </c>
      <c r="G32" s="590">
        <f t="shared" si="18"/>
        <v>0</v>
      </c>
      <c r="H32" s="590">
        <f t="shared" si="18"/>
        <v>0</v>
      </c>
      <c r="I32" s="590">
        <f t="shared" si="18"/>
        <v>0</v>
      </c>
      <c r="J32" s="590">
        <f t="shared" si="18"/>
        <v>0</v>
      </c>
      <c r="K32" s="590">
        <f t="shared" si="18"/>
        <v>0</v>
      </c>
      <c r="L32" s="590">
        <f t="shared" si="18"/>
        <v>0</v>
      </c>
      <c r="M32" s="590">
        <f t="shared" si="18"/>
        <v>0</v>
      </c>
      <c r="N32" s="590">
        <f t="shared" si="18"/>
        <v>0</v>
      </c>
      <c r="Q32" s="4"/>
    </row>
    <row r="33" spans="1:17">
      <c r="A33" s="4"/>
      <c r="B33" s="4" t="s">
        <v>133</v>
      </c>
      <c r="C33" s="32">
        <f>IF(C$20&lt;151,0,IF(C$20&gt;180,0,C21-C32))</f>
        <v>0</v>
      </c>
      <c r="D33" s="32">
        <f t="shared" ref="D33:N33" si="19">IF(D$20&lt;151,0,IF(D$20&gt;180,0,D21-D32))</f>
        <v>0</v>
      </c>
      <c r="E33" s="32">
        <f t="shared" si="19"/>
        <v>0</v>
      </c>
      <c r="F33" s="32">
        <f t="shared" si="19"/>
        <v>0</v>
      </c>
      <c r="G33" s="32">
        <f t="shared" si="19"/>
        <v>0</v>
      </c>
      <c r="H33" s="32">
        <f t="shared" si="19"/>
        <v>0</v>
      </c>
      <c r="I33" s="32">
        <f t="shared" si="19"/>
        <v>0</v>
      </c>
      <c r="J33" s="32">
        <f t="shared" si="19"/>
        <v>0</v>
      </c>
      <c r="K33" s="32">
        <f t="shared" si="19"/>
        <v>0</v>
      </c>
      <c r="L33" s="32">
        <f t="shared" si="19"/>
        <v>0</v>
      </c>
      <c r="M33" s="32">
        <f t="shared" si="19"/>
        <v>0</v>
      </c>
      <c r="N33" s="32">
        <f t="shared" si="19"/>
        <v>0</v>
      </c>
      <c r="Q33" s="4"/>
    </row>
    <row r="34" spans="1:17" s="2" customFormat="1">
      <c r="A34" s="30"/>
      <c r="B34" s="30" t="s">
        <v>134</v>
      </c>
      <c r="C34" s="586" t="str">
        <f t="shared" ref="C34:N34" si="20">C2</f>
        <v>jan.23</v>
      </c>
      <c r="D34" s="586" t="str">
        <f t="shared" si="20"/>
        <v>feb.23</v>
      </c>
      <c r="E34" s="586" t="str">
        <f t="shared" si="20"/>
        <v>mars.23</v>
      </c>
      <c r="F34" s="586" t="str">
        <f t="shared" si="20"/>
        <v>april.23</v>
      </c>
      <c r="G34" s="586" t="str">
        <f t="shared" si="20"/>
        <v>mai.23</v>
      </c>
      <c r="H34" s="586" t="str">
        <f t="shared" si="20"/>
        <v>juni.23</v>
      </c>
      <c r="I34" s="586" t="str">
        <f t="shared" si="20"/>
        <v>juli.23</v>
      </c>
      <c r="J34" s="586" t="str">
        <f t="shared" si="20"/>
        <v>aug.23</v>
      </c>
      <c r="K34" s="586" t="str">
        <f t="shared" si="20"/>
        <v>sep.23</v>
      </c>
      <c r="L34" s="586" t="str">
        <f t="shared" si="20"/>
        <v>okt.23</v>
      </c>
      <c r="M34" s="586" t="str">
        <f t="shared" si="20"/>
        <v>nov.23</v>
      </c>
      <c r="N34" s="586" t="str">
        <f t="shared" si="20"/>
        <v>dec.23</v>
      </c>
      <c r="Q34" s="4"/>
    </row>
    <row r="35" spans="1:17">
      <c r="A35" s="4"/>
      <c r="B35" s="4" t="s">
        <v>150</v>
      </c>
      <c r="C35" s="32">
        <f t="shared" ref="C35:H35" si="21">C22</f>
        <v>5279.1098666666667</v>
      </c>
      <c r="D35" s="32">
        <f t="shared" si="21"/>
        <v>5279.1098666666667</v>
      </c>
      <c r="E35" s="32">
        <f t="shared" si="21"/>
        <v>5279.1098666666667</v>
      </c>
      <c r="F35" s="32">
        <f t="shared" si="21"/>
        <v>5279.1098666666667</v>
      </c>
      <c r="G35" s="32">
        <f t="shared" si="21"/>
        <v>5279.1098666666667</v>
      </c>
      <c r="H35" s="32">
        <f t="shared" si="21"/>
        <v>5279.1098666666667</v>
      </c>
      <c r="I35" s="32">
        <f t="shared" ref="I35:N35" si="22">I22</f>
        <v>5279.1098666666667</v>
      </c>
      <c r="J35" s="32">
        <f t="shared" si="22"/>
        <v>5279.1098666666667</v>
      </c>
      <c r="K35" s="32">
        <f t="shared" si="22"/>
        <v>5279.1098666666667</v>
      </c>
      <c r="L35" s="32">
        <f t="shared" si="22"/>
        <v>5279.1098666666667</v>
      </c>
      <c r="M35" s="32">
        <f t="shared" si="22"/>
        <v>5279.1098666666667</v>
      </c>
      <c r="N35" s="32">
        <f t="shared" si="22"/>
        <v>5533.5247999999992</v>
      </c>
    </row>
    <row r="36" spans="1:17">
      <c r="A36" s="4"/>
      <c r="B36" s="4" t="s">
        <v>127</v>
      </c>
      <c r="C36" s="32"/>
      <c r="D36" s="32">
        <f>C23+C24</f>
        <v>4619.2211333333335</v>
      </c>
      <c r="E36" s="32">
        <f>D23+D24</f>
        <v>4619.2211333333335</v>
      </c>
      <c r="F36" s="32">
        <f t="shared" ref="F36:M36" si="23">E23+E24</f>
        <v>4619.2211333333335</v>
      </c>
      <c r="G36" s="32">
        <f t="shared" si="23"/>
        <v>4619.2211333333335</v>
      </c>
      <c r="H36" s="32">
        <f t="shared" si="23"/>
        <v>4619.2211333333335</v>
      </c>
      <c r="I36" s="32">
        <f t="shared" si="23"/>
        <v>4619.2211333333335</v>
      </c>
      <c r="J36" s="32">
        <f t="shared" si="23"/>
        <v>4619.2211333333335</v>
      </c>
      <c r="K36" s="32">
        <f t="shared" si="23"/>
        <v>4619.2211333333335</v>
      </c>
      <c r="L36" s="32">
        <f t="shared" si="23"/>
        <v>4619.2211333333335</v>
      </c>
      <c r="M36" s="32">
        <f t="shared" si="23"/>
        <v>4619.2211333333335</v>
      </c>
      <c r="N36" s="32">
        <f>M23+M24</f>
        <v>4619.2211333333335</v>
      </c>
    </row>
    <row r="37" spans="1:17">
      <c r="A37" s="4"/>
      <c r="B37" s="4" t="s">
        <v>128</v>
      </c>
      <c r="C37" s="32"/>
      <c r="D37" s="32"/>
      <c r="E37" s="32">
        <f>C25+C26</f>
        <v>0</v>
      </c>
      <c r="F37" s="32">
        <f t="shared" ref="F37:M37" si="24">D25+D26</f>
        <v>0</v>
      </c>
      <c r="G37" s="32">
        <f t="shared" si="24"/>
        <v>0</v>
      </c>
      <c r="H37" s="32">
        <f t="shared" si="24"/>
        <v>0</v>
      </c>
      <c r="I37" s="32">
        <f t="shared" si="24"/>
        <v>0</v>
      </c>
      <c r="J37" s="32">
        <f t="shared" si="24"/>
        <v>0</v>
      </c>
      <c r="K37" s="32">
        <f t="shared" si="24"/>
        <v>0</v>
      </c>
      <c r="L37" s="32">
        <f t="shared" si="24"/>
        <v>0</v>
      </c>
      <c r="M37" s="32">
        <f t="shared" si="24"/>
        <v>0</v>
      </c>
      <c r="N37" s="32">
        <f>L25+L26</f>
        <v>0</v>
      </c>
    </row>
    <row r="38" spans="1:17">
      <c r="A38" s="4"/>
      <c r="B38" s="4" t="s">
        <v>129</v>
      </c>
      <c r="C38" s="32"/>
      <c r="D38" s="32"/>
      <c r="E38" s="32"/>
      <c r="F38" s="32">
        <f>C27+C28</f>
        <v>0</v>
      </c>
      <c r="G38" s="32">
        <f t="shared" ref="G38:N38" si="25">D27+D28</f>
        <v>0</v>
      </c>
      <c r="H38" s="32">
        <f t="shared" si="25"/>
        <v>0</v>
      </c>
      <c r="I38" s="32">
        <f t="shared" si="25"/>
        <v>0</v>
      </c>
      <c r="J38" s="32">
        <f t="shared" si="25"/>
        <v>0</v>
      </c>
      <c r="K38" s="32">
        <f t="shared" si="25"/>
        <v>0</v>
      </c>
      <c r="L38" s="32">
        <f t="shared" si="25"/>
        <v>0</v>
      </c>
      <c r="M38" s="32">
        <f t="shared" si="25"/>
        <v>0</v>
      </c>
      <c r="N38" s="32">
        <f t="shared" si="25"/>
        <v>0</v>
      </c>
    </row>
    <row r="39" spans="1:17">
      <c r="A39" s="4"/>
      <c r="B39" s="4" t="s">
        <v>130</v>
      </c>
      <c r="C39" s="32"/>
      <c r="D39" s="32"/>
      <c r="E39" s="32"/>
      <c r="F39" s="32"/>
      <c r="G39" s="32">
        <f>C29+C30</f>
        <v>0</v>
      </c>
      <c r="H39" s="32">
        <f t="shared" ref="H39:N39" si="26">D29+D30</f>
        <v>0</v>
      </c>
      <c r="I39" s="32">
        <f t="shared" si="26"/>
        <v>0</v>
      </c>
      <c r="J39" s="32">
        <f t="shared" si="26"/>
        <v>0</v>
      </c>
      <c r="K39" s="32">
        <f t="shared" si="26"/>
        <v>0</v>
      </c>
      <c r="L39" s="32">
        <f t="shared" si="26"/>
        <v>0</v>
      </c>
      <c r="M39" s="32">
        <f t="shared" si="26"/>
        <v>0</v>
      </c>
      <c r="N39" s="32">
        <f t="shared" si="26"/>
        <v>0</v>
      </c>
    </row>
    <row r="40" spans="1:17">
      <c r="A40" s="4"/>
      <c r="B40" s="4" t="s">
        <v>131</v>
      </c>
      <c r="C40" s="32"/>
      <c r="D40" s="32"/>
      <c r="E40" s="32"/>
      <c r="F40" s="32"/>
      <c r="G40" s="32"/>
      <c r="H40" s="32">
        <f>C31+C32</f>
        <v>0</v>
      </c>
      <c r="I40" s="32">
        <f t="shared" ref="I40:N40" si="27">D31+D32</f>
        <v>0</v>
      </c>
      <c r="J40" s="32">
        <f t="shared" si="27"/>
        <v>0</v>
      </c>
      <c r="K40" s="32">
        <f t="shared" si="27"/>
        <v>0</v>
      </c>
      <c r="L40" s="32">
        <f t="shared" si="27"/>
        <v>0</v>
      </c>
      <c r="M40" s="32">
        <f t="shared" si="27"/>
        <v>0</v>
      </c>
      <c r="N40" s="32">
        <f t="shared" si="27"/>
        <v>0</v>
      </c>
    </row>
    <row r="41" spans="1:17">
      <c r="A41" s="4"/>
      <c r="B41" s="4" t="s">
        <v>133</v>
      </c>
      <c r="C41" s="32"/>
      <c r="D41" s="32"/>
      <c r="E41" s="32"/>
      <c r="F41" s="32"/>
      <c r="G41" s="32"/>
      <c r="H41" s="32"/>
      <c r="I41" s="32">
        <f t="shared" ref="I41:N41" si="28">C33</f>
        <v>0</v>
      </c>
      <c r="J41" s="32">
        <f t="shared" si="28"/>
        <v>0</v>
      </c>
      <c r="K41" s="32">
        <f t="shared" si="28"/>
        <v>0</v>
      </c>
      <c r="L41" s="32">
        <f t="shared" si="28"/>
        <v>0</v>
      </c>
      <c r="M41" s="32">
        <f t="shared" si="28"/>
        <v>0</v>
      </c>
      <c r="N41" s="32">
        <f t="shared" si="28"/>
        <v>0</v>
      </c>
    </row>
    <row r="42" spans="1:17" s="2" customFormat="1">
      <c r="A42" s="30"/>
      <c r="B42" s="30" t="s">
        <v>135</v>
      </c>
      <c r="C42" s="588">
        <f>SUM(C35:C41)</f>
        <v>5279.1098666666667</v>
      </c>
      <c r="D42" s="588">
        <f t="shared" ref="D42:N42" si="29">SUM(D35:D41)</f>
        <v>9898.3310000000001</v>
      </c>
      <c r="E42" s="588">
        <f t="shared" si="29"/>
        <v>9898.3310000000001</v>
      </c>
      <c r="F42" s="588">
        <f t="shared" si="29"/>
        <v>9898.3310000000001</v>
      </c>
      <c r="G42" s="588">
        <f t="shared" si="29"/>
        <v>9898.3310000000001</v>
      </c>
      <c r="H42" s="588">
        <f t="shared" si="29"/>
        <v>9898.3310000000001</v>
      </c>
      <c r="I42" s="588">
        <f t="shared" si="29"/>
        <v>9898.3310000000001</v>
      </c>
      <c r="J42" s="588">
        <f t="shared" si="29"/>
        <v>9898.3310000000001</v>
      </c>
      <c r="K42" s="588">
        <f t="shared" si="29"/>
        <v>9898.3310000000001</v>
      </c>
      <c r="L42" s="588">
        <f t="shared" si="29"/>
        <v>9898.3310000000001</v>
      </c>
      <c r="M42" s="588">
        <f t="shared" si="29"/>
        <v>9898.3310000000001</v>
      </c>
      <c r="N42" s="588">
        <f t="shared" si="29"/>
        <v>10152.745933333332</v>
      </c>
    </row>
    <row r="43" spans="1:17">
      <c r="A43" s="4"/>
      <c r="B43" s="4"/>
      <c r="C43" s="4"/>
      <c r="D43" s="4"/>
      <c r="E43" s="4"/>
      <c r="F43" s="4"/>
      <c r="G43" s="4"/>
      <c r="H43" s="4"/>
      <c r="I43" s="4"/>
      <c r="J43" s="4"/>
      <c r="K43" s="4"/>
      <c r="L43" s="4"/>
      <c r="M43" s="4"/>
      <c r="N43" s="4"/>
    </row>
    <row r="44" spans="1:17">
      <c r="A44" s="4"/>
      <c r="B44" s="4"/>
      <c r="C44" s="4"/>
      <c r="D44" s="4"/>
      <c r="E44" s="4"/>
      <c r="F44" s="4"/>
      <c r="G44" s="4"/>
      <c r="H44" s="4"/>
      <c r="I44" s="4"/>
      <c r="J44" s="4"/>
      <c r="K44" s="4"/>
      <c r="L44" s="4"/>
      <c r="M44" s="4"/>
      <c r="N44" s="4"/>
    </row>
    <row r="45" spans="1:17">
      <c r="A45" s="4"/>
      <c r="B45" s="4"/>
      <c r="C45" s="4"/>
      <c r="D45" s="4"/>
      <c r="E45" s="4"/>
      <c r="F45" s="4"/>
      <c r="G45" s="4"/>
      <c r="H45" s="4"/>
      <c r="I45" s="4"/>
      <c r="J45" s="4"/>
      <c r="K45" s="4"/>
      <c r="L45" s="4"/>
      <c r="M45" s="4"/>
      <c r="N45" s="4"/>
    </row>
    <row r="46" spans="1:17">
      <c r="A46" s="4"/>
      <c r="B46" s="4"/>
      <c r="C46" s="4"/>
      <c r="D46" s="4"/>
      <c r="E46" s="4"/>
      <c r="F46" s="4"/>
      <c r="G46" s="4"/>
      <c r="H46" s="4"/>
      <c r="I46" s="4"/>
      <c r="J46" s="4"/>
      <c r="K46" s="4"/>
      <c r="L46" s="4"/>
      <c r="M46" s="4"/>
      <c r="N46" s="4"/>
    </row>
    <row r="47" spans="1:17">
      <c r="A47" s="4"/>
      <c r="B47" s="4"/>
      <c r="C47" s="4"/>
      <c r="D47" s="4"/>
      <c r="E47" s="4"/>
      <c r="F47" s="4"/>
      <c r="G47" s="4"/>
      <c r="H47" s="4"/>
      <c r="I47" s="4"/>
      <c r="J47" s="4"/>
      <c r="K47" s="4"/>
      <c r="L47" s="4"/>
      <c r="M47" s="4"/>
      <c r="N47" s="4"/>
    </row>
    <row r="48" spans="1:17">
      <c r="A48" s="4"/>
      <c r="B48" s="4"/>
      <c r="C48" s="4"/>
      <c r="D48" s="4"/>
      <c r="E48" s="4"/>
      <c r="F48" s="4"/>
      <c r="G48" s="4"/>
      <c r="H48" s="4"/>
      <c r="I48" s="4"/>
      <c r="J48" s="4"/>
      <c r="K48" s="4"/>
      <c r="L48" s="4"/>
      <c r="M48" s="4"/>
      <c r="N48" s="4"/>
    </row>
    <row r="49" spans="1:14">
      <c r="A49" s="4"/>
      <c r="B49" s="4"/>
      <c r="C49" s="4"/>
      <c r="D49" s="4"/>
      <c r="E49" s="4"/>
      <c r="F49" s="4"/>
      <c r="G49" s="4"/>
      <c r="H49" s="4"/>
      <c r="I49" s="4"/>
      <c r="J49" s="4"/>
      <c r="K49" s="4"/>
      <c r="L49" s="4"/>
      <c r="M49" s="4"/>
      <c r="N49" s="4"/>
    </row>
    <row r="50" spans="1:14">
      <c r="A50" s="4"/>
      <c r="B50" s="4"/>
      <c r="C50" s="4"/>
      <c r="D50" s="4"/>
      <c r="E50" s="4"/>
      <c r="F50" s="4"/>
      <c r="G50" s="4"/>
      <c r="H50" s="4"/>
      <c r="I50" s="4"/>
      <c r="J50" s="4"/>
      <c r="K50" s="4"/>
      <c r="L50" s="4"/>
      <c r="M50" s="4"/>
      <c r="N50" s="4"/>
    </row>
    <row r="51" spans="1:14">
      <c r="A51" s="4"/>
      <c r="B51" s="4"/>
      <c r="C51" s="4"/>
      <c r="D51" s="4"/>
      <c r="E51" s="4"/>
      <c r="F51" s="4"/>
      <c r="G51" s="4"/>
      <c r="H51" s="4"/>
      <c r="I51" s="4"/>
      <c r="J51" s="4"/>
      <c r="K51" s="4"/>
      <c r="L51" s="4"/>
      <c r="M51" s="4"/>
      <c r="N51" s="4"/>
    </row>
    <row r="52" spans="1:14">
      <c r="A52" s="4"/>
      <c r="B52" s="4"/>
      <c r="C52" s="4"/>
      <c r="D52" s="4"/>
      <c r="E52" s="4"/>
      <c r="F52" s="4"/>
      <c r="G52" s="4"/>
      <c r="H52" s="4"/>
      <c r="I52" s="4"/>
      <c r="J52" s="4"/>
      <c r="K52" s="4"/>
      <c r="L52" s="4"/>
      <c r="M52" s="4"/>
      <c r="N52" s="4"/>
    </row>
    <row r="53" spans="1:14">
      <c r="A53" s="4"/>
      <c r="B53" s="4"/>
      <c r="C53" s="4"/>
      <c r="D53" s="4"/>
      <c r="E53" s="4"/>
      <c r="F53" s="4"/>
      <c r="G53" s="4"/>
      <c r="H53" s="4"/>
      <c r="I53" s="4"/>
      <c r="J53" s="4"/>
      <c r="K53" s="4"/>
      <c r="L53" s="4"/>
      <c r="M53" s="4"/>
      <c r="N53" s="4"/>
    </row>
    <row r="54" spans="1:14">
      <c r="A54" s="4"/>
      <c r="B54" s="4"/>
      <c r="C54" s="4"/>
      <c r="D54" s="4"/>
      <c r="E54" s="4"/>
      <c r="F54" s="4"/>
      <c r="G54" s="4"/>
      <c r="H54" s="4"/>
      <c r="I54" s="4"/>
      <c r="J54" s="4"/>
      <c r="K54" s="4"/>
      <c r="L54" s="4"/>
      <c r="M54" s="4"/>
      <c r="N54" s="4"/>
    </row>
    <row r="55" spans="1:14">
      <c r="A55" s="4"/>
      <c r="B55" s="4"/>
      <c r="C55" s="4"/>
      <c r="D55" s="4"/>
      <c r="E55" s="4"/>
      <c r="F55" s="4"/>
      <c r="G55" s="4"/>
      <c r="H55" s="4"/>
      <c r="I55" s="4"/>
      <c r="J55" s="4"/>
      <c r="K55" s="4"/>
      <c r="L55" s="4"/>
      <c r="M55" s="4"/>
      <c r="N55" s="4"/>
    </row>
    <row r="56" spans="1:14">
      <c r="A56" s="4"/>
      <c r="B56" s="4"/>
      <c r="C56" s="4"/>
      <c r="D56" s="4"/>
      <c r="E56" s="4"/>
      <c r="F56" s="4"/>
      <c r="G56" s="4"/>
      <c r="H56" s="4"/>
      <c r="I56" s="4"/>
      <c r="J56" s="4"/>
      <c r="K56" s="4"/>
      <c r="L56" s="4"/>
      <c r="M56" s="4"/>
      <c r="N56" s="4"/>
    </row>
    <row r="57" spans="1:14">
      <c r="A57" s="4"/>
      <c r="B57" s="4"/>
      <c r="C57" s="4"/>
      <c r="D57" s="4"/>
      <c r="E57" s="4"/>
      <c r="F57" s="4"/>
      <c r="G57" s="4"/>
      <c r="H57" s="4"/>
      <c r="I57" s="4"/>
      <c r="J57" s="4"/>
      <c r="K57" s="4"/>
      <c r="L57" s="4"/>
      <c r="M57" s="4"/>
      <c r="N57" s="4"/>
    </row>
    <row r="58" spans="1:14">
      <c r="A58" s="4"/>
      <c r="B58" s="4"/>
      <c r="C58" s="4"/>
      <c r="D58" s="4"/>
      <c r="E58" s="4"/>
      <c r="F58" s="4"/>
      <c r="G58" s="4"/>
      <c r="H58" s="4"/>
      <c r="I58" s="4"/>
      <c r="J58" s="4"/>
      <c r="K58" s="4"/>
      <c r="L58" s="4"/>
      <c r="M58" s="4"/>
      <c r="N58" s="4"/>
    </row>
    <row r="59" spans="1:14">
      <c r="A59" s="4"/>
      <c r="B59" s="4"/>
      <c r="C59" s="4"/>
      <c r="D59" s="4"/>
      <c r="E59" s="4"/>
      <c r="F59" s="4"/>
      <c r="G59" s="4"/>
      <c r="H59" s="4"/>
      <c r="I59" s="4"/>
      <c r="J59" s="4"/>
      <c r="K59" s="4"/>
      <c r="L59" s="4"/>
      <c r="M59" s="4"/>
      <c r="N59" s="4"/>
    </row>
    <row r="60" spans="1:14">
      <c r="A60" s="4"/>
      <c r="B60" s="4"/>
      <c r="C60" s="4"/>
      <c r="D60" s="4"/>
      <c r="E60" s="4"/>
      <c r="F60" s="4"/>
      <c r="G60" s="4"/>
      <c r="H60" s="4"/>
      <c r="I60" s="4"/>
      <c r="J60" s="4"/>
      <c r="K60" s="4"/>
      <c r="L60" s="4"/>
      <c r="M60" s="4"/>
      <c r="N60" s="4"/>
    </row>
    <row r="61" spans="1:14">
      <c r="A61" s="4"/>
      <c r="B61" s="4"/>
      <c r="C61" s="4"/>
      <c r="D61" s="4"/>
      <c r="E61" s="4"/>
      <c r="F61" s="4"/>
      <c r="G61" s="4"/>
      <c r="H61" s="4"/>
      <c r="I61" s="4"/>
      <c r="J61" s="4"/>
      <c r="K61" s="4"/>
      <c r="L61" s="4"/>
      <c r="M61" s="4"/>
      <c r="N61" s="4"/>
    </row>
    <row r="62" spans="1:14">
      <c r="A62" s="4"/>
      <c r="B62" s="4"/>
      <c r="C62" s="4"/>
      <c r="D62" s="4"/>
      <c r="E62" s="4"/>
      <c r="F62" s="4"/>
      <c r="G62" s="4"/>
      <c r="H62" s="4"/>
      <c r="I62" s="4"/>
      <c r="J62" s="4"/>
      <c r="K62" s="4"/>
      <c r="L62" s="4"/>
      <c r="M62" s="4"/>
      <c r="N62" s="4"/>
    </row>
    <row r="63" spans="1:14">
      <c r="A63" s="4"/>
      <c r="B63" s="4"/>
      <c r="C63" s="4"/>
      <c r="D63" s="4"/>
      <c r="E63" s="4"/>
      <c r="F63" s="4"/>
      <c r="G63" s="4"/>
      <c r="H63" s="4"/>
      <c r="I63" s="4"/>
      <c r="J63" s="4"/>
      <c r="K63" s="4"/>
      <c r="L63" s="4"/>
      <c r="M63" s="4"/>
      <c r="N63" s="4"/>
    </row>
    <row r="64" spans="1:14">
      <c r="A64" s="4"/>
      <c r="B64" s="4"/>
      <c r="C64" s="4"/>
      <c r="D64" s="4"/>
      <c r="E64" s="4"/>
      <c r="F64" s="4"/>
      <c r="G64" s="4"/>
      <c r="H64" s="4"/>
      <c r="I64" s="4"/>
      <c r="J64" s="4"/>
      <c r="K64" s="4"/>
      <c r="L64" s="4"/>
      <c r="M64" s="4"/>
      <c r="N64" s="4"/>
    </row>
    <row r="65" spans="1:14">
      <c r="A65" s="4"/>
      <c r="B65" s="4"/>
      <c r="C65" s="4"/>
      <c r="D65" s="4"/>
      <c r="E65" s="4"/>
      <c r="F65" s="4"/>
      <c r="G65" s="4"/>
      <c r="H65" s="4"/>
      <c r="I65" s="4"/>
      <c r="J65" s="4"/>
      <c r="K65" s="4"/>
      <c r="L65" s="4"/>
      <c r="M65" s="4"/>
      <c r="N65" s="4"/>
    </row>
    <row r="66" spans="1:14">
      <c r="A66" s="4"/>
      <c r="B66" s="4"/>
      <c r="C66" s="4"/>
      <c r="D66" s="4"/>
      <c r="E66" s="4"/>
      <c r="F66" s="4"/>
      <c r="G66" s="4"/>
      <c r="H66" s="4"/>
      <c r="I66" s="4"/>
      <c r="J66" s="4"/>
      <c r="K66" s="4"/>
      <c r="L66" s="4"/>
      <c r="M66" s="4"/>
      <c r="N66" s="4"/>
    </row>
    <row r="67" spans="1:14">
      <c r="A67" s="4"/>
      <c r="B67" s="4"/>
      <c r="C67" s="4"/>
      <c r="D67" s="4"/>
      <c r="E67" s="4"/>
      <c r="F67" s="4"/>
      <c r="G67" s="4"/>
      <c r="H67" s="4"/>
      <c r="I67" s="4"/>
      <c r="J67" s="4"/>
      <c r="K67" s="4"/>
      <c r="L67" s="4"/>
      <c r="M67" s="4"/>
      <c r="N67" s="4"/>
    </row>
    <row r="68" spans="1:14">
      <c r="A68" s="4"/>
      <c r="B68" s="4"/>
      <c r="C68" s="4"/>
      <c r="D68" s="4"/>
      <c r="E68" s="4"/>
      <c r="F68" s="4"/>
      <c r="G68" s="4"/>
      <c r="H68" s="4"/>
      <c r="I68" s="4"/>
      <c r="J68" s="4"/>
      <c r="K68" s="4"/>
      <c r="L68" s="4"/>
      <c r="M68" s="4"/>
      <c r="N68" s="4"/>
    </row>
  </sheetData>
  <sheetProtection password="9675" sheet="1" objects="1" scenarios="1" selectLockedCells="1" selectUn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tabColor rgb="FF7030A0"/>
  </sheetPr>
  <dimension ref="A1:AY215"/>
  <sheetViews>
    <sheetView showGridLines="0" showZeros="0" topLeftCell="A22" zoomScaleNormal="100" workbookViewId="0">
      <selection activeCell="J16" sqref="J16"/>
    </sheetView>
  </sheetViews>
  <sheetFormatPr defaultRowHeight="12.45"/>
  <cols>
    <col min="1" max="1" width="10.69140625" customWidth="1"/>
    <col min="2" max="2" width="3" customWidth="1"/>
    <col min="3" max="3" width="28.53515625" customWidth="1"/>
    <col min="4" max="8" width="6.69140625" customWidth="1"/>
    <col min="9" max="9" width="5.69140625" customWidth="1"/>
    <col min="10" max="10" width="6.69140625" customWidth="1"/>
    <col min="11" max="11" width="5.69140625" customWidth="1"/>
    <col min="12" max="12" width="6.69140625" customWidth="1"/>
    <col min="13" max="13" width="5.69140625" customWidth="1"/>
    <col min="14" max="14" width="6.69140625" customWidth="1"/>
    <col min="15" max="15" width="5.69140625" customWidth="1"/>
    <col min="16" max="16" width="1.3046875" customWidth="1"/>
    <col min="17" max="17" width="3.07421875" style="963" customWidth="1"/>
    <col min="18" max="18" width="40.765625" customWidth="1"/>
    <col min="19" max="24" width="10.84375" customWidth="1"/>
    <col min="25" max="25" width="1.765625" customWidth="1"/>
    <col min="26" max="26" width="26.53515625" customWidth="1"/>
    <col min="27" max="27" width="7.53515625" customWidth="1"/>
    <col min="28" max="28" width="5.4609375" customWidth="1"/>
    <col min="29" max="29" width="4.84375" customWidth="1"/>
    <col min="30" max="31" width="6.69140625" customWidth="1"/>
    <col min="32" max="32" width="5.4609375" customWidth="1"/>
    <col min="33" max="34" width="6.69140625" customWidth="1"/>
    <col min="35" max="35" width="5.4609375" customWidth="1"/>
    <col min="36" max="37" width="6.69140625" customWidth="1"/>
    <col min="38" max="38" width="5.4609375" customWidth="1"/>
    <col min="39" max="40" width="6.69140625" customWidth="1"/>
    <col min="41" max="41" width="5.4609375" customWidth="1"/>
    <col min="42" max="42" width="3.3046875" customWidth="1"/>
    <col min="43" max="43" width="26" customWidth="1"/>
    <col min="44" max="50" width="11.765625" customWidth="1"/>
    <col min="51" max="51" width="3.4609375" customWidth="1"/>
  </cols>
  <sheetData>
    <row r="1" spans="1:51" ht="23.4" customHeight="1">
      <c r="K1" s="140"/>
      <c r="L1" s="140"/>
      <c r="M1" s="140"/>
      <c r="N1" s="140"/>
      <c r="O1" s="140"/>
      <c r="R1" s="1924"/>
    </row>
    <row r="2" spans="1:51" ht="17.25" customHeight="1">
      <c r="B2" s="2471"/>
      <c r="C2" s="2471"/>
      <c r="D2" s="2471"/>
      <c r="E2" s="2471"/>
      <c r="F2" s="2471"/>
      <c r="G2" s="2471"/>
      <c r="I2" s="1924"/>
      <c r="J2" s="1923"/>
      <c r="K2" s="698"/>
      <c r="N2" s="140"/>
      <c r="O2" s="140"/>
      <c r="Q2" s="2523"/>
      <c r="R2" s="2523"/>
      <c r="S2" s="2523"/>
      <c r="T2" s="140"/>
      <c r="U2" s="140"/>
      <c r="V2" s="913"/>
      <c r="W2" s="140"/>
      <c r="X2" s="140"/>
      <c r="Y2" s="1126"/>
      <c r="AA2" s="912"/>
      <c r="AB2" s="914"/>
      <c r="AC2" s="914"/>
      <c r="AD2" s="915"/>
      <c r="AE2" s="915"/>
      <c r="AF2" s="915"/>
      <c r="AG2" s="915"/>
      <c r="AH2" s="915"/>
      <c r="AI2" s="648"/>
      <c r="AJ2" s="140"/>
      <c r="AS2" s="988"/>
      <c r="AT2" s="989"/>
      <c r="AU2" s="989"/>
      <c r="AV2" s="987"/>
      <c r="AW2" s="917"/>
      <c r="AX2" s="772"/>
      <c r="AY2" s="772"/>
    </row>
    <row r="3" spans="1:51" s="764" customFormat="1" ht="17.25" customHeight="1">
      <c r="B3" s="2471"/>
      <c r="C3" s="2471"/>
      <c r="D3" s="2471"/>
      <c r="E3" s="2471"/>
      <c r="F3" s="2471"/>
      <c r="G3" s="2471"/>
      <c r="I3" s="44" t="s">
        <v>169</v>
      </c>
      <c r="J3" s="2323"/>
      <c r="K3" s="2324"/>
      <c r="L3" s="44"/>
      <c r="N3" s="140"/>
      <c r="O3" s="140"/>
      <c r="Q3" s="2523"/>
      <c r="R3" s="2523"/>
      <c r="S3" s="2523"/>
      <c r="T3" s="917"/>
      <c r="U3" s="917"/>
      <c r="V3" s="986"/>
      <c r="W3" s="908"/>
      <c r="X3" s="140"/>
      <c r="Y3" s="1126"/>
      <c r="Z3" s="1943"/>
      <c r="AA3" s="1943"/>
      <c r="AB3" s="1943"/>
      <c r="AC3" s="1943"/>
      <c r="AD3" s="988"/>
      <c r="AE3" s="988"/>
      <c r="AF3" s="988"/>
      <c r="AG3" s="988"/>
      <c r="AH3" s="987"/>
      <c r="AI3" s="2327"/>
      <c r="AJ3" s="2328"/>
      <c r="AK3" s="910"/>
      <c r="AQ3" s="2522"/>
      <c r="AR3" s="2522"/>
      <c r="AS3" s="917"/>
      <c r="AT3" s="917"/>
      <c r="AU3" s="917"/>
      <c r="AV3" s="917"/>
      <c r="AW3" s="990"/>
      <c r="AX3" s="909"/>
      <c r="AY3" s="909"/>
    </row>
    <row r="4" spans="1:51" ht="13.2" customHeight="1">
      <c r="D4" s="910"/>
      <c r="E4" s="910"/>
      <c r="F4" s="910"/>
      <c r="G4" s="910"/>
      <c r="H4" s="910"/>
      <c r="I4" s="2322">
        <f>'1. T1 INVESTERINGSP. '!E4</f>
        <v>0</v>
      </c>
      <c r="J4" s="2322"/>
      <c r="K4" s="1922"/>
      <c r="L4" s="1926"/>
      <c r="M4" s="1926"/>
      <c r="N4" s="140"/>
      <c r="O4" s="140"/>
      <c r="Q4" s="2524"/>
      <c r="R4" s="2524"/>
      <c r="S4" s="2524"/>
      <c r="T4" s="983"/>
      <c r="U4" s="983"/>
      <c r="V4" s="770"/>
      <c r="W4" s="140"/>
      <c r="X4" s="140"/>
      <c r="Y4" s="1126"/>
      <c r="AK4" s="910"/>
      <c r="AV4" s="1888"/>
      <c r="AX4" s="910"/>
      <c r="AY4" s="910"/>
    </row>
    <row r="5" spans="1:51" ht="12" customHeight="1">
      <c r="B5" s="1893" t="s">
        <v>171</v>
      </c>
      <c r="C5" s="1894"/>
      <c r="D5" s="1894"/>
      <c r="E5" s="1894"/>
      <c r="F5" s="1894"/>
      <c r="G5" s="1895"/>
      <c r="H5" s="1896"/>
      <c r="I5" s="2405" t="s">
        <v>172</v>
      </c>
      <c r="J5" s="2405"/>
      <c r="K5" s="2405"/>
      <c r="L5" s="2405"/>
      <c r="M5" s="2405"/>
      <c r="N5" s="2405"/>
      <c r="O5" s="2405"/>
      <c r="Q5" s="2442" t="s">
        <v>766</v>
      </c>
      <c r="R5" s="2443"/>
      <c r="S5" s="1834" t="s">
        <v>241</v>
      </c>
      <c r="T5" s="1834" t="s">
        <v>241</v>
      </c>
      <c r="U5" s="1834" t="s">
        <v>179</v>
      </c>
      <c r="V5" s="1834" t="s">
        <v>180</v>
      </c>
      <c r="W5" s="1834" t="s">
        <v>181</v>
      </c>
      <c r="X5" s="1835" t="s">
        <v>182</v>
      </c>
      <c r="Y5" s="1126"/>
      <c r="Z5" s="1847" t="s">
        <v>605</v>
      </c>
      <c r="AA5" s="1848"/>
      <c r="AB5" s="1848"/>
      <c r="AC5" s="1849"/>
      <c r="AD5" s="2482" t="str">
        <f>'9. T4 FINANSIERINGSB. '!P10</f>
        <v>Realiserad</v>
      </c>
      <c r="AE5" s="2482"/>
      <c r="AF5" s="2482" t="str">
        <f>'9. T4 FINANSIERINGSB. '!Q10</f>
        <v>Realiserad</v>
      </c>
      <c r="AG5" s="2482"/>
      <c r="AH5" s="2477" t="str">
        <f>'9. T4 FINANSIERINGSB. '!H46</f>
        <v>Prognos 1</v>
      </c>
      <c r="AI5" s="2477"/>
      <c r="AJ5" s="2477" t="str">
        <f>'9. T4 FINANSIERINGSB. '!I46</f>
        <v>Prognos 2</v>
      </c>
      <c r="AK5" s="2477"/>
      <c r="AL5" s="2477" t="str">
        <f>'9. T4 FINANSIERINGSB. '!J46</f>
        <v>Prognos 3</v>
      </c>
      <c r="AM5" s="2477"/>
      <c r="AN5" s="2477" t="str">
        <f>'9. T4 FINANSIERINGSB. '!K46</f>
        <v>Prognos 4</v>
      </c>
      <c r="AO5" s="2535"/>
      <c r="AQ5" s="2467" t="s">
        <v>338</v>
      </c>
      <c r="AR5" s="2468"/>
      <c r="AS5" s="1907" t="str">
        <f>S25</f>
        <v>Realiserad</v>
      </c>
      <c r="AT5" s="1907" t="str">
        <f>AS5</f>
        <v>Realiserad</v>
      </c>
      <c r="AU5" s="1907" t="str">
        <f t="shared" ref="AU5:AX6" si="0">U25</f>
        <v>Prognos 1</v>
      </c>
      <c r="AV5" s="1907" t="str">
        <f t="shared" si="0"/>
        <v>Prognos 2</v>
      </c>
      <c r="AW5" s="1907" t="str">
        <f t="shared" si="0"/>
        <v>Prognos 3</v>
      </c>
      <c r="AX5" s="1908" t="str">
        <f t="shared" si="0"/>
        <v>Prognos 4</v>
      </c>
    </row>
    <row r="6" spans="1:51" ht="12.65" customHeight="1">
      <c r="B6" s="967" t="str">
        <f>'2. &amp; 7. T2  RESULTATB.'!B5</f>
        <v>Exempel Dagis Ab</v>
      </c>
      <c r="C6" s="967"/>
      <c r="D6" s="967"/>
      <c r="E6" s="967"/>
      <c r="F6" s="1885"/>
      <c r="G6" s="2446"/>
      <c r="H6" s="2446"/>
      <c r="I6" s="1919">
        <f>'1. T1 INVESTERINGSP. '!E7</f>
        <v>0</v>
      </c>
      <c r="J6" s="1920"/>
      <c r="K6" s="1920"/>
      <c r="L6" s="1920"/>
      <c r="M6" s="1920"/>
      <c r="N6" s="1920"/>
      <c r="O6" s="1920"/>
      <c r="Q6" s="2444"/>
      <c r="R6" s="2445"/>
      <c r="S6" s="1836">
        <f>'3. &amp; 8. T3 BALANS'!F11</f>
        <v>2021</v>
      </c>
      <c r="T6" s="1836">
        <f>'3. &amp; 8. T3 BALANS'!G11</f>
        <v>2022</v>
      </c>
      <c r="U6" s="1836">
        <f>'3. &amp; 8. T3 BALANS'!H11</f>
        <v>2023</v>
      </c>
      <c r="V6" s="1836">
        <f>'3. &amp; 8. T3 BALANS'!I11</f>
        <v>2024</v>
      </c>
      <c r="W6" s="1836">
        <f>'3. &amp; 8. T3 BALANS'!J11</f>
        <v>2025</v>
      </c>
      <c r="X6" s="1837">
        <f>'3. &amp; 8. T3 BALANS'!K11</f>
        <v>2026</v>
      </c>
      <c r="Z6" s="1850" t="s">
        <v>606</v>
      </c>
      <c r="AA6" s="1851"/>
      <c r="AB6" s="1851"/>
      <c r="AC6" s="1852"/>
      <c r="AD6" s="2478">
        <f>'9. T4 FINANSIERINGSB. '!P11</f>
        <v>2021</v>
      </c>
      <c r="AE6" s="2478"/>
      <c r="AF6" s="2478">
        <f>'9. T4 FINANSIERINGSB. '!Q11</f>
        <v>2022</v>
      </c>
      <c r="AG6" s="2478"/>
      <c r="AH6" s="2479">
        <f>'9. T4 FINANSIERINGSB. '!H47</f>
        <v>2023</v>
      </c>
      <c r="AI6" s="2479"/>
      <c r="AJ6" s="2479">
        <f>'9. T4 FINANSIERINGSB. '!I47</f>
        <v>2024</v>
      </c>
      <c r="AK6" s="2479"/>
      <c r="AL6" s="2479">
        <f>'9. T4 FINANSIERINGSB. '!J47</f>
        <v>2025</v>
      </c>
      <c r="AM6" s="2479"/>
      <c r="AN6" s="2479">
        <f>'9. T4 FINANSIERINGSB. '!K47</f>
        <v>2026</v>
      </c>
      <c r="AO6" s="2536"/>
      <c r="AQ6" s="2469"/>
      <c r="AR6" s="2470"/>
      <c r="AS6" s="1909">
        <f>S26</f>
        <v>2021</v>
      </c>
      <c r="AT6" s="1909">
        <f>T26</f>
        <v>2022</v>
      </c>
      <c r="AU6" s="1909">
        <f t="shared" si="0"/>
        <v>2023</v>
      </c>
      <c r="AV6" s="1909">
        <f t="shared" si="0"/>
        <v>2024</v>
      </c>
      <c r="AW6" s="1909">
        <f t="shared" si="0"/>
        <v>2025</v>
      </c>
      <c r="AX6" s="1910">
        <f t="shared" si="0"/>
        <v>2026</v>
      </c>
    </row>
    <row r="7" spans="1:51" ht="12.65" customHeight="1">
      <c r="B7" s="1901" t="s">
        <v>173</v>
      </c>
      <c r="C7" s="1901"/>
      <c r="D7" s="1901"/>
      <c r="E7" s="1901"/>
      <c r="F7" s="1902"/>
      <c r="G7" s="1902"/>
      <c r="H7" s="1902"/>
      <c r="I7" s="2405" t="s">
        <v>175</v>
      </c>
      <c r="J7" s="2405"/>
      <c r="K7" s="2405"/>
      <c r="L7" s="2405"/>
      <c r="M7" s="2405"/>
      <c r="N7" s="2405"/>
      <c r="O7" s="2405"/>
      <c r="Q7" s="1281" t="s">
        <v>67</v>
      </c>
      <c r="R7" s="1280" t="s">
        <v>254</v>
      </c>
      <c r="S7" s="1561">
        <f>'3. &amp; 8. T3 BALANS'!F13/1000</f>
        <v>0</v>
      </c>
      <c r="T7" s="1561">
        <f>'3. &amp; 8. T3 BALANS'!G13/1000</f>
        <v>12.086</v>
      </c>
      <c r="U7" s="1561">
        <f>'3. &amp; 8. T3 BALANS'!H13/1000</f>
        <v>220.41079999999999</v>
      </c>
      <c r="V7" s="1561">
        <f>'3. &amp; 8. T3 BALANS'!I13/1000</f>
        <v>201.34709999999998</v>
      </c>
      <c r="W7" s="1561">
        <f>'3. &amp; 8. T3 BALANS'!J13/1000</f>
        <v>184.49324780000001</v>
      </c>
      <c r="X7" s="1561">
        <f>'3. &amp; 8. T3 BALANS'!K13/1000</f>
        <v>169.51947629399999</v>
      </c>
      <c r="Y7" s="910"/>
      <c r="Z7" s="1555" t="s">
        <v>600</v>
      </c>
      <c r="AA7" s="1555" t="s">
        <v>0</v>
      </c>
      <c r="AB7" s="1555"/>
      <c r="AC7" s="1556" t="s">
        <v>15</v>
      </c>
      <c r="AD7" s="2384">
        <f>'9. T4 FINANSIERINGSB. '!F49/1000</f>
        <v>0</v>
      </c>
      <c r="AE7" s="2384"/>
      <c r="AF7" s="2384">
        <f>'9. T4 FINANSIERINGSB. '!G49/1000</f>
        <v>0</v>
      </c>
      <c r="AG7" s="2384"/>
      <c r="AH7" s="2480">
        <f>'9. T4 FINANSIERINGSB. '!H49/1000</f>
        <v>0</v>
      </c>
      <c r="AI7" s="2480"/>
      <c r="AJ7" s="2480">
        <f>'9. T4 FINANSIERINGSB. '!I49/1000</f>
        <v>0</v>
      </c>
      <c r="AK7" s="2480"/>
      <c r="AL7" s="2480">
        <f>'9. T4 FINANSIERINGSB. '!J49/1000</f>
        <v>0</v>
      </c>
      <c r="AM7" s="2480"/>
      <c r="AN7" s="2480">
        <f>'9. T4 FINANSIERINGSB. '!K49/1000</f>
        <v>0</v>
      </c>
      <c r="AO7" s="2480"/>
      <c r="AQ7" s="1903" t="str">
        <f>'9. T4 FINANSIERINGSB. '!M26</f>
        <v xml:space="preserve"> LIKVIDITET</v>
      </c>
      <c r="AR7" s="996"/>
      <c r="AS7" s="1904"/>
      <c r="AT7" s="1904"/>
      <c r="AU7" s="1904"/>
      <c r="AV7" s="1905"/>
      <c r="AW7" s="1904"/>
      <c r="AX7" s="1906"/>
    </row>
    <row r="8" spans="1:51" ht="11.25" customHeight="1">
      <c r="B8" s="2321">
        <f>'1. T1 INVESTERINGSP. '!B9:D9</f>
        <v>0</v>
      </c>
      <c r="C8" s="2321"/>
      <c r="D8" s="2321"/>
      <c r="E8" s="2321"/>
      <c r="F8" s="1885"/>
      <c r="G8" s="1885"/>
      <c r="H8" s="1885"/>
      <c r="I8" s="1927">
        <f>'1. T1 INVESTERINGSP. '!E9</f>
        <v>0</v>
      </c>
      <c r="J8" s="1925"/>
      <c r="K8" s="1925"/>
      <c r="L8" s="1925"/>
      <c r="M8" s="1886"/>
      <c r="N8" s="1886"/>
      <c r="O8" s="1886"/>
      <c r="Q8" s="1253"/>
      <c r="R8" s="662" t="s">
        <v>639</v>
      </c>
      <c r="S8" s="1683">
        <f>'3. &amp; 8. T3 BALANS'!F14/1000</f>
        <v>0</v>
      </c>
      <c r="T8" s="1683">
        <f>'3. &amp; 8. T3 BALANS'!G14/1000</f>
        <v>4.9160000000000004</v>
      </c>
      <c r="U8" s="1683">
        <f>'3. &amp; 8. T3 BALANS'!H14/1000</f>
        <v>3.9328000000000003</v>
      </c>
      <c r="V8" s="1683">
        <f>'3. &amp; 8. T3 BALANS'!I14/1000</f>
        <v>3.1462400000000001</v>
      </c>
      <c r="W8" s="1683">
        <f>'3. &amp; 8. T3 BALANS'!J14/1000</f>
        <v>2.5169920000000001</v>
      </c>
      <c r="X8" s="1683">
        <f>'3. &amp; 8. T3 BALANS'!K14/1000</f>
        <v>2.0135936000000001</v>
      </c>
      <c r="Y8" s="910"/>
      <c r="Z8" s="2378" t="str">
        <f>'9. T4 FINANSIERINGSB. '!C50</f>
        <v>Omsättningstillgångar / omsättning (%)</v>
      </c>
      <c r="AA8" s="2378"/>
      <c r="AB8" s="2378"/>
      <c r="AC8" s="2379"/>
      <c r="AD8" s="2359">
        <f>'9. T4 FINANSIERINGSB. '!F50</f>
        <v>0</v>
      </c>
      <c r="AE8" s="2359"/>
      <c r="AF8" s="2359">
        <f>'9. T4 FINANSIERINGSB. '!G50</f>
        <v>0</v>
      </c>
      <c r="AG8" s="2359"/>
      <c r="AH8" s="2359">
        <f>'9. T4 FINANSIERINGSB. '!H50</f>
        <v>0</v>
      </c>
      <c r="AI8" s="2359"/>
      <c r="AJ8" s="2359">
        <f>'9. T4 FINANSIERINGSB. '!J50</f>
        <v>0</v>
      </c>
      <c r="AK8" s="2359"/>
      <c r="AL8" s="2359">
        <f>'9. T4 FINANSIERINGSB. '!L50</f>
        <v>0</v>
      </c>
      <c r="AM8" s="2359"/>
      <c r="AN8" s="2359">
        <f>'9. T4 FINANSIERINGSB. '!K50</f>
        <v>0</v>
      </c>
      <c r="AO8" s="2359"/>
      <c r="AQ8" s="997" t="s">
        <v>103</v>
      </c>
      <c r="AR8" s="1526"/>
      <c r="AS8" s="886">
        <f>'9. T4 FINANSIERINGSB. '!P27</f>
        <v>0</v>
      </c>
      <c r="AT8" s="886">
        <f>'9. T4 FINANSIERINGSB. '!Q27</f>
        <v>0.79273400998872245</v>
      </c>
      <c r="AU8" s="886">
        <f>'9. T4 FINANSIERINGSB. '!R27</f>
        <v>0.2475250739214159</v>
      </c>
      <c r="AV8" s="886">
        <f>'9. T4 FINANSIERINGSB. '!S27</f>
        <v>0.65448598223694099</v>
      </c>
      <c r="AW8" s="886">
        <f>'9. T4 FINANSIERINGSB. '!T27</f>
        <v>1.6745037500231954</v>
      </c>
      <c r="AX8" s="886">
        <f>'9. T4 FINANSIERINGSB. '!U27</f>
        <v>2.6367789310754803</v>
      </c>
    </row>
    <row r="9" spans="1:51" ht="11.25" customHeight="1">
      <c r="B9" s="2455" t="str">
        <f>'1. T1 INVESTERINGSP. '!B10</f>
        <v>Projekt</v>
      </c>
      <c r="C9" s="2455"/>
      <c r="D9" s="2455"/>
      <c r="E9" s="2455"/>
      <c r="F9" s="2455"/>
      <c r="G9" s="2455"/>
      <c r="H9" s="2455"/>
      <c r="I9" s="2405" t="str">
        <f>'1. T1 INVESTERINGSP. '!E10</f>
        <v>Startdatum</v>
      </c>
      <c r="J9" s="2405"/>
      <c r="K9" s="2405"/>
      <c r="L9" s="2405"/>
      <c r="M9" s="2405"/>
      <c r="N9" s="2405"/>
      <c r="O9" s="2405"/>
      <c r="Q9" s="1253"/>
      <c r="R9" s="632" t="s">
        <v>640</v>
      </c>
      <c r="S9" s="1683">
        <f>'3. &amp; 8. T3 BALANS'!F18/1000</f>
        <v>0</v>
      </c>
      <c r="T9" s="1683">
        <f>'3. &amp; 8. T3 BALANS'!G18/1000</f>
        <v>7.17</v>
      </c>
      <c r="U9" s="1683">
        <f>'3. &amp; 8. T3 BALANS'!H18/1000</f>
        <v>216.47800000000001</v>
      </c>
      <c r="V9" s="1683">
        <f>'3. &amp; 8. T3 BALANS'!I18/1000</f>
        <v>198.20085999999998</v>
      </c>
      <c r="W9" s="1683">
        <f>'3. &amp; 8. T3 BALANS'!J18/1000</f>
        <v>181.97625580000002</v>
      </c>
      <c r="X9" s="1683">
        <f>'3. &amp; 8. T3 BALANS'!K18/1000</f>
        <v>167.50588269400001</v>
      </c>
      <c r="Y9" s="910"/>
      <c r="Z9" s="1557" t="s">
        <v>609</v>
      </c>
      <c r="AA9" s="1558" t="s">
        <v>0</v>
      </c>
      <c r="AB9" s="1558"/>
      <c r="AC9" s="1554" t="s">
        <v>15</v>
      </c>
      <c r="AD9" s="2353">
        <f>'9. T4 FINANSIERINGSB. '!F51/1000</f>
        <v>0</v>
      </c>
      <c r="AE9" s="2353"/>
      <c r="AF9" s="2353">
        <f>'9. T4 FINANSIERINGSB. '!G51/1000</f>
        <v>4.9429999999999996</v>
      </c>
      <c r="AG9" s="2353"/>
      <c r="AH9" s="2353">
        <f>'9. T4 FINANSIERINGSB. '!H51/1000</f>
        <v>5.4056948819121473</v>
      </c>
      <c r="AI9" s="2353"/>
      <c r="AJ9" s="2358">
        <f>'9. T4 FINANSIERINGSB. '!I51/1000</f>
        <v>6.1645695709721062</v>
      </c>
      <c r="AK9" s="2358"/>
      <c r="AL9" s="2358">
        <f>'9. T4 FINANSIERINGSB. '!J51/1000</f>
        <v>7.2714140949222772</v>
      </c>
      <c r="AM9" s="2358"/>
      <c r="AN9" s="2358">
        <f>'9. T4 FINANSIERINGSB. '!K51/1000</f>
        <v>7.4895565177699472</v>
      </c>
      <c r="AO9" s="2358"/>
      <c r="AQ9" s="1340"/>
      <c r="AR9" s="1341" t="s">
        <v>336</v>
      </c>
      <c r="AS9" s="1373">
        <f>'9. T4 FINANSIERINGSB. '!P28</f>
        <v>0</v>
      </c>
      <c r="AT9" s="1373" t="str">
        <f>'9. T4 FINANSIERINGSB. '!Q28</f>
        <v>Tillfredställande</v>
      </c>
      <c r="AU9" s="1373" t="str">
        <f>'9. T4 FINANSIERINGSB. '!R28</f>
        <v>Svag</v>
      </c>
      <c r="AV9" s="1373" t="str">
        <f>'9. T4 FINANSIERINGSB. '!S28</f>
        <v>Tillfredställande</v>
      </c>
      <c r="AW9" s="1373" t="str">
        <f>'9. T4 FINANSIERINGSB. '!T28</f>
        <v>Bra</v>
      </c>
      <c r="AX9" s="1373" t="str">
        <f>'9. T4 FINANSIERINGSB. '!U28</f>
        <v>Bra</v>
      </c>
    </row>
    <row r="10" spans="1:51" ht="11.25" customHeight="1">
      <c r="B10" s="2325" t="str">
        <f>'1. T1 INVESTERINGSP. '!B11</f>
        <v>Byggandet av en ny dagisbyggnad</v>
      </c>
      <c r="C10" s="2325"/>
      <c r="D10" s="2325"/>
      <c r="E10" s="2325"/>
      <c r="F10" s="2325"/>
      <c r="G10" s="2325"/>
      <c r="H10" s="1913"/>
      <c r="I10" s="1887" t="str">
        <f>'1. T1 INVESTERINGSP. '!E11</f>
        <v xml:space="preserve"> </v>
      </c>
      <c r="J10" s="1887"/>
      <c r="K10" s="1921"/>
      <c r="L10" s="1921"/>
      <c r="M10" s="1921"/>
      <c r="N10" s="1921"/>
      <c r="O10" s="1921"/>
      <c r="Q10" s="1253"/>
      <c r="R10" s="632" t="s">
        <v>261</v>
      </c>
      <c r="S10" s="1683">
        <f>'3. &amp; 8. T3 BALANS'!F19/1000</f>
        <v>0</v>
      </c>
      <c r="T10" s="1683">
        <f>'3. &amp; 8. T3 BALANS'!G19/1000</f>
        <v>0</v>
      </c>
      <c r="U10" s="1683">
        <f>'3. &amp; 8. T3 BALANS'!H19/1000</f>
        <v>10.6</v>
      </c>
      <c r="V10" s="1683">
        <f>'3. &amp; 8. T3 BALANS'!I19/1000</f>
        <v>10.6</v>
      </c>
      <c r="W10" s="1683">
        <f>'3. &amp; 8. T3 BALANS'!J19/1000</f>
        <v>10.6</v>
      </c>
      <c r="X10" s="1683">
        <f>'3. &amp; 8. T3 BALANS'!K19/1000</f>
        <v>10.6</v>
      </c>
      <c r="Y10" s="910"/>
      <c r="Z10" s="2379" t="s">
        <v>270</v>
      </c>
      <c r="AA10" s="2380"/>
      <c r="AB10" s="2380"/>
      <c r="AC10" s="2380"/>
      <c r="AD10" s="2383">
        <f>'9. T4 FINANSIERINGSB. '!F52</f>
        <v>0</v>
      </c>
      <c r="AE10" s="2383"/>
      <c r="AF10" s="2383">
        <f>'9. T4 FINANSIERINGSB. '!G52</f>
        <v>10.25775218038957</v>
      </c>
      <c r="AG10" s="2383"/>
      <c r="AH10" s="2481">
        <f>'9. T4 FINANSIERINGSB. '!H52</f>
        <v>10.25775218038957</v>
      </c>
      <c r="AI10" s="2481"/>
      <c r="AJ10" s="2360">
        <f>'9. T4 FINANSIERINGSB. '!I52</f>
        <v>10.25775218038957</v>
      </c>
      <c r="AK10" s="2360"/>
      <c r="AL10" s="2360">
        <f>'9. T4 FINANSIERINGSB. '!J52</f>
        <v>10.25775218038957</v>
      </c>
      <c r="AM10" s="2360"/>
      <c r="AN10" s="2383">
        <f>'9. T4 FINANSIERINGSB. '!K52</f>
        <v>10.25775218038957</v>
      </c>
      <c r="AO10" s="2383"/>
      <c r="AQ10" s="1338" t="s">
        <v>104</v>
      </c>
      <c r="AR10" s="1339"/>
      <c r="AS10" s="886">
        <f>'9. T4 FINANSIERINGSB. '!P29</f>
        <v>0</v>
      </c>
      <c r="AT10" s="886">
        <f>'9. T4 FINANSIERINGSB. '!Q29</f>
        <v>0.79273400998872245</v>
      </c>
      <c r="AU10" s="886">
        <f>'9. T4 FINANSIERINGSB. '!R29</f>
        <v>0.2475250739214159</v>
      </c>
      <c r="AV10" s="886">
        <f>'9. T4 FINANSIERINGSB. '!S29</f>
        <v>0.65448598223694099</v>
      </c>
      <c r="AW10" s="886">
        <f>'9. T4 FINANSIERINGSB. '!T29</f>
        <v>1.6745037500231954</v>
      </c>
      <c r="AX10" s="886">
        <f>'9. T4 FINANSIERINGSB. '!U29</f>
        <v>2.6367789310754803</v>
      </c>
    </row>
    <row r="11" spans="1:51" ht="11.25" customHeight="1">
      <c r="B11" s="916">
        <f>'1. T1 INVESTERINGSP. '!B12</f>
        <v>0</v>
      </c>
      <c r="C11" s="916"/>
      <c r="D11" s="916"/>
      <c r="E11" s="916"/>
      <c r="F11" s="916"/>
      <c r="G11" s="916"/>
      <c r="H11" s="1913"/>
      <c r="I11" s="2405" t="str">
        <f>'1. T1 INVESTERINGSP. '!E12</f>
        <v>Beräknas vara färdigt</v>
      </c>
      <c r="J11" s="2405"/>
      <c r="K11" s="2405"/>
      <c r="L11" s="2405"/>
      <c r="M11" s="2405"/>
      <c r="N11" s="2405"/>
      <c r="O11" s="2405"/>
      <c r="Q11" s="1253"/>
      <c r="R11" s="632" t="s">
        <v>262</v>
      </c>
      <c r="S11" s="1683">
        <f>'3. &amp; 8. T3 BALANS'!F22/1000</f>
        <v>0</v>
      </c>
      <c r="T11" s="1683">
        <f>'3. &amp; 8. T3 BALANS'!G22/1000</f>
        <v>0</v>
      </c>
      <c r="U11" s="1683">
        <f>'3. &amp; 8. T3 BALANS'!H22/1000</f>
        <v>176.142</v>
      </c>
      <c r="V11" s="1683">
        <f>'3. &amp; 8. T3 BALANS'!I22/1000</f>
        <v>163.81206</v>
      </c>
      <c r="W11" s="1683">
        <f>'3. &amp; 8. T3 BALANS'!J22/1000</f>
        <v>152.34521580000001</v>
      </c>
      <c r="X11" s="1683">
        <f>'3. &amp; 8. T3 BALANS'!K22/1000</f>
        <v>141.68105069399999</v>
      </c>
      <c r="Y11" s="910"/>
      <c r="Z11" s="1557" t="s">
        <v>608</v>
      </c>
      <c r="AA11" s="1558" t="s">
        <v>0</v>
      </c>
      <c r="AB11" s="1558"/>
      <c r="AC11" s="1554" t="s">
        <v>15</v>
      </c>
      <c r="AD11" s="2353">
        <f>'9. T4 FINANSIERINGSB. '!F53/1000</f>
        <v>0</v>
      </c>
      <c r="AE11" s="2353"/>
      <c r="AF11" s="2353">
        <f>'9. T4 FINANSIERINGSB. '!G53/1000</f>
        <v>2.1850000000000001</v>
      </c>
      <c r="AG11" s="2353"/>
      <c r="AH11" s="2353">
        <f>'9. T4 FINANSIERINGSB. '!H53/1000</f>
        <v>0.96799999999999997</v>
      </c>
      <c r="AI11" s="2353"/>
      <c r="AJ11" s="2358">
        <f>'9. T4 FINANSIERINGSB. '!I53/1000</f>
        <v>1.093</v>
      </c>
      <c r="AK11" s="2358"/>
      <c r="AL11" s="2358">
        <f>'9. T4 FINANSIERINGSB. '!J53/1000</f>
        <v>1.2769999999999999</v>
      </c>
      <c r="AM11" s="2358"/>
      <c r="AN11" s="2358">
        <f>'9. T4 FINANSIERINGSB. '!K53/1000</f>
        <v>1.302</v>
      </c>
      <c r="AO11" s="2358"/>
      <c r="AQ11" s="1340"/>
      <c r="AR11" s="1343" t="s">
        <v>336</v>
      </c>
      <c r="AS11" s="887">
        <f>'9. T4 FINANSIERINGSB. '!P30</f>
        <v>0</v>
      </c>
      <c r="AT11" s="887" t="str">
        <f>'9. T4 FINANSIERINGSB. '!Q30</f>
        <v>Svag</v>
      </c>
      <c r="AU11" s="887" t="str">
        <f>'9. T4 FINANSIERINGSB. '!R30</f>
        <v>Svag</v>
      </c>
      <c r="AV11" s="887" t="str">
        <f>'9. T4 FINANSIERINGSB. '!S30</f>
        <v>Svag</v>
      </c>
      <c r="AW11" s="887" t="str">
        <f>'9. T4 FINANSIERINGSB. '!T30</f>
        <v>Tillfredställande</v>
      </c>
      <c r="AX11" s="887" t="str">
        <f>'9. T4 FINANSIERINGSB. '!U30</f>
        <v>Bra</v>
      </c>
    </row>
    <row r="12" spans="1:51" ht="11.25" customHeight="1">
      <c r="B12" s="2326">
        <f>'1. T1 INVESTERINGSP. '!B13:D13</f>
        <v>0</v>
      </c>
      <c r="C12" s="2326"/>
      <c r="D12" s="2326"/>
      <c r="E12" s="2326"/>
      <c r="F12" s="2326"/>
      <c r="G12" s="2326"/>
      <c r="H12" s="1913"/>
      <c r="I12" s="2463">
        <f>'1. T1 INVESTERINGSP. '!E13</f>
        <v>0</v>
      </c>
      <c r="J12" s="2463"/>
      <c r="K12" s="2463"/>
      <c r="L12" s="2463"/>
      <c r="M12" s="2463"/>
      <c r="N12" s="2463"/>
      <c r="O12" s="2463"/>
      <c r="Q12" s="1253"/>
      <c r="R12" s="632" t="s">
        <v>263</v>
      </c>
      <c r="S12" s="1683">
        <f>'3. &amp; 8. T3 BALANS'!F26/1000</f>
        <v>0</v>
      </c>
      <c r="T12" s="1683">
        <f>'3. &amp; 8. T3 BALANS'!G26/1000</f>
        <v>7.17</v>
      </c>
      <c r="U12" s="1683">
        <f>'3. &amp; 8. T3 BALANS'!H26/1000</f>
        <v>29.736000000000001</v>
      </c>
      <c r="V12" s="1683">
        <f>'3. &amp; 8. T3 BALANS'!I26/1000</f>
        <v>23.788799999999998</v>
      </c>
      <c r="W12" s="1683">
        <f>'3. &amp; 8. T3 BALANS'!J26/1000</f>
        <v>19.031040000000001</v>
      </c>
      <c r="X12" s="1683">
        <f>'3. &amp; 8. T3 BALANS'!K26/1000</f>
        <v>15.224832000000001</v>
      </c>
      <c r="Y12" s="910"/>
      <c r="Z12" s="1557" t="s">
        <v>610</v>
      </c>
      <c r="AA12" s="1558" t="s">
        <v>0</v>
      </c>
      <c r="AB12" s="1558"/>
      <c r="AC12" s="1554" t="s">
        <v>15</v>
      </c>
      <c r="AD12" s="2353">
        <f>'9. T4 FINANSIERINGSB. '!F54/1000</f>
        <v>0</v>
      </c>
      <c r="AE12" s="2353"/>
      <c r="AF12" s="2353">
        <f>'9. T4 FINANSIERINGSB. '!G54/1000</f>
        <v>0</v>
      </c>
      <c r="AG12" s="2353"/>
      <c r="AH12" s="2353">
        <f>'9. T4 FINANSIERINGSB. '!H54/1000</f>
        <v>0</v>
      </c>
      <c r="AI12" s="2353"/>
      <c r="AJ12" s="2358">
        <f>'9. T4 FINANSIERINGSB. '!I54/1000</f>
        <v>0</v>
      </c>
      <c r="AK12" s="2358"/>
      <c r="AL12" s="2358">
        <f>'9. T4 FINANSIERINGSB. '!J54/1000</f>
        <v>0</v>
      </c>
      <c r="AM12" s="2358"/>
      <c r="AN12" s="2358">
        <f>'9. T4 FINANSIERINGSB. '!K54/1000</f>
        <v>0</v>
      </c>
      <c r="AO12" s="2358"/>
      <c r="AQ12" s="1338" t="s">
        <v>337</v>
      </c>
      <c r="AR12" s="1342"/>
      <c r="AS12" s="911"/>
      <c r="AT12" s="886">
        <f>'9. T4 FINANSIERINGSB. '!Q31</f>
        <v>7.9003181336161188E-2</v>
      </c>
      <c r="AU12" s="886">
        <f>'9. T4 FINANSIERINGSB. '!R31</f>
        <v>37.619596121337793</v>
      </c>
      <c r="AV12" s="886">
        <f>'9. T4 FINANSIERINGSB. '!S31</f>
        <v>4.7551080591092276</v>
      </c>
      <c r="AW12" s="886">
        <f>'9. T4 FINANSIERINGSB. '!T31</f>
        <v>2.5624990233553322</v>
      </c>
      <c r="AX12" s="886">
        <f>'9. T4 FINANSIERINGSB. '!U31</f>
        <v>2.1157253581182003</v>
      </c>
    </row>
    <row r="13" spans="1:51" ht="10.85" customHeight="1">
      <c r="B13" s="1254"/>
      <c r="C13" s="1000"/>
      <c r="D13" s="1000"/>
      <c r="E13" s="1000"/>
      <c r="F13" s="1000"/>
      <c r="G13" s="1000"/>
      <c r="H13" s="1000"/>
      <c r="I13" s="996"/>
      <c r="J13" s="996"/>
      <c r="K13" s="996"/>
      <c r="L13" s="996"/>
      <c r="M13" s="996"/>
      <c r="N13" s="996"/>
      <c r="O13" s="996"/>
      <c r="Q13" s="1253"/>
      <c r="R13" s="632" t="s">
        <v>517</v>
      </c>
      <c r="S13" s="1683">
        <f>'3. &amp; 8. T3 BALANS'!F30/1000</f>
        <v>0</v>
      </c>
      <c r="T13" s="1683">
        <f>'3. &amp; 8. T3 BALANS'!G30/1000</f>
        <v>0</v>
      </c>
      <c r="U13" s="1683">
        <f>'3. &amp; 8. T3 BALANS'!H30/1000</f>
        <v>0</v>
      </c>
      <c r="V13" s="1683">
        <f>'3. &amp; 8. T3 BALANS'!I30/1000</f>
        <v>0</v>
      </c>
      <c r="W13" s="1683">
        <f>'3. &amp; 8. T3 BALANS'!J30/1000</f>
        <v>0</v>
      </c>
      <c r="X13" s="1683">
        <f>'3. &amp; 8. T3 BALANS'!K30/1000</f>
        <v>0</v>
      </c>
      <c r="Y13" s="910"/>
      <c r="Z13" s="2379" t="s">
        <v>536</v>
      </c>
      <c r="AA13" s="2380"/>
      <c r="AB13" s="2380"/>
      <c r="AC13" s="2380"/>
      <c r="AD13" s="2381">
        <f>'9. T4 FINANSIERINGSB. '!F55</f>
        <v>0</v>
      </c>
      <c r="AE13" s="2381"/>
      <c r="AF13" s="2381">
        <f>'9. T4 FINANSIERINGSB. '!G55</f>
        <v>0</v>
      </c>
      <c r="AG13" s="2381"/>
      <c r="AH13" s="2381">
        <f>'9. T4 FINANSIERINGSB. '!H55</f>
        <v>0</v>
      </c>
      <c r="AI13" s="2381"/>
      <c r="AJ13" s="2359">
        <f>'9. T4 FINANSIERINGSB. '!I55</f>
        <v>0</v>
      </c>
      <c r="AK13" s="2359"/>
      <c r="AL13" s="2359">
        <f>'9. T4 FINANSIERINGSB. '!J55</f>
        <v>0</v>
      </c>
      <c r="AM13" s="2359"/>
      <c r="AN13" s="2381">
        <f>'9. T4 FINANSIERINGSB. '!K55</f>
        <v>0</v>
      </c>
      <c r="AO13" s="2381"/>
      <c r="AQ13" s="998" t="s">
        <v>339</v>
      </c>
      <c r="AR13" s="889"/>
      <c r="AS13" s="911">
        <f>'9. T4 FINANSIERINGSB. '!P32</f>
        <v>0</v>
      </c>
      <c r="AT13" s="886">
        <f>'9. T4 FINANSIERINGSB. '!Q32</f>
        <v>1.0536257056013896</v>
      </c>
      <c r="AU13" s="886">
        <f>'9. T4 FINANSIERINGSB. '!R32</f>
        <v>0.57246641672354626</v>
      </c>
      <c r="AV13" s="886">
        <f>'9. T4 FINANSIERINGSB. '!S32</f>
        <v>1.4785958132399348</v>
      </c>
      <c r="AW13" s="886">
        <f>'9. T4 FINANSIERINGSB. '!T32</f>
        <v>2.3387226947597748</v>
      </c>
      <c r="AX13" s="886">
        <f>'9. T4 FINANSIERINGSB. '!U32</f>
        <v>2.461995250780908</v>
      </c>
    </row>
    <row r="14" spans="1:51" ht="10.85" customHeight="1">
      <c r="B14" s="2366" t="s">
        <v>763</v>
      </c>
      <c r="C14" s="2465"/>
      <c r="D14" s="1826" t="s">
        <v>507</v>
      </c>
      <c r="E14" s="1826" t="s">
        <v>509</v>
      </c>
      <c r="F14" s="1826" t="s">
        <v>510</v>
      </c>
      <c r="G14" s="1826" t="s">
        <v>508</v>
      </c>
      <c r="H14" s="2451" t="s">
        <v>511</v>
      </c>
      <c r="I14" s="2453" t="s">
        <v>764</v>
      </c>
      <c r="J14" s="2417"/>
      <c r="K14" s="2417"/>
      <c r="L14" s="2417"/>
      <c r="M14" s="2417"/>
      <c r="N14" s="2417"/>
      <c r="O14" s="2417"/>
      <c r="Q14" s="1253"/>
      <c r="R14" s="632" t="s">
        <v>641</v>
      </c>
      <c r="S14" s="1683">
        <f>'3. &amp; 8. T3 BALANS'!F34/1000</f>
        <v>0</v>
      </c>
      <c r="T14" s="1683">
        <f>'3. &amp; 8. T3 BALANS'!G34/1000</f>
        <v>0</v>
      </c>
      <c r="U14" s="1683">
        <f>'3. &amp; 8. T3 BALANS'!H34/1000</f>
        <v>0</v>
      </c>
      <c r="V14" s="1683">
        <f>'3. &amp; 8. T3 BALANS'!I34/1000</f>
        <v>0</v>
      </c>
      <c r="W14" s="1683">
        <f>'3. &amp; 8. T3 BALANS'!J34/1000</f>
        <v>0</v>
      </c>
      <c r="X14" s="1683">
        <f>'3. &amp; 8. T3 BALANS'!K34/1000</f>
        <v>0</v>
      </c>
      <c r="Y14" s="910"/>
      <c r="Z14" s="1557" t="s">
        <v>601</v>
      </c>
      <c r="AA14" s="1557" t="s">
        <v>0</v>
      </c>
      <c r="AB14" s="1557"/>
      <c r="AC14" s="1559" t="s">
        <v>166</v>
      </c>
      <c r="AD14" s="2353">
        <f>'9. T4 FINANSIERINGSB. '!F56/1000</f>
        <v>0</v>
      </c>
      <c r="AE14" s="2353"/>
      <c r="AF14" s="2353">
        <f>'9. T4 FINANSIERINGSB. '!G56/1000</f>
        <v>1.9590000000000001</v>
      </c>
      <c r="AG14" s="2353"/>
      <c r="AH14" s="2353">
        <f>'9. T4 FINANSIERINGSB. '!H56/1000</f>
        <v>1.8964335429780856</v>
      </c>
      <c r="AI14" s="2353"/>
      <c r="AJ14" s="2358">
        <f>'9. T4 FINANSIERINGSB. '!I56/1000</f>
        <v>1.689879495029992</v>
      </c>
      <c r="AK14" s="2358"/>
      <c r="AL14" s="2358">
        <f>'9. T4 FINANSIERINGSB. '!J56/1000</f>
        <v>1.8287480480335749</v>
      </c>
      <c r="AM14" s="2358"/>
      <c r="AN14" s="2358">
        <f>'9. T4 FINANSIERINGSB. '!K56/1000</f>
        <v>1.8788704166868977</v>
      </c>
      <c r="AO14" s="2358"/>
      <c r="AQ14" s="1340"/>
      <c r="AR14" s="1343" t="s">
        <v>336</v>
      </c>
      <c r="AS14" s="1356">
        <f>'9. T4 FINANSIERINGSB. '!P33</f>
        <v>0</v>
      </c>
      <c r="AT14" s="887" t="str">
        <f>'9. T4 FINANSIERINGSB. '!Q33</f>
        <v>Tillfredställande</v>
      </c>
      <c r="AU14" s="887" t="str">
        <f>'9. T4 FINANSIERINGSB. '!R33</f>
        <v>Svag</v>
      </c>
      <c r="AV14" s="887" t="str">
        <f>'9. T4 FINANSIERINGSB. '!S33</f>
        <v>Tillfredställande</v>
      </c>
      <c r="AW14" s="887" t="str">
        <f>'9. T4 FINANSIERINGSB. '!T33</f>
        <v>Bra</v>
      </c>
      <c r="AX14" s="887" t="str">
        <f>'9. T4 FINANSIERINGSB. '!U33</f>
        <v>Bra</v>
      </c>
    </row>
    <row r="15" spans="1:51" ht="10.85" customHeight="1">
      <c r="A15" s="52"/>
      <c r="B15" s="2464"/>
      <c r="C15" s="2466"/>
      <c r="D15" s="1827">
        <f>'1. T1 INVESTERINGSP. '!D16</f>
        <v>2023</v>
      </c>
      <c r="E15" s="1828">
        <f>'1. T1 INVESTERINGSP. '!E16</f>
        <v>2024</v>
      </c>
      <c r="F15" s="1828">
        <f>'1. T1 INVESTERINGSP. '!F16</f>
        <v>2025</v>
      </c>
      <c r="G15" s="1828">
        <f>'1. T1 INVESTERINGSP. '!G16</f>
        <v>2026</v>
      </c>
      <c r="H15" s="2452"/>
      <c r="I15" s="2454"/>
      <c r="J15" s="2419"/>
      <c r="K15" s="2419"/>
      <c r="L15" s="2419"/>
      <c r="M15" s="2419"/>
      <c r="N15" s="2419"/>
      <c r="O15" s="2419"/>
      <c r="Q15" s="877" t="s">
        <v>66</v>
      </c>
      <c r="R15" s="1276" t="s">
        <v>266</v>
      </c>
      <c r="S15" s="1707">
        <f>'3. &amp; 8. T3 BALANS'!F38/1000</f>
        <v>0</v>
      </c>
      <c r="T15" s="1707">
        <f>'3. &amp; 8. T3 BALANS'!G38/1000</f>
        <v>9.8409999999999993</v>
      </c>
      <c r="U15" s="1707">
        <f>'3. &amp; 8. T3 BALANS'!H38/1000</f>
        <v>10.121220332685974</v>
      </c>
      <c r="V15" s="1707">
        <f>'3. &amp; 8. T3 BALANS'!I38/1000</f>
        <v>26.40554475812646</v>
      </c>
      <c r="W15" s="1707">
        <f>'3. &amp; 8. T3 BALANS'!J38/1000</f>
        <v>68.493744954092335</v>
      </c>
      <c r="X15" s="1707">
        <f>'3. &amp; 8. T3 BALANS'!K38/1000</f>
        <v>109.12621722229204</v>
      </c>
      <c r="Y15" s="910"/>
      <c r="Z15" s="2379" t="s">
        <v>330</v>
      </c>
      <c r="AA15" s="2380"/>
      <c r="AB15" s="2380"/>
      <c r="AC15" s="2380"/>
      <c r="AD15" s="2382">
        <f>'9. T4 FINANSIERINGSB. '!F57</f>
        <v>0</v>
      </c>
      <c r="AE15" s="2382"/>
      <c r="AF15" s="2382">
        <f>'9. T4 FINANSIERINGSB. '!G57</f>
        <v>12.815395644771037</v>
      </c>
      <c r="AG15" s="2382"/>
      <c r="AH15" s="2382">
        <f>'9. T4 FINANSIERINGSB. '!H57</f>
        <v>12.815395644771037</v>
      </c>
      <c r="AI15" s="2382"/>
      <c r="AJ15" s="2360">
        <f>'9. T4 FINANSIERINGSB. '!I57</f>
        <v>12.815395644771037</v>
      </c>
      <c r="AK15" s="2360"/>
      <c r="AL15" s="2360">
        <f>'9. T4 FINANSIERINGSB. '!J57</f>
        <v>12.815395644771037</v>
      </c>
      <c r="AM15" s="2360"/>
      <c r="AN15" s="2382">
        <f>'9. T4 FINANSIERINGSB. '!K57</f>
        <v>12.815395644771037</v>
      </c>
      <c r="AO15" s="2382"/>
      <c r="AQ15" s="999" t="s">
        <v>689</v>
      </c>
      <c r="AR15" s="1000"/>
      <c r="AS15" s="1620"/>
      <c r="AT15" s="1620"/>
      <c r="AU15" s="1621"/>
      <c r="AV15" s="1621"/>
      <c r="AW15" s="1621"/>
      <c r="AX15" s="1621"/>
    </row>
    <row r="16" spans="1:51" ht="10.85" customHeight="1">
      <c r="B16" s="1266" t="s">
        <v>2</v>
      </c>
      <c r="C16" s="1267" t="s">
        <v>184</v>
      </c>
      <c r="D16" s="1268">
        <f>'1. T1 INVESTERINGSP. '!D17/1000</f>
        <v>10.6</v>
      </c>
      <c r="E16" s="1268">
        <f>'1. T1 INVESTERINGSP. '!E17/1000</f>
        <v>0</v>
      </c>
      <c r="F16" s="1268">
        <f>'1. T1 INVESTERINGSP. '!F17/1000</f>
        <v>0</v>
      </c>
      <c r="G16" s="1562">
        <f>'1. T1 INVESTERINGSP. '!G17/1000</f>
        <v>0</v>
      </c>
      <c r="H16" s="1681">
        <f>SUM(D16:G16)</f>
        <v>10.6</v>
      </c>
      <c r="I16" s="638">
        <f>'1. T1 INVESTERINGSP. '!J17</f>
        <v>0</v>
      </c>
      <c r="J16" s="916"/>
      <c r="K16" s="916"/>
      <c r="L16" s="916"/>
      <c r="M16" s="916"/>
      <c r="N16" s="916"/>
      <c r="O16" s="916"/>
      <c r="Q16" s="1253"/>
      <c r="R16" s="632" t="s">
        <v>642</v>
      </c>
      <c r="S16" s="1683">
        <f>'3. &amp; 8. T3 BALANS'!F39/1000</f>
        <v>0</v>
      </c>
      <c r="T16" s="1683">
        <f>'3. &amp; 8. T3 BALANS'!G39/1000</f>
        <v>0</v>
      </c>
      <c r="U16" s="1683">
        <f>'3. &amp; 8. T3 BALANS'!H39/1000</f>
        <v>0</v>
      </c>
      <c r="V16" s="1683">
        <f>'3. &amp; 8. T3 BALANS'!I39/1000</f>
        <v>0</v>
      </c>
      <c r="W16" s="1683">
        <f>'3. &amp; 8. T3 BALANS'!J39/1000</f>
        <v>0</v>
      </c>
      <c r="X16" s="1683">
        <f>'3. &amp; 8. T3 BALANS'!K39/1000</f>
        <v>0</v>
      </c>
      <c r="Y16" s="910"/>
      <c r="Z16" s="1557" t="s">
        <v>602</v>
      </c>
      <c r="AA16" s="1557"/>
      <c r="AB16" s="1557"/>
      <c r="AC16" s="1559" t="s">
        <v>166</v>
      </c>
      <c r="AD16" s="2353">
        <f>'9. T4 FINANSIERINGSB. '!F58/1000</f>
        <v>0</v>
      </c>
      <c r="AE16" s="2353"/>
      <c r="AF16" s="2353">
        <f>'9. T4 FINANSIERINGSB. '!G58/1000</f>
        <v>0</v>
      </c>
      <c r="AG16" s="2353"/>
      <c r="AH16" s="2353">
        <f>'9. T4 FINANSIERINGSB. '!H58/1000</f>
        <v>0</v>
      </c>
      <c r="AI16" s="2353"/>
      <c r="AJ16" s="2358">
        <f>'9. T4 FINANSIERINGSB. '!I58/1000</f>
        <v>0</v>
      </c>
      <c r="AK16" s="2358"/>
      <c r="AL16" s="2358">
        <f>'9. T4 FINANSIERINGSB. '!J58/1000</f>
        <v>0</v>
      </c>
      <c r="AM16" s="2358"/>
      <c r="AN16" s="2358">
        <f>'9. T4 FINANSIERINGSB. '!K58/1000</f>
        <v>0</v>
      </c>
      <c r="AO16" s="2358"/>
      <c r="AQ16" s="997" t="s">
        <v>526</v>
      </c>
      <c r="AR16" s="1527"/>
      <c r="AS16" s="888">
        <f>'9. T4 FINANSIERINGSB. '!P35</f>
        <v>0</v>
      </c>
      <c r="AT16" s="888">
        <f>'9. T4 FINANSIERINGSB. '!Q35</f>
        <v>0.39987230355269759</v>
      </c>
      <c r="AU16" s="888">
        <f>'9. T4 FINANSIERINGSB. '!R35</f>
        <v>-3.3347457325875622E-2</v>
      </c>
      <c r="AV16" s="888">
        <f>'9. T4 FINANSIERINGSB. '!S35</f>
        <v>6.4750837355842611E-2</v>
      </c>
      <c r="AW16" s="888">
        <f>'9. T4 FINANSIERINGSB. '!T35</f>
        <v>0.25334538143314089</v>
      </c>
      <c r="AX16" s="888">
        <f>'9. T4 FINANSIERINGSB. '!U35</f>
        <v>0.40890461423161639</v>
      </c>
    </row>
    <row r="17" spans="1:50" ht="10.85" customHeight="1">
      <c r="B17" s="1255"/>
      <c r="C17" s="662" t="s">
        <v>186</v>
      </c>
      <c r="D17" s="1682">
        <f>'1. T1 INVESTERINGSP. '!D19</f>
        <v>0</v>
      </c>
      <c r="E17" s="1682">
        <f>'1. T1 INVESTERINGSP. '!E19</f>
        <v>0</v>
      </c>
      <c r="F17" s="1682">
        <f>'1. T1 INVESTERINGSP. '!F19</f>
        <v>0</v>
      </c>
      <c r="G17" s="1682">
        <f>'1. T1 INVESTERINGSP. '!G19</f>
        <v>0</v>
      </c>
      <c r="H17" s="1683">
        <v>0</v>
      </c>
      <c r="I17" s="638">
        <f>'1. T1 INVESTERINGSP. '!J18</f>
        <v>0</v>
      </c>
      <c r="J17" s="916"/>
      <c r="K17" s="916"/>
      <c r="L17" s="916"/>
      <c r="M17" s="916"/>
      <c r="N17" s="916"/>
      <c r="O17" s="916"/>
      <c r="Q17" s="1253"/>
      <c r="R17" s="632" t="s">
        <v>643</v>
      </c>
      <c r="S17" s="1683">
        <f>'3. &amp; 8. T3 BALANS'!F41/1000</f>
        <v>0</v>
      </c>
      <c r="T17" s="1683">
        <f>'3. &amp; 8. T3 BALANS'!G41/1000</f>
        <v>7.1280000000000001</v>
      </c>
      <c r="U17" s="1683">
        <f>'3. &amp; 8. T3 BALANS'!H41/1000</f>
        <v>6.3736948819121473</v>
      </c>
      <c r="V17" s="1683">
        <f>'3. &amp; 8. T3 BALANS'!I41/1000</f>
        <v>7.2575695709721062</v>
      </c>
      <c r="W17" s="1683">
        <f>'3. &amp; 8. T3 BALANS'!J41/1000</f>
        <v>8.5484140949222791</v>
      </c>
      <c r="X17" s="1683">
        <f>'3. &amp; 8. T3 BALANS'!K41/1000</f>
        <v>8.791556517769946</v>
      </c>
      <c r="Y17" s="910"/>
      <c r="Z17" s="2379" t="s">
        <v>664</v>
      </c>
      <c r="AA17" s="2380"/>
      <c r="AB17" s="2380"/>
      <c r="AC17" s="2380"/>
      <c r="AD17" s="2381">
        <f>'9. T4 FINANSIERINGSB. '!F59</f>
        <v>0</v>
      </c>
      <c r="AE17" s="2381"/>
      <c r="AF17" s="2381">
        <f>'9. T4 FINANSIERINGSB. '!G59</f>
        <v>0</v>
      </c>
      <c r="AG17" s="2381"/>
      <c r="AH17" s="2381">
        <f>'9. T4 FINANSIERINGSB. '!H59</f>
        <v>0</v>
      </c>
      <c r="AI17" s="2381"/>
      <c r="AJ17" s="2359">
        <f>'9. T4 FINANSIERINGSB. '!I59</f>
        <v>0</v>
      </c>
      <c r="AK17" s="2359"/>
      <c r="AL17" s="2359">
        <f>'9. T4 FINANSIERINGSB. '!J59</f>
        <v>0</v>
      </c>
      <c r="AM17" s="2359"/>
      <c r="AN17" s="2381">
        <f>'9. T4 FINANSIERINGSB. '!K59</f>
        <v>0</v>
      </c>
      <c r="AO17" s="2381"/>
      <c r="AQ17" s="1340"/>
      <c r="AR17" s="1343" t="s">
        <v>336</v>
      </c>
      <c r="AS17" s="1310">
        <f>'9. T4 FINANSIERINGSB. '!P36</f>
        <v>0</v>
      </c>
      <c r="AT17" s="1310" t="str">
        <f>'9. T4 FINANSIERINGSB. '!Q36</f>
        <v>Tillfredställande</v>
      </c>
      <c r="AU17" s="1310" t="str">
        <f>'9. T4 FINANSIERINGSB. '!R36</f>
        <v>Svag</v>
      </c>
      <c r="AV17" s="1310" t="str">
        <f>'9. T4 FINANSIERINGSB. '!S36</f>
        <v>Svag</v>
      </c>
      <c r="AW17" s="1310" t="str">
        <f>'9. T4 FINANSIERINGSB. '!T36</f>
        <v>Tillfredställande</v>
      </c>
      <c r="AX17" s="1310" t="str">
        <f>'9. T4 FINANSIERINGSB. '!U36</f>
        <v>Bra</v>
      </c>
    </row>
    <row r="18" spans="1:50" ht="10.85" customHeight="1">
      <c r="A18" s="51"/>
      <c r="B18" s="1255" t="s">
        <v>3</v>
      </c>
      <c r="C18" s="632" t="s">
        <v>187</v>
      </c>
      <c r="D18" s="1683">
        <f>'1. T1 INVESTERINGSP. '!D20/1000</f>
        <v>0</v>
      </c>
      <c r="E18" s="1683">
        <f>'1. T1 INVESTERINGSP. '!E20/1000</f>
        <v>0</v>
      </c>
      <c r="F18" s="1683">
        <f>'1. T1 INVESTERINGSP. '!F20/1000</f>
        <v>0</v>
      </c>
      <c r="G18" s="1683">
        <f>'1. T1 INVESTERINGSP. '!G20/1000</f>
        <v>0</v>
      </c>
      <c r="H18" s="1683">
        <f>SUM(D18:G18)</f>
        <v>0</v>
      </c>
      <c r="I18" s="638">
        <f>'1. T1 INVESTERINGSP. '!J20</f>
        <v>0</v>
      </c>
      <c r="J18" s="916"/>
      <c r="K18" s="916"/>
      <c r="L18" s="916"/>
      <c r="M18" s="916"/>
      <c r="N18" s="916"/>
      <c r="O18" s="916"/>
      <c r="Q18" s="1253"/>
      <c r="R18" s="632" t="s">
        <v>269</v>
      </c>
      <c r="S18" s="1683">
        <f>'3. &amp; 8. T3 BALANS'!F42/1000</f>
        <v>0</v>
      </c>
      <c r="T18" s="1683">
        <f>'3. &amp; 8. T3 BALANS'!G42/1000</f>
        <v>4.9429999999999996</v>
      </c>
      <c r="U18" s="1683">
        <f>'3. &amp; 8. T3 BALANS'!H42/1000</f>
        <v>5.4056948819121473</v>
      </c>
      <c r="V18" s="1683">
        <f>'3. &amp; 8. T3 BALANS'!I42/1000</f>
        <v>6.1645695709721062</v>
      </c>
      <c r="W18" s="1683">
        <f>'3. &amp; 8. T3 BALANS'!J42/1000</f>
        <v>7.2714140949222772</v>
      </c>
      <c r="X18" s="1683">
        <f>'3. &amp; 8. T3 BALANS'!K42/1000</f>
        <v>7.4895565177699472</v>
      </c>
      <c r="Y18" s="910"/>
      <c r="Z18" s="1557" t="s">
        <v>603</v>
      </c>
      <c r="AA18" s="1557"/>
      <c r="AB18" s="1557"/>
      <c r="AC18" s="1289" t="s">
        <v>35</v>
      </c>
      <c r="AD18" s="2353">
        <f>'9. T4 FINANSIERINGSB. '!F60/1000</f>
        <v>0</v>
      </c>
      <c r="AE18" s="2353"/>
      <c r="AF18" s="2353">
        <f>'9. T4 FINANSIERINGSB. '!G60/1000</f>
        <v>5.1689999999999996</v>
      </c>
      <c r="AG18" s="2353"/>
      <c r="AH18" s="2358">
        <f>'9. T4 FINANSIERINGSB. '!H60/1000</f>
        <v>4.4772613389340616</v>
      </c>
      <c r="AI18" s="2358"/>
      <c r="AJ18" s="2358">
        <f>'9. T4 FINANSIERINGSB. '!I60/1000</f>
        <v>5.5676900759421128</v>
      </c>
      <c r="AK18" s="2358"/>
      <c r="AL18" s="2358">
        <f>'9. T4 FINANSIERINGSB. '!J60/1000</f>
        <v>6.7196660468887019</v>
      </c>
      <c r="AM18" s="2358"/>
      <c r="AN18" s="2358">
        <f>'9. T4 FINANSIERINGSB. '!K60/1000</f>
        <v>6.9126861010830503</v>
      </c>
      <c r="AO18" s="2358"/>
      <c r="AQ18" s="1338" t="str">
        <f>'9. T4 FINANSIERINGSB. '!M37</f>
        <v xml:space="preserve"> Net Gearing (nettoskuldsättningsgrad)</v>
      </c>
      <c r="AR18" s="1342"/>
      <c r="AS18" s="1313">
        <f>'9. T4 FINANSIERINGSB. '!P37</f>
        <v>0</v>
      </c>
      <c r="AT18" s="1313">
        <f>'9. T4 FINANSIERINGSB. '!Q37</f>
        <v>0.79470802919708028</v>
      </c>
      <c r="AU18" s="1313">
        <f>'9. T4 FINANSIERINGSB. '!R37</f>
        <v>-28.486895656518477</v>
      </c>
      <c r="AV18" s="1313">
        <f>'9. T4 FINANSIERINGSB. '!S37</f>
        <v>12.082451816050819</v>
      </c>
      <c r="AW18" s="1313">
        <f>'9. T4 FINANSIERINGSB. '!T37</f>
        <v>1.7586088588356723</v>
      </c>
      <c r="AX18" s="1313">
        <f>'9. T4 FINANSIERINGSB. '!U37</f>
        <v>0.4182512227148405</v>
      </c>
    </row>
    <row r="19" spans="1:50" ht="10.85" customHeight="1">
      <c r="B19" s="1255"/>
      <c r="C19" s="662" t="s">
        <v>186</v>
      </c>
      <c r="D19" s="1682">
        <f>'1. T1 INVESTERINGSP. '!D23</f>
        <v>0</v>
      </c>
      <c r="E19" s="1682">
        <f>'1. T1 INVESTERINGSP. '!E23</f>
        <v>0</v>
      </c>
      <c r="F19" s="1682">
        <f>'1. T1 INVESTERINGSP. '!F23</f>
        <v>0</v>
      </c>
      <c r="G19" s="1682">
        <f>'1. T1 INVESTERINGSP. '!G23</f>
        <v>0</v>
      </c>
      <c r="H19" s="1684"/>
      <c r="I19" s="638">
        <f>'1. T1 INVESTERINGSP. '!J21</f>
        <v>0</v>
      </c>
      <c r="J19" s="916"/>
      <c r="K19" s="916"/>
      <c r="L19" s="916"/>
      <c r="M19" s="916"/>
      <c r="N19" s="916"/>
      <c r="O19" s="916"/>
      <c r="Q19" s="1253"/>
      <c r="R19" s="632" t="s">
        <v>271</v>
      </c>
      <c r="S19" s="1683">
        <f>'3. &amp; 8. T3 BALANS'!F44/1000</f>
        <v>0</v>
      </c>
      <c r="T19" s="1683">
        <f>'3. &amp; 8. T3 BALANS'!G44/1000</f>
        <v>0</v>
      </c>
      <c r="U19" s="1683">
        <f>'3. &amp; 8. T3 BALANS'!H44/1000</f>
        <v>0</v>
      </c>
      <c r="V19" s="1683">
        <f>'3. &amp; 8. T3 BALANS'!I44/1000</f>
        <v>0</v>
      </c>
      <c r="W19" s="1683">
        <f>'3. &amp; 8. T3 BALANS'!J44/1000</f>
        <v>0</v>
      </c>
      <c r="X19" s="1683">
        <f>'3. &amp; 8. T3 BALANS'!K44/1000</f>
        <v>0</v>
      </c>
      <c r="Y19" s="910"/>
      <c r="Z19" s="2394" t="s">
        <v>604</v>
      </c>
      <c r="AA19" s="2394"/>
      <c r="AB19" s="2394"/>
      <c r="AC19" s="1560" t="s">
        <v>18</v>
      </c>
      <c r="AD19" s="2354">
        <v>0</v>
      </c>
      <c r="AE19" s="2354"/>
      <c r="AF19" s="2537">
        <f>'9. T4 FINANSIERINGSB. '!G61/1000</f>
        <v>5.1689999999999996</v>
      </c>
      <c r="AG19" s="2537"/>
      <c r="AH19" s="2361">
        <f>'9. T4 FINANSIERINGSB. '!H61/1000</f>
        <v>-0.69173866106593873</v>
      </c>
      <c r="AI19" s="2361"/>
      <c r="AJ19" s="2361">
        <f>'9. T4 FINANSIERINGSB. '!I61/1000</f>
        <v>1.0904287370080519</v>
      </c>
      <c r="AK19" s="2361"/>
      <c r="AL19" s="2361">
        <f>'9. T4 FINANSIERINGSB. '!J61/1000</f>
        <v>1.1519759709465889</v>
      </c>
      <c r="AM19" s="2361"/>
      <c r="AN19" s="2361">
        <f>'9. T4 FINANSIERINGSB. '!K61/1000</f>
        <v>0.19302005419434773</v>
      </c>
      <c r="AO19" s="2361"/>
      <c r="AQ19" s="1622"/>
      <c r="AR19" s="1623" t="s">
        <v>336</v>
      </c>
      <c r="AS19" s="1310" t="str">
        <f>'9. T4 FINANSIERINGSB. '!P38</f>
        <v/>
      </c>
      <c r="AT19" s="1310" t="str">
        <f>'9. T4 FINANSIERINGSB. '!Q38</f>
        <v>Bra</v>
      </c>
      <c r="AU19" s="1310" t="str">
        <f>'9. T4 FINANSIERINGSB. '!R38</f>
        <v>Svag</v>
      </c>
      <c r="AV19" s="1310" t="str">
        <f>'9. T4 FINANSIERINGSB. '!S38</f>
        <v/>
      </c>
      <c r="AW19" s="1310" t="str">
        <f>'9. T4 FINANSIERINGSB. '!T38</f>
        <v/>
      </c>
      <c r="AX19" s="1310" t="str">
        <f>'9. T4 FINANSIERINGSB. '!U38</f>
        <v>Bra</v>
      </c>
    </row>
    <row r="20" spans="1:50" ht="10.85" customHeight="1">
      <c r="B20" s="1255" t="s">
        <v>4</v>
      </c>
      <c r="C20" s="632" t="s">
        <v>190</v>
      </c>
      <c r="D20" s="1683">
        <f>'1. T1 INVESTERINGSP. '!D24/1000</f>
        <v>189.4</v>
      </c>
      <c r="E20" s="1683">
        <f>'1. T1 INVESTERINGSP. '!E24/1000</f>
        <v>0</v>
      </c>
      <c r="F20" s="1683">
        <f>'1. T1 INVESTERINGSP. '!F24/1000</f>
        <v>0</v>
      </c>
      <c r="G20" s="1683">
        <f>'1. T1 INVESTERINGSP. '!G24/1000</f>
        <v>0</v>
      </c>
      <c r="H20" s="1683">
        <f>SUM(D20:G20)</f>
        <v>189.4</v>
      </c>
      <c r="I20" s="638" t="str">
        <f>'1. T1 INVESTERINGSP. '!J24</f>
        <v xml:space="preserve"> Moms 0 % (hälso- coch socialvård)</v>
      </c>
      <c r="J20" s="916"/>
      <c r="K20" s="916"/>
      <c r="L20" s="916"/>
      <c r="M20" s="916"/>
      <c r="N20" s="916"/>
      <c r="O20" s="916"/>
      <c r="Q20" s="1253"/>
      <c r="R20" s="632" t="s">
        <v>518</v>
      </c>
      <c r="S20" s="1683">
        <f>'3. &amp; 8. T3 BALANS'!F46/1000</f>
        <v>0</v>
      </c>
      <c r="T20" s="1683">
        <f>'3. &amp; 8. T3 BALANS'!G46/1000</f>
        <v>1.3</v>
      </c>
      <c r="U20" s="1683">
        <f>'3. &amp; 8. T3 BALANS'!H46/1000</f>
        <v>0</v>
      </c>
      <c r="V20" s="1683">
        <f>'3. &amp; 8. T3 BALANS'!I46/1000</f>
        <v>0</v>
      </c>
      <c r="W20" s="1683">
        <f>'3. &amp; 8. T3 BALANS'!J46/1000</f>
        <v>0</v>
      </c>
      <c r="X20" s="1683">
        <f>'3. &amp; 8. T3 BALANS'!K46/1000</f>
        <v>0</v>
      </c>
      <c r="Y20" s="910"/>
      <c r="Z20" s="1481"/>
      <c r="AA20" s="1481"/>
      <c r="AB20" s="1481"/>
      <c r="AC20" s="1481"/>
      <c r="AD20" s="1481"/>
      <c r="AE20" s="1481"/>
      <c r="AF20" s="1481"/>
      <c r="AG20" s="1481"/>
      <c r="AH20" s="1481"/>
      <c r="AI20" s="1481"/>
      <c r="AJ20" s="1481"/>
      <c r="AK20" s="1481"/>
      <c r="AL20" s="1481"/>
      <c r="AM20" s="1481"/>
      <c r="AN20" s="1481"/>
      <c r="AO20" s="1481"/>
    </row>
    <row r="21" spans="1:50" ht="10.85" customHeight="1">
      <c r="B21" s="1255" t="s">
        <v>5</v>
      </c>
      <c r="C21" s="632" t="s">
        <v>191</v>
      </c>
      <c r="D21" s="1683">
        <f>'1. T1 INVESTERINGSP. '!D27/1000</f>
        <v>0</v>
      </c>
      <c r="E21" s="1683">
        <f>'1. T1 INVESTERINGSP. '!E27/1000</f>
        <v>0</v>
      </c>
      <c r="F21" s="1683">
        <f>'1. T1 INVESTERINGSP. '!F27/1000</f>
        <v>0</v>
      </c>
      <c r="G21" s="1683">
        <f>'1. T1 INVESTERINGSP. '!G27/1000</f>
        <v>0</v>
      </c>
      <c r="H21" s="1683">
        <f>SUM(D21:G21)</f>
        <v>0</v>
      </c>
      <c r="I21" s="638">
        <f>'1. T1 INVESTERINGSP. '!J27</f>
        <v>0</v>
      </c>
      <c r="J21" s="916"/>
      <c r="K21" s="916"/>
      <c r="L21" s="916"/>
      <c r="M21" s="916"/>
      <c r="N21" s="916"/>
      <c r="O21" s="916"/>
      <c r="Q21" s="1253"/>
      <c r="R21" s="632" t="s">
        <v>273</v>
      </c>
      <c r="S21" s="1683">
        <f>'3. &amp; 8. T3 BALANS'!F47/1000</f>
        <v>0</v>
      </c>
      <c r="T21" s="1683">
        <f>'3. &amp; 8. T3 BALANS'!G47/1000</f>
        <v>0.88500000000000001</v>
      </c>
      <c r="U21" s="1683">
        <f>'3. &amp; 8. T3 BALANS'!H47/1000</f>
        <v>0.96799999999999997</v>
      </c>
      <c r="V21" s="1683">
        <f>'3. &amp; 8. T3 BALANS'!I47/1000</f>
        <v>1.093</v>
      </c>
      <c r="W21" s="1683">
        <f>'3. &amp; 8. T3 BALANS'!J47/1000</f>
        <v>1.2769999999999999</v>
      </c>
      <c r="X21" s="1683">
        <f>'3. &amp; 8. T3 BALANS'!K47/1000</f>
        <v>1.302</v>
      </c>
      <c r="Y21" s="910"/>
      <c r="Z21" s="1481"/>
      <c r="AA21" s="1481"/>
      <c r="AB21" s="1481"/>
      <c r="AC21" s="1481"/>
      <c r="AD21" s="1481"/>
      <c r="AE21" s="1481"/>
      <c r="AF21" s="1481"/>
      <c r="AG21" s="1481"/>
      <c r="AH21" s="1481"/>
      <c r="AI21" s="1481"/>
      <c r="AJ21" s="1481"/>
      <c r="AK21" s="1481"/>
      <c r="AL21" s="1481"/>
      <c r="AM21" s="1481"/>
      <c r="AN21" s="1481"/>
      <c r="AO21" s="1481"/>
    </row>
    <row r="22" spans="1:50" ht="10.85" customHeight="1">
      <c r="B22" s="1255"/>
      <c r="C22" s="662" t="s">
        <v>186</v>
      </c>
      <c r="D22" s="1682">
        <f>'1. T1 INVESTERINGSP. '!D29</f>
        <v>0</v>
      </c>
      <c r="E22" s="1682">
        <f>'1. T1 INVESTERINGSP. '!E29</f>
        <v>0</v>
      </c>
      <c r="F22" s="1682">
        <f>'1. T1 INVESTERINGSP. '!F29</f>
        <v>0</v>
      </c>
      <c r="G22" s="1682">
        <f>'1. T1 INVESTERINGSP. '!G29</f>
        <v>0</v>
      </c>
      <c r="H22" s="1684"/>
      <c r="I22" s="638">
        <f>'1. T1 INVESTERINGSP. '!J28</f>
        <v>0</v>
      </c>
      <c r="J22" s="916"/>
      <c r="K22" s="916"/>
      <c r="L22" s="916"/>
      <c r="M22" s="916"/>
      <c r="N22" s="916"/>
      <c r="O22" s="916"/>
      <c r="Q22" s="1253"/>
      <c r="R22" s="632" t="s">
        <v>644</v>
      </c>
      <c r="S22" s="1683">
        <f>'3. &amp; 8. T3 BALANS'!F48/1000</f>
        <v>0</v>
      </c>
      <c r="T22" s="1683">
        <f>'3. &amp; 8. T3 BALANS'!G48/1000</f>
        <v>0</v>
      </c>
      <c r="U22" s="1683">
        <f>'3. &amp; 8. T3 BALANS'!H48/1000</f>
        <v>0</v>
      </c>
      <c r="V22" s="1683">
        <f>'3. &amp; 8. T3 BALANS'!I48/1000</f>
        <v>0</v>
      </c>
      <c r="W22" s="1683">
        <f>'3. &amp; 8. T3 BALANS'!J48/1000</f>
        <v>0</v>
      </c>
      <c r="X22" s="1683">
        <f>'3. &amp; 8. T3 BALANS'!K48/1000</f>
        <v>0</v>
      </c>
      <c r="Y22" s="910"/>
      <c r="Z22" s="1481"/>
      <c r="AA22" s="1481"/>
      <c r="AB22" s="1481"/>
      <c r="AC22" s="1481"/>
      <c r="AD22" s="1481"/>
      <c r="AE22" s="1481"/>
      <c r="AF22" s="1481"/>
      <c r="AG22" s="1481"/>
      <c r="AH22" s="1481"/>
      <c r="AI22" s="1481"/>
      <c r="AJ22" s="1481"/>
      <c r="AK22" s="1481"/>
      <c r="AL22" s="1481"/>
      <c r="AM22" s="1481"/>
      <c r="AN22" s="1481"/>
      <c r="AO22" s="1481"/>
    </row>
    <row r="23" spans="1:50" ht="12" customHeight="1">
      <c r="B23" s="1255" t="s">
        <v>6</v>
      </c>
      <c r="C23" s="632" t="s">
        <v>192</v>
      </c>
      <c r="D23" s="1685">
        <f>'1. T1 INVESTERINGSP. '!D30/1000</f>
        <v>30</v>
      </c>
      <c r="E23" s="1685">
        <f>'1. T1 INVESTERINGSP. '!E30/1000</f>
        <v>0</v>
      </c>
      <c r="F23" s="1685">
        <f>'1. T1 INVESTERINGSP. '!F30/1000</f>
        <v>0</v>
      </c>
      <c r="G23" s="1685">
        <f>'1. T1 INVESTERINGSP. '!G30/1000</f>
        <v>0</v>
      </c>
      <c r="H23" s="1683">
        <f>SUM(D23:G23)</f>
        <v>30</v>
      </c>
      <c r="I23" s="638">
        <f>'1. T1 INVESTERINGSP. '!J30</f>
        <v>0</v>
      </c>
      <c r="J23" s="916"/>
      <c r="K23" s="916"/>
      <c r="L23" s="916"/>
      <c r="M23" s="916"/>
      <c r="N23" s="916"/>
      <c r="O23" s="916"/>
      <c r="Q23" s="1253"/>
      <c r="R23" s="632" t="s">
        <v>645</v>
      </c>
      <c r="S23" s="1683">
        <f>'3. &amp; 8. T3 BALANS'!F49/1000</f>
        <v>0</v>
      </c>
      <c r="T23" s="1683">
        <f>'3. &amp; 8. T3 BALANS'!G49/1000</f>
        <v>2.7130000000000001</v>
      </c>
      <c r="U23" s="1683">
        <f>'3. &amp; 8. T3 BALANS'!H49/1000</f>
        <v>3.7475254507738271</v>
      </c>
      <c r="V23" s="1683">
        <f>'3. &amp; 8. T3 BALANS'!I49/1000</f>
        <v>19.147975187154355</v>
      </c>
      <c r="W23" s="1683">
        <f>'3. &amp; 8. T3 BALANS'!J49/1000</f>
        <v>59.945330859170063</v>
      </c>
      <c r="X23" s="1683">
        <f>'3. &amp; 8. T3 BALANS'!K49/1000</f>
        <v>100.33466070452209</v>
      </c>
      <c r="Y23" s="910"/>
      <c r="Z23" s="2" t="s">
        <v>646</v>
      </c>
      <c r="AA23" s="1481"/>
      <c r="AB23" s="1481"/>
      <c r="AC23" s="1481"/>
      <c r="AD23" s="1481"/>
      <c r="AE23" s="1481"/>
      <c r="AF23" s="1481"/>
      <c r="AG23" s="1481"/>
      <c r="AH23" s="1481"/>
      <c r="AI23" s="1481"/>
      <c r="AJ23" s="1481"/>
      <c r="AK23" s="1481"/>
      <c r="AL23" s="1481"/>
      <c r="AM23" s="1481"/>
      <c r="AN23" s="1481"/>
      <c r="AO23" s="1481"/>
    </row>
    <row r="24" spans="1:50" ht="10.85" customHeight="1" thickBot="1">
      <c r="B24" s="1255" t="s">
        <v>7</v>
      </c>
      <c r="C24" s="632" t="s">
        <v>193</v>
      </c>
      <c r="D24" s="1685">
        <f>'1. T1 INVESTERINGSP. '!D32/1000</f>
        <v>0</v>
      </c>
      <c r="E24" s="1685">
        <f>'1. T1 INVESTERINGSP. '!E32/1000</f>
        <v>0</v>
      </c>
      <c r="F24" s="1685">
        <f>'1. T1 INVESTERINGSP. '!F32/1000</f>
        <v>0</v>
      </c>
      <c r="G24" s="1685">
        <f>'1. T1 INVESTERINGSP. '!G32/1000</f>
        <v>0</v>
      </c>
      <c r="H24" s="1683">
        <f>SUM(D24:G24)</f>
        <v>0</v>
      </c>
      <c r="I24" s="638">
        <f>'1. T1 INVESTERINGSP. '!J32</f>
        <v>0</v>
      </c>
      <c r="J24" s="916"/>
      <c r="K24" s="916"/>
      <c r="L24" s="916"/>
      <c r="M24" s="916"/>
      <c r="N24" s="916"/>
      <c r="O24" s="916"/>
      <c r="Q24" s="2429" t="s">
        <v>519</v>
      </c>
      <c r="R24" s="2430"/>
      <c r="S24" s="1561">
        <f>'3. &amp; 8. T3 BALANS'!F51/1000</f>
        <v>0</v>
      </c>
      <c r="T24" s="1561">
        <f>'3. &amp; 8. T3 BALANS'!G51/1000</f>
        <v>21.927</v>
      </c>
      <c r="U24" s="1561">
        <f>'3. &amp; 8. T3 BALANS'!H51/1000</f>
        <v>230.53202033268596</v>
      </c>
      <c r="V24" s="1561">
        <f>'3. &amp; 8. T3 BALANS'!I51/1000</f>
        <v>227.75264475812645</v>
      </c>
      <c r="W24" s="1561">
        <f>'3. &amp; 8. T3 BALANS'!J51/1000</f>
        <v>252.98699275409234</v>
      </c>
      <c r="X24" s="1561">
        <f>'3. &amp; 8. T3 BALANS'!K51/1000</f>
        <v>278.645693516292</v>
      </c>
      <c r="Y24" s="910"/>
      <c r="Z24" s="1481"/>
      <c r="AA24" s="1481"/>
      <c r="AB24" s="1481"/>
      <c r="AC24" s="1481"/>
      <c r="AD24" s="1481"/>
      <c r="AE24" s="1481"/>
      <c r="AF24" s="1481"/>
      <c r="AG24" s="1481"/>
      <c r="AH24" s="1481"/>
      <c r="AI24" s="1481"/>
      <c r="AJ24" s="1481"/>
      <c r="AK24" s="1481"/>
      <c r="AL24" s="1481"/>
      <c r="AM24" s="1481"/>
      <c r="AN24" s="1481"/>
      <c r="AO24" s="1481"/>
    </row>
    <row r="25" spans="1:50" ht="12.65" customHeight="1">
      <c r="B25" s="1255"/>
      <c r="C25" s="662" t="s">
        <v>186</v>
      </c>
      <c r="D25" s="1682">
        <f>'1. T1 INVESTERINGSP. '!D34</f>
        <v>0</v>
      </c>
      <c r="E25" s="1682">
        <f>'1. T1 INVESTERINGSP. '!E34</f>
        <v>0</v>
      </c>
      <c r="F25" s="1682">
        <f>'1. T1 INVESTERINGSP. '!F34</f>
        <v>0</v>
      </c>
      <c r="G25" s="1682">
        <f>'1. T1 INVESTERINGSP. '!G34</f>
        <v>0</v>
      </c>
      <c r="H25" s="1684"/>
      <c r="I25" s="638">
        <f>'1. T1 INVESTERINGSP. '!J33</f>
        <v>0</v>
      </c>
      <c r="J25" s="916"/>
      <c r="K25" s="916"/>
      <c r="L25" s="916"/>
      <c r="M25" s="916"/>
      <c r="N25" s="916"/>
      <c r="O25" s="916"/>
      <c r="Q25" s="2425" t="s">
        <v>767</v>
      </c>
      <c r="R25" s="2426"/>
      <c r="S25" s="1838" t="str">
        <f>S5</f>
        <v>Realiserad</v>
      </c>
      <c r="T25" s="1838" t="str">
        <f>S25</f>
        <v>Realiserad</v>
      </c>
      <c r="U25" s="1838" t="str">
        <f t="shared" ref="U25:X26" si="1">U5</f>
        <v>Prognos 1</v>
      </c>
      <c r="V25" s="1838" t="str">
        <f t="shared" si="1"/>
        <v>Prognos 2</v>
      </c>
      <c r="W25" s="1838" t="str">
        <f t="shared" si="1"/>
        <v>Prognos 3</v>
      </c>
      <c r="X25" s="1839" t="str">
        <f t="shared" si="1"/>
        <v>Prognos 4</v>
      </c>
      <c r="Y25" s="910"/>
      <c r="Z25" s="2434" t="s">
        <v>382</v>
      </c>
      <c r="AA25" s="2436" t="s">
        <v>384</v>
      </c>
      <c r="AB25" s="2439" t="s">
        <v>385</v>
      </c>
      <c r="AC25" s="2399" t="s">
        <v>386</v>
      </c>
      <c r="AD25" s="2496" t="s">
        <v>607</v>
      </c>
      <c r="AE25" s="2496"/>
      <c r="AF25" s="2496"/>
      <c r="AG25" s="2497"/>
      <c r="AH25" s="2497"/>
      <c r="AI25" s="2497"/>
      <c r="AJ25" s="2496"/>
      <c r="AK25" s="2496"/>
      <c r="AL25" s="2496"/>
      <c r="AM25" s="2497"/>
      <c r="AN25" s="2497"/>
      <c r="AO25" s="1575"/>
    </row>
    <row r="26" spans="1:50" ht="10.85" customHeight="1" thickBot="1">
      <c r="B26" s="1255" t="s">
        <v>8</v>
      </c>
      <c r="C26" s="632" t="s">
        <v>194</v>
      </c>
      <c r="D26" s="1683">
        <f>'1. T1 INVESTERINGSP. '!D35/1000</f>
        <v>0</v>
      </c>
      <c r="E26" s="1683">
        <f>'1. T1 INVESTERINGSP. '!E35/1000</f>
        <v>0</v>
      </c>
      <c r="F26" s="1683">
        <f>'1. T1 INVESTERINGSP. '!F35/1000</f>
        <v>0</v>
      </c>
      <c r="G26" s="1683">
        <f>'1. T1 INVESTERINGSP. '!G35/1000</f>
        <v>0</v>
      </c>
      <c r="H26" s="1683">
        <f>SUM(D26:G26)</f>
        <v>0</v>
      </c>
      <c r="I26" s="638">
        <f>'1. T1 INVESTERINGSP. '!J35</f>
        <v>0</v>
      </c>
      <c r="J26" s="916"/>
      <c r="K26" s="916"/>
      <c r="L26" s="916"/>
      <c r="M26" s="916"/>
      <c r="N26" s="916"/>
      <c r="O26" s="916"/>
      <c r="Q26" s="2427"/>
      <c r="R26" s="2428"/>
      <c r="S26" s="1840">
        <f>S6</f>
        <v>2021</v>
      </c>
      <c r="T26" s="1840">
        <f>T6</f>
        <v>2022</v>
      </c>
      <c r="U26" s="1840">
        <f t="shared" si="1"/>
        <v>2023</v>
      </c>
      <c r="V26" s="1840">
        <f t="shared" si="1"/>
        <v>2024</v>
      </c>
      <c r="W26" s="1840">
        <f t="shared" si="1"/>
        <v>2025</v>
      </c>
      <c r="X26" s="1841">
        <f t="shared" si="1"/>
        <v>2026</v>
      </c>
      <c r="Y26" s="910"/>
      <c r="Z26" s="2435"/>
      <c r="AA26" s="2437"/>
      <c r="AB26" s="2440"/>
      <c r="AC26" s="2400"/>
      <c r="AD26" s="2402" t="s">
        <v>179</v>
      </c>
      <c r="AE26" s="2403"/>
      <c r="AF26" s="2404"/>
      <c r="AG26" s="2330" t="s">
        <v>180</v>
      </c>
      <c r="AH26" s="2331"/>
      <c r="AI26" s="2332"/>
      <c r="AJ26" s="2488" t="s">
        <v>181</v>
      </c>
      <c r="AK26" s="2488"/>
      <c r="AL26" s="2488"/>
      <c r="AM26" s="2330" t="s">
        <v>182</v>
      </c>
      <c r="AN26" s="2331"/>
      <c r="AO26" s="2332"/>
    </row>
    <row r="27" spans="1:50" ht="10.85" customHeight="1">
      <c r="B27" s="1255"/>
      <c r="C27" s="662" t="s">
        <v>186</v>
      </c>
      <c r="D27" s="1682">
        <f>'1. T1 INVESTERINGSP. '!D37</f>
        <v>0</v>
      </c>
      <c r="E27" s="1682">
        <f>'1. T1 INVESTERINGSP. '!E37</f>
        <v>0</v>
      </c>
      <c r="F27" s="1682">
        <f>'1. T1 INVESTERINGSP. '!F37</f>
        <v>0</v>
      </c>
      <c r="G27" s="1682">
        <f>'1. T1 INVESTERINGSP. '!G37</f>
        <v>0</v>
      </c>
      <c r="H27" s="1684"/>
      <c r="I27" s="638">
        <f>'1. T1 INVESTERINGSP. '!J36</f>
        <v>0</v>
      </c>
      <c r="J27" s="916"/>
      <c r="K27" s="916"/>
      <c r="L27" s="916"/>
      <c r="M27" s="916"/>
      <c r="N27" s="916"/>
      <c r="O27" s="916"/>
      <c r="Q27" s="1278" t="s">
        <v>68</v>
      </c>
      <c r="R27" s="1275" t="s">
        <v>277</v>
      </c>
      <c r="S27" s="1018">
        <f>'3. &amp; 8. T3 BALANS'!F56/1000</f>
        <v>0</v>
      </c>
      <c r="T27" s="1018">
        <f>'3. &amp; 8. T3 BALANS'!G56/1000</f>
        <v>8.7680000000000007</v>
      </c>
      <c r="U27" s="1018">
        <f>'3. &amp; 8. T3 BALANS'!H56/1000</f>
        <v>-7.6876567102921367</v>
      </c>
      <c r="V27" s="1018">
        <f>'3. &amp; 8. T3 BALANS'!I56/1000</f>
        <v>14.747174458096444</v>
      </c>
      <c r="W27" s="1018">
        <f>'3. &amp; 8. T3 BALANS'!J56/1000</f>
        <v>64.09308617690877</v>
      </c>
      <c r="X27" s="1018">
        <f>'3. &amp; 8. T3 BALANS'!K56/1000</f>
        <v>113.93950981458062</v>
      </c>
      <c r="Y27" s="910"/>
      <c r="Z27" s="1853" t="s">
        <v>383</v>
      </c>
      <c r="AA27" s="2437"/>
      <c r="AB27" s="2440"/>
      <c r="AC27" s="2400"/>
      <c r="AD27" s="2385">
        <f>'4. T7 LÅN '!F9</f>
        <v>2023</v>
      </c>
      <c r="AE27" s="2386"/>
      <c r="AF27" s="2387"/>
      <c r="AG27" s="2388">
        <f>'4. T7 LÅN '!I9</f>
        <v>2024</v>
      </c>
      <c r="AH27" s="2389"/>
      <c r="AI27" s="2390"/>
      <c r="AJ27" s="2389">
        <f>'4. T7 LÅN '!L9</f>
        <v>2025</v>
      </c>
      <c r="AK27" s="2389"/>
      <c r="AL27" s="2389"/>
      <c r="AM27" s="2492">
        <f>'4. T7 LÅN '!O9</f>
        <v>2026</v>
      </c>
      <c r="AN27" s="2389"/>
      <c r="AO27" s="2390"/>
    </row>
    <row r="28" spans="1:50" ht="10.85" customHeight="1">
      <c r="B28" s="1255" t="s">
        <v>9</v>
      </c>
      <c r="C28" s="632" t="s">
        <v>195</v>
      </c>
      <c r="D28" s="1683">
        <f>'1. T1 INVESTERINGSP. '!D38/1000</f>
        <v>0</v>
      </c>
      <c r="E28" s="1683">
        <f>'1. T1 INVESTERINGSP. '!E38/1000</f>
        <v>0</v>
      </c>
      <c r="F28" s="1683">
        <f>'1. T1 INVESTERINGSP. '!F38/1000</f>
        <v>0</v>
      </c>
      <c r="G28" s="1683">
        <f>'1. T1 INVESTERINGSP. '!G38/1000</f>
        <v>0</v>
      </c>
      <c r="H28" s="1683">
        <f>SUM(D28:G28)</f>
        <v>0</v>
      </c>
      <c r="I28" s="638">
        <f>'1. T1 INVESTERINGSP. '!J38</f>
        <v>0</v>
      </c>
      <c r="J28" s="916"/>
      <c r="K28" s="916"/>
      <c r="L28" s="916"/>
      <c r="M28" s="916"/>
      <c r="N28" s="916"/>
      <c r="O28" s="916"/>
      <c r="Q28" s="1254">
        <v>0</v>
      </c>
      <c r="R28" s="632" t="s">
        <v>278</v>
      </c>
      <c r="S28" s="1683">
        <f>'3. &amp; 8. T3 BALANS'!F57/1000</f>
        <v>0</v>
      </c>
      <c r="T28" s="1683">
        <f>'3. &amp; 8. T3 BALANS'!G57/1000</f>
        <v>3</v>
      </c>
      <c r="U28" s="1683">
        <f>'3. &amp; 8. T3 BALANS'!H57/1000</f>
        <v>3</v>
      </c>
      <c r="V28" s="1683">
        <f>'3. &amp; 8. T3 BALANS'!I57/1000</f>
        <v>3</v>
      </c>
      <c r="W28" s="1683">
        <f>'3. &amp; 8. T3 BALANS'!J57/1000</f>
        <v>3</v>
      </c>
      <c r="X28" s="1683">
        <f>'3. &amp; 8. T3 BALANS'!K57/1000</f>
        <v>3</v>
      </c>
      <c r="Y28" s="910"/>
      <c r="Z28" s="1564" t="s">
        <v>207</v>
      </c>
      <c r="AA28" s="2438"/>
      <c r="AB28" s="2441"/>
      <c r="AC28" s="2401"/>
      <c r="AD28" s="2498" t="s">
        <v>387</v>
      </c>
      <c r="AE28" s="2499"/>
      <c r="AF28" s="1566" t="s">
        <v>388</v>
      </c>
      <c r="AG28" s="2500" t="s">
        <v>387</v>
      </c>
      <c r="AH28" s="2499"/>
      <c r="AI28" s="1570" t="s">
        <v>388</v>
      </c>
      <c r="AJ28" s="2498" t="s">
        <v>387</v>
      </c>
      <c r="AK28" s="2499"/>
      <c r="AL28" s="1566" t="s">
        <v>388</v>
      </c>
      <c r="AM28" s="2501" t="s">
        <v>387</v>
      </c>
      <c r="AN28" s="2502"/>
      <c r="AO28" s="1576" t="s">
        <v>388</v>
      </c>
    </row>
    <row r="29" spans="1:50" ht="10.85" customHeight="1">
      <c r="B29" s="1255" t="s">
        <v>10</v>
      </c>
      <c r="C29" s="632" t="s">
        <v>196</v>
      </c>
      <c r="D29" s="1683">
        <f>'1. T1 INVESTERINGSP. '!D39/1000</f>
        <v>0</v>
      </c>
      <c r="E29" s="1683">
        <f>'1. T1 INVESTERINGSP. '!E39/1000</f>
        <v>0</v>
      </c>
      <c r="F29" s="1683">
        <f>'1. T1 INVESTERINGSP. '!F39/1000</f>
        <v>0</v>
      </c>
      <c r="G29" s="1683">
        <f>'1. T1 INVESTERINGSP. '!G39/1000</f>
        <v>0</v>
      </c>
      <c r="H29" s="1683">
        <f>SUM(D29:G29)</f>
        <v>0</v>
      </c>
      <c r="I29" s="638">
        <f>'1. T1 INVESTERINGSP. '!J39</f>
        <v>0</v>
      </c>
      <c r="J29" s="916"/>
      <c r="K29" s="916"/>
      <c r="L29" s="916"/>
      <c r="M29" s="916"/>
      <c r="N29" s="916"/>
      <c r="O29" s="916"/>
      <c r="Q29" s="1254">
        <v>0</v>
      </c>
      <c r="R29" s="632" t="s">
        <v>279</v>
      </c>
      <c r="S29" s="1683">
        <f>'3. &amp; 8. T3 BALANS'!F58/1000</f>
        <v>0</v>
      </c>
      <c r="T29" s="1683">
        <f>'3. &amp; 8. T3 BALANS'!G58/1000</f>
        <v>3.0059999999999998</v>
      </c>
      <c r="U29" s="1683">
        <f>'3. &amp; 8. T3 BALANS'!H58/1000</f>
        <v>5.7679999999999998</v>
      </c>
      <c r="V29" s="1683">
        <f>'3. &amp; 8. T3 BALANS'!I58/1000</f>
        <v>-10.687656710292137</v>
      </c>
      <c r="W29" s="1683">
        <f>'3. &amp; 8. T3 BALANS'!J58/1000</f>
        <v>11.747174458096444</v>
      </c>
      <c r="X29" s="1683">
        <f>'3. &amp; 8. T3 BALANS'!K58/1000</f>
        <v>61.09308617690877</v>
      </c>
      <c r="Y29" s="910"/>
      <c r="Z29" s="1290" t="str">
        <f>'4. T7 LÅN '!B11</f>
        <v xml:space="preserve"> Långivaren/avsedd användning</v>
      </c>
      <c r="AA29" s="1589">
        <f>'4. T7 LÅN '!C11/1000</f>
        <v>0</v>
      </c>
      <c r="AB29" s="1597">
        <f>'4. T7 LÅN '!D11</f>
        <v>0</v>
      </c>
      <c r="AC29" s="1593">
        <f>'4. T7 LÅN '!E11*100</f>
        <v>0</v>
      </c>
      <c r="AD29" s="2395">
        <f>'4. T7 LÅN '!F11/1000</f>
        <v>0</v>
      </c>
      <c r="AE29" s="2396">
        <f>'4. T7 LÅN '!G11/1000</f>
        <v>0</v>
      </c>
      <c r="AF29" s="1567">
        <f>'4. T7 LÅN '!H11/1000</f>
        <v>0</v>
      </c>
      <c r="AG29" s="2397">
        <f>'4. T7 LÅN '!I11/1000</f>
        <v>0</v>
      </c>
      <c r="AH29" s="2398">
        <f>'4. T7 LÅN '!J11/1000</f>
        <v>0</v>
      </c>
      <c r="AI29" s="1571">
        <f>'4. T7 LÅN '!K11/1000</f>
        <v>0</v>
      </c>
      <c r="AJ29" s="2494">
        <f>'4. T7 LÅN '!L11/1000</f>
        <v>0</v>
      </c>
      <c r="AK29" s="2398">
        <f>'4. T7 LÅN '!M11/1000</f>
        <v>0</v>
      </c>
      <c r="AL29" s="1567">
        <f>'4. T7 LÅN '!N11/1000</f>
        <v>0</v>
      </c>
      <c r="AM29" s="2495">
        <f>'4. T7 LÅN '!O11/1000</f>
        <v>0</v>
      </c>
      <c r="AN29" s="2480">
        <f>'4. T7 LÅN '!P11/1000</f>
        <v>0</v>
      </c>
      <c r="AO29" s="1577">
        <f>'4. T7 LÅN '!Q11/1000</f>
        <v>0</v>
      </c>
    </row>
    <row r="30" spans="1:50" ht="10.85" customHeight="1">
      <c r="B30" s="1260" t="s">
        <v>11</v>
      </c>
      <c r="C30" s="1261" t="s">
        <v>197</v>
      </c>
      <c r="D30" s="1561">
        <f>D16+D18+D20+D21+D23+D24+D29+D26+D28</f>
        <v>230</v>
      </c>
      <c r="E30" s="1561">
        <f>E16+E18+E20+E21+E23+E24+E29+E26+E28</f>
        <v>0</v>
      </c>
      <c r="F30" s="1561">
        <f>F16+F18+F20+F21+F23+F24+F29+F26+F28</f>
        <v>0</v>
      </c>
      <c r="G30" s="1561">
        <f>G16+G18+G20+G21+G23+G24+G29+G26+G28</f>
        <v>0</v>
      </c>
      <c r="H30" s="993">
        <f>SUM(D30:G30)</f>
        <v>230</v>
      </c>
      <c r="I30" s="638">
        <f>'1. T1 INVESTERINGSP. '!J40</f>
        <v>0</v>
      </c>
      <c r="J30" s="916"/>
      <c r="K30" s="916"/>
      <c r="L30" s="916"/>
      <c r="M30" s="916"/>
      <c r="N30" s="916"/>
      <c r="O30" s="916"/>
      <c r="Q30" s="1254"/>
      <c r="R30" s="632" t="s">
        <v>280</v>
      </c>
      <c r="S30" s="1683">
        <f>'3. &amp; 8. T3 BALANS'!F59/1000</f>
        <v>0</v>
      </c>
      <c r="T30" s="1683">
        <f>'3. &amp; 8. T3 BALANS'!G59/1000</f>
        <v>0</v>
      </c>
      <c r="U30" s="1683">
        <f>'3. &amp; 8. T3 BALANS'!H59/1000</f>
        <v>0.70144000000000006</v>
      </c>
      <c r="V30" s="1683">
        <f>'3. &amp; 8. T3 BALANS'!I59/1000</f>
        <v>0</v>
      </c>
      <c r="W30" s="1683">
        <f>'3. &amp; 8. T3 BALANS'!J59/1000</f>
        <v>1.1797739566477154</v>
      </c>
      <c r="X30" s="1683">
        <f>'3. &amp; 8. T3 BALANS'!K59/1000</f>
        <v>5.1274468941527021</v>
      </c>
      <c r="Y30" s="1349"/>
      <c r="Z30" s="1624" t="str">
        <f>'4. T7 LÅN '!B12</f>
        <v xml:space="preserve"> XX Bank/ Lån</v>
      </c>
      <c r="AA30" s="1625">
        <f>'4. T7 LÅN '!C12/1000</f>
        <v>0.745</v>
      </c>
      <c r="AB30" s="1626">
        <f>'4. T7 LÅN '!D12</f>
        <v>2</v>
      </c>
      <c r="AC30" s="1627">
        <f>'4. T7 LÅN '!E12*100</f>
        <v>4.3</v>
      </c>
      <c r="AD30" s="2391">
        <f>'4. T7 LÅN '!F12/1000</f>
        <v>8.9359999999999999</v>
      </c>
      <c r="AE30" s="2392">
        <f>'4. T7 LÅN '!G12/1000</f>
        <v>0</v>
      </c>
      <c r="AF30" s="1628">
        <f>'4. T7 LÅN '!H12/1000</f>
        <v>0.12809699999999999</v>
      </c>
      <c r="AG30" s="2393">
        <f>'4. T7 LÅN '!I12/1000</f>
        <v>0.745</v>
      </c>
      <c r="AH30" s="2356">
        <f>'4. T7 LÅN '!J12/1000</f>
        <v>0</v>
      </c>
      <c r="AI30" s="1629">
        <f>'4. T7 LÅN '!K12/1000</f>
        <v>2.4026249999999999E-2</v>
      </c>
      <c r="AJ30" s="2355">
        <f>'4. T7 LÅN '!L12/1000</f>
        <v>0</v>
      </c>
      <c r="AK30" s="2356">
        <f>'4. T7 LÅN '!M12/1000</f>
        <v>0</v>
      </c>
      <c r="AL30" s="1628">
        <f>'4. T7 LÅN '!N12/1000</f>
        <v>0</v>
      </c>
      <c r="AM30" s="2357">
        <f>'4. T7 LÅN '!O12/1000</f>
        <v>0</v>
      </c>
      <c r="AN30" s="2358">
        <f>'4. T7 LÅN '!P12/1000</f>
        <v>0</v>
      </c>
      <c r="AO30" s="1630">
        <f>'4. T7 LÅN '!Q12/1000</f>
        <v>0</v>
      </c>
    </row>
    <row r="31" spans="1:50" ht="10.85" customHeight="1">
      <c r="B31" s="1262"/>
      <c r="C31" s="1263"/>
      <c r="D31" s="1263"/>
      <c r="E31" s="1263"/>
      <c r="F31" s="1263"/>
      <c r="G31" s="1263"/>
      <c r="H31" s="1264"/>
      <c r="I31" s="1265"/>
      <c r="J31" s="1265"/>
      <c r="K31" s="1265"/>
      <c r="L31" s="1265"/>
      <c r="M31" s="1265"/>
      <c r="N31" s="1265"/>
      <c r="O31" s="1265"/>
      <c r="Q31" s="1254">
        <v>0</v>
      </c>
      <c r="R31" s="632" t="s">
        <v>520</v>
      </c>
      <c r="S31" s="1683">
        <f>'3. &amp; 8. T3 BALANS'!F60/1000</f>
        <v>0</v>
      </c>
      <c r="T31" s="1683">
        <f>'3. &amp; 8. T3 BALANS'!G60/1000</f>
        <v>2.762</v>
      </c>
      <c r="U31" s="1683">
        <f>'3. &amp; 8. T3 BALANS'!H60/1000</f>
        <v>-15.754216710292136</v>
      </c>
      <c r="V31" s="1683">
        <f>'3. &amp; 8. T3 BALANS'!I60/1000</f>
        <v>22.43483116838858</v>
      </c>
      <c r="W31" s="1683">
        <f>'3. &amp; 8. T3 BALANS'!J60/1000</f>
        <v>50.525685675460046</v>
      </c>
      <c r="X31" s="1683">
        <f>'3. &amp; 8. T3 BALANS'!K60/1000</f>
        <v>54.973870531824531</v>
      </c>
      <c r="Y31" s="1349"/>
      <c r="Z31" s="1624">
        <f>'4. T7 LÅN '!B13</f>
        <v>0</v>
      </c>
      <c r="AA31" s="1625">
        <f>'4. T7 LÅN '!C13/1000</f>
        <v>0</v>
      </c>
      <c r="AB31" s="1626">
        <f>'4. T7 LÅN '!D13</f>
        <v>0</v>
      </c>
      <c r="AC31" s="1627">
        <f>'4. T7 LÅN '!E13*100</f>
        <v>0</v>
      </c>
      <c r="AD31" s="2391">
        <f>'4. T7 LÅN '!F13/1000</f>
        <v>0</v>
      </c>
      <c r="AE31" s="2392">
        <f>'4. T7 LÅN '!G13/1000</f>
        <v>0</v>
      </c>
      <c r="AF31" s="1628">
        <f>'4. T7 LÅN '!H13/1000</f>
        <v>0</v>
      </c>
      <c r="AG31" s="2393">
        <f>'4. T7 LÅN '!I13/1000</f>
        <v>0</v>
      </c>
      <c r="AH31" s="2356">
        <f>'4. T7 LÅN '!J13/1000</f>
        <v>0</v>
      </c>
      <c r="AI31" s="1629">
        <f>'4. T7 LÅN '!K13/1000</f>
        <v>0</v>
      </c>
      <c r="AJ31" s="2355">
        <f>'4. T7 LÅN '!L13/1000</f>
        <v>0</v>
      </c>
      <c r="AK31" s="2356">
        <f>'4. T7 LÅN '!M13/1000</f>
        <v>0</v>
      </c>
      <c r="AL31" s="1628">
        <f>'4. T7 LÅN '!N13/1000</f>
        <v>0</v>
      </c>
      <c r="AM31" s="2357">
        <f>'4. T7 LÅN '!O13/1000</f>
        <v>0</v>
      </c>
      <c r="AN31" s="2358">
        <f>'4. T7 LÅN '!P13/1000</f>
        <v>0</v>
      </c>
      <c r="AO31" s="1630">
        <f>'4. T7 LÅN '!Q13/1000</f>
        <v>0</v>
      </c>
    </row>
    <row r="32" spans="1:50" ht="10.85" customHeight="1">
      <c r="B32" s="2366" t="s">
        <v>765</v>
      </c>
      <c r="C32" s="2366"/>
      <c r="D32" s="1829" t="s">
        <v>507</v>
      </c>
      <c r="E32" s="1829" t="s">
        <v>509</v>
      </c>
      <c r="F32" s="1829" t="s">
        <v>510</v>
      </c>
      <c r="G32" s="1829" t="s">
        <v>508</v>
      </c>
      <c r="H32" s="2414" t="s">
        <v>511</v>
      </c>
      <c r="I32" s="2416" t="s">
        <v>764</v>
      </c>
      <c r="J32" s="2417"/>
      <c r="K32" s="2417"/>
      <c r="L32" s="2417"/>
      <c r="M32" s="2417"/>
      <c r="N32" s="2417"/>
      <c r="O32" s="2417"/>
      <c r="Q32" s="1254">
        <v>0</v>
      </c>
      <c r="R32" s="632" t="s">
        <v>521</v>
      </c>
      <c r="S32" s="1683">
        <f>'3. &amp; 8. T3 BALANS'!F61/1000</f>
        <v>0</v>
      </c>
      <c r="T32" s="1683">
        <f>'3. &amp; 8. T3 BALANS'!G61/1000</f>
        <v>0</v>
      </c>
      <c r="U32" s="1683">
        <f>'3. &amp; 8. T3 BALANS'!H61/1000</f>
        <v>0</v>
      </c>
      <c r="V32" s="1683">
        <f>'3. &amp; 8. T3 BALANS'!I61/1000</f>
        <v>0</v>
      </c>
      <c r="W32" s="1683">
        <f>'3. &amp; 8. T3 BALANS'!J61/1000</f>
        <v>0</v>
      </c>
      <c r="X32" s="1683">
        <f>'3. &amp; 8. T3 BALANS'!K61/1000</f>
        <v>0</v>
      </c>
      <c r="Y32" s="1349"/>
      <c r="Z32" s="1624" t="str">
        <f>'4. T7 LÅN '!B14</f>
        <v xml:space="preserve"> </v>
      </c>
      <c r="AA32" s="1625">
        <f>'4. T7 LÅN '!C14/1000</f>
        <v>0</v>
      </c>
      <c r="AB32" s="1626">
        <f>'4. T7 LÅN '!D14</f>
        <v>0</v>
      </c>
      <c r="AC32" s="1627">
        <f>'4. T7 LÅN '!E14*100</f>
        <v>0</v>
      </c>
      <c r="AD32" s="2391">
        <f>'4. T7 LÅN '!F14/1000</f>
        <v>0</v>
      </c>
      <c r="AE32" s="2392">
        <f>'4. T7 LÅN '!G14/1000</f>
        <v>0</v>
      </c>
      <c r="AF32" s="1628">
        <f>'4. T7 LÅN '!H14/1000</f>
        <v>0</v>
      </c>
      <c r="AG32" s="2393">
        <f>'4. T7 LÅN '!I14/1000</f>
        <v>0</v>
      </c>
      <c r="AH32" s="2356">
        <f>'4. T7 LÅN '!J14/1000</f>
        <v>0</v>
      </c>
      <c r="AI32" s="1629">
        <f>'4. T7 LÅN '!K14/1000</f>
        <v>0</v>
      </c>
      <c r="AJ32" s="2355">
        <f>'4. T7 LÅN '!L14/1000</f>
        <v>0</v>
      </c>
      <c r="AK32" s="2356">
        <f>'4. T7 LÅN '!M14/1000</f>
        <v>0</v>
      </c>
      <c r="AL32" s="1628">
        <f>'4. T7 LÅN '!N14/1000</f>
        <v>0</v>
      </c>
      <c r="AM32" s="2357">
        <f>'4. T7 LÅN '!O14/1000</f>
        <v>0</v>
      </c>
      <c r="AN32" s="2358">
        <f>'4. T7 LÅN '!P14/1000</f>
        <v>0</v>
      </c>
      <c r="AO32" s="1630">
        <f>'4. T7 LÅN '!Q14/1000</f>
        <v>0</v>
      </c>
    </row>
    <row r="33" spans="1:41" ht="10.85" customHeight="1">
      <c r="B33" s="2464"/>
      <c r="C33" s="2464"/>
      <c r="D33" s="1830">
        <f>D15</f>
        <v>2023</v>
      </c>
      <c r="E33" s="1830">
        <f>E15</f>
        <v>2024</v>
      </c>
      <c r="F33" s="1830">
        <f>F15</f>
        <v>2025</v>
      </c>
      <c r="G33" s="1831">
        <f>G15</f>
        <v>2026</v>
      </c>
      <c r="H33" s="2415"/>
      <c r="I33" s="2418"/>
      <c r="J33" s="2419"/>
      <c r="K33" s="2419"/>
      <c r="L33" s="2419"/>
      <c r="M33" s="2419"/>
      <c r="N33" s="2419"/>
      <c r="O33" s="2419"/>
      <c r="Q33" s="1279" t="s">
        <v>69</v>
      </c>
      <c r="R33" s="1276" t="s">
        <v>617</v>
      </c>
      <c r="S33" s="1707">
        <f>'3. &amp; 8. T3 BALANS'!F62/1000</f>
        <v>0</v>
      </c>
      <c r="T33" s="1707">
        <f>'3. &amp; 8. T3 BALANS'!G62/1000</f>
        <v>0</v>
      </c>
      <c r="U33" s="1707">
        <f>'3. &amp; 8. T3 BALANS'!H62/1000</f>
        <v>0</v>
      </c>
      <c r="V33" s="1707">
        <f>'3. &amp; 8. T3 BALANS'!I62/1000</f>
        <v>0</v>
      </c>
      <c r="W33" s="1707">
        <f>'3. &amp; 8. T3 BALANS'!J62/1000</f>
        <v>0</v>
      </c>
      <c r="X33" s="1707">
        <f>'3. &amp; 8. T3 BALANS'!K62/1000</f>
        <v>0</v>
      </c>
      <c r="Y33" s="1349"/>
      <c r="Z33" s="1624">
        <f>'4. T7 LÅN '!B15</f>
        <v>0</v>
      </c>
      <c r="AA33" s="1625">
        <f>'4. T7 LÅN '!C15/1000</f>
        <v>0</v>
      </c>
      <c r="AB33" s="1626">
        <f>'4. T7 LÅN '!D15</f>
        <v>0</v>
      </c>
      <c r="AC33" s="1627">
        <f>'4. T7 LÅN '!E15*100</f>
        <v>0</v>
      </c>
      <c r="AD33" s="2391">
        <f>'4. T7 LÅN '!F15/1000</f>
        <v>0</v>
      </c>
      <c r="AE33" s="2392">
        <f>'4. T7 LÅN '!G15/1000</f>
        <v>0</v>
      </c>
      <c r="AF33" s="1628">
        <f>'4. T7 LÅN '!H15/1000</f>
        <v>0</v>
      </c>
      <c r="AG33" s="2393">
        <f>'4. T7 LÅN '!I15/1000</f>
        <v>0</v>
      </c>
      <c r="AH33" s="2356">
        <f>'4. T7 LÅN '!J15/1000</f>
        <v>0</v>
      </c>
      <c r="AI33" s="1629">
        <f>'4. T7 LÅN '!K15/1000</f>
        <v>0</v>
      </c>
      <c r="AJ33" s="2355">
        <f>'4. T7 LÅN '!L15/1000</f>
        <v>0</v>
      </c>
      <c r="AK33" s="2356">
        <f>'4. T7 LÅN '!M15/1000</f>
        <v>0</v>
      </c>
      <c r="AL33" s="1628">
        <f>'4. T7 LÅN '!N15/1000</f>
        <v>0</v>
      </c>
      <c r="AM33" s="2357">
        <f>'4. T7 LÅN '!O15/1000</f>
        <v>0</v>
      </c>
      <c r="AN33" s="2358">
        <f>'4. T7 LÅN '!P15/1000</f>
        <v>0</v>
      </c>
      <c r="AO33" s="1630">
        <f>'4. T7 LÅN '!Q15/1000</f>
        <v>0</v>
      </c>
    </row>
    <row r="34" spans="1:41" ht="10.85" customHeight="1">
      <c r="B34" s="2370" t="s">
        <v>199</v>
      </c>
      <c r="C34" s="2371"/>
      <c r="D34" s="1017"/>
      <c r="E34" s="1017"/>
      <c r="F34" s="1017"/>
      <c r="G34" s="1017"/>
      <c r="H34" s="1268" t="s">
        <v>0</v>
      </c>
      <c r="I34" s="995"/>
      <c r="J34" s="916"/>
      <c r="K34" s="916"/>
      <c r="L34" s="916"/>
      <c r="M34" s="916"/>
      <c r="N34" s="916"/>
      <c r="O34" s="916"/>
      <c r="Q34" s="1279" t="s">
        <v>76</v>
      </c>
      <c r="R34" s="1276" t="s">
        <v>287</v>
      </c>
      <c r="S34" s="1707">
        <f>'3. &amp; 8. T3 BALANS'!F66/1000</f>
        <v>0</v>
      </c>
      <c r="T34" s="1707">
        <f>'3. &amp; 8. T3 BALANS'!G66/1000</f>
        <v>0</v>
      </c>
      <c r="U34" s="1707">
        <f>'3. &amp; 8. T3 BALANS'!H66/1000</f>
        <v>0</v>
      </c>
      <c r="V34" s="1707">
        <f>'3. &amp; 8. T3 BALANS'!I66/1000</f>
        <v>0</v>
      </c>
      <c r="W34" s="1707">
        <f>'3. &amp; 8. T3 BALANS'!J66/1000</f>
        <v>0</v>
      </c>
      <c r="X34" s="1707">
        <f>'3. &amp; 8. T3 BALANS'!K66/1000</f>
        <v>0</v>
      </c>
      <c r="Y34" s="1349"/>
      <c r="Z34" s="1624">
        <f>'4. T7 LÅN '!B16</f>
        <v>0</v>
      </c>
      <c r="AA34" s="1625">
        <f>'4. T7 LÅN '!C16/1000</f>
        <v>0</v>
      </c>
      <c r="AB34" s="1626">
        <f>'4. T7 LÅN '!D16</f>
        <v>0</v>
      </c>
      <c r="AC34" s="1627">
        <f>'4. T7 LÅN '!E16*100</f>
        <v>0</v>
      </c>
      <c r="AD34" s="2391">
        <f>'4. T7 LÅN '!F16/1000</f>
        <v>0</v>
      </c>
      <c r="AE34" s="2392">
        <f>'4. T7 LÅN '!G16/1000</f>
        <v>0</v>
      </c>
      <c r="AF34" s="1628">
        <f>'4. T7 LÅN '!H16/1000</f>
        <v>0</v>
      </c>
      <c r="AG34" s="2393">
        <f>'4. T7 LÅN '!I16/1000</f>
        <v>0</v>
      </c>
      <c r="AH34" s="2356">
        <f>'4. T7 LÅN '!J16/1000</f>
        <v>0</v>
      </c>
      <c r="AI34" s="1629">
        <f>'4. T7 LÅN '!K16/1000</f>
        <v>0</v>
      </c>
      <c r="AJ34" s="2355">
        <f>'4. T7 LÅN '!L16/1000</f>
        <v>0</v>
      </c>
      <c r="AK34" s="2356">
        <f>'4. T7 LÅN '!M16/1000</f>
        <v>0</v>
      </c>
      <c r="AL34" s="1628">
        <f>'4. T7 LÅN '!N16/1000</f>
        <v>0</v>
      </c>
      <c r="AM34" s="2357">
        <f>'4. T7 LÅN '!O16/1000</f>
        <v>0</v>
      </c>
      <c r="AN34" s="2358">
        <f>'4. T7 LÅN '!P16/1000</f>
        <v>0</v>
      </c>
      <c r="AO34" s="1630">
        <f>'4. T7 LÅN '!Q16/1000</f>
        <v>0</v>
      </c>
    </row>
    <row r="35" spans="1:41" ht="10.85" customHeight="1" thickBot="1">
      <c r="B35" s="1253" t="s">
        <v>39</v>
      </c>
      <c r="C35" s="662" t="s">
        <v>200</v>
      </c>
      <c r="D35" s="1017"/>
      <c r="E35" s="1017"/>
      <c r="F35" s="1017"/>
      <c r="G35" s="1017"/>
      <c r="H35" s="1268"/>
      <c r="I35" s="995"/>
      <c r="J35" s="916"/>
      <c r="K35" s="916"/>
      <c r="L35" s="916"/>
      <c r="M35" s="916"/>
      <c r="N35" s="916"/>
      <c r="O35" s="916"/>
      <c r="Q35" s="1279" t="s">
        <v>114</v>
      </c>
      <c r="R35" s="1276" t="s">
        <v>288</v>
      </c>
      <c r="S35" s="1707">
        <f>'3. &amp; 8. T3 BALANS'!F67/1000</f>
        <v>0</v>
      </c>
      <c r="T35" s="1707">
        <f>'3. &amp; 8. T3 BALANS'!G67/1000</f>
        <v>0.745</v>
      </c>
      <c r="U35" s="1707">
        <f>'3. &amp; 8. T3 BALANS'!H67/1000</f>
        <v>197.33</v>
      </c>
      <c r="V35" s="1707">
        <f>'3. &amp; 8. T3 BALANS'!I67/1000</f>
        <v>172.66</v>
      </c>
      <c r="W35" s="1707">
        <f>'3. &amp; 8. T3 BALANS'!J67/1000</f>
        <v>147.99</v>
      </c>
      <c r="X35" s="1707">
        <f>'3. &amp; 8. T3 BALANS'!K67/1000</f>
        <v>123.32</v>
      </c>
      <c r="Y35" s="910"/>
      <c r="Z35" s="1291" t="str">
        <f>'4. T7 LÅN '!B17</f>
        <v xml:space="preserve"> Limitkredit</v>
      </c>
      <c r="AA35" s="1590">
        <f>'4. T7 LÅN '!C17/1000</f>
        <v>0</v>
      </c>
      <c r="AB35" s="1598">
        <f>'4. T7 LÅN '!D17</f>
        <v>0</v>
      </c>
      <c r="AC35" s="1594">
        <f>'4. T7 LÅN '!E17*100</f>
        <v>0</v>
      </c>
      <c r="AD35" s="2336">
        <f>'4. T7 LÅN '!F17/1000</f>
        <v>0</v>
      </c>
      <c r="AE35" s="2337">
        <f>'4. T7 LÅN '!G17/1000</f>
        <v>0</v>
      </c>
      <c r="AF35" s="1568">
        <f>'4. T7 LÅN '!H17/1000</f>
        <v>0</v>
      </c>
      <c r="AG35" s="2338">
        <f>'4. T7 LÅN '!I17/1000</f>
        <v>0</v>
      </c>
      <c r="AH35" s="2339">
        <f>'4. T7 LÅN '!J17/1000</f>
        <v>0</v>
      </c>
      <c r="AI35" s="1572">
        <f>'4. T7 LÅN '!K17/1000</f>
        <v>0</v>
      </c>
      <c r="AJ35" s="2340">
        <f>'4. T7 LÅN '!L17/1000</f>
        <v>0</v>
      </c>
      <c r="AK35" s="2339">
        <f>'4. T7 LÅN '!M17/1000</f>
        <v>0</v>
      </c>
      <c r="AL35" s="1568">
        <f>'4. T7 LÅN '!N17/1000</f>
        <v>0</v>
      </c>
      <c r="AM35" s="2341">
        <f>'4. T7 LÅN '!O17/1000</f>
        <v>0</v>
      </c>
      <c r="AN35" s="2342">
        <f>'4. T7 LÅN '!P17/1000</f>
        <v>0</v>
      </c>
      <c r="AO35" s="1578">
        <f>'4. T7 LÅN '!Q17/1000</f>
        <v>0</v>
      </c>
    </row>
    <row r="36" spans="1:41" ht="10.85" customHeight="1" thickTop="1">
      <c r="B36" s="1283"/>
      <c r="C36" s="633" t="s">
        <v>201</v>
      </c>
      <c r="D36" s="1683">
        <f>'1. T1 INVESTERINGSP. '!D46/1000</f>
        <v>0</v>
      </c>
      <c r="E36" s="1683">
        <f>'1. T1 INVESTERINGSP. '!E46/1000</f>
        <v>0</v>
      </c>
      <c r="F36" s="1683">
        <f>'1. T1 INVESTERINGSP. '!F46/1000</f>
        <v>0</v>
      </c>
      <c r="G36" s="1683">
        <f>'1. T1 INVESTERINGSP. '!G46/1000</f>
        <v>0</v>
      </c>
      <c r="H36" s="1686">
        <f>'1. T1 INVESTERINGSP. '!H46/1000</f>
        <v>0</v>
      </c>
      <c r="I36" s="995"/>
      <c r="J36" s="916"/>
      <c r="K36" s="916"/>
      <c r="L36" s="916"/>
      <c r="M36" s="916"/>
      <c r="N36" s="916"/>
      <c r="O36" s="916"/>
      <c r="Q36" s="1254" t="s">
        <v>0</v>
      </c>
      <c r="R36" s="632" t="s">
        <v>289</v>
      </c>
      <c r="S36" s="1683">
        <f>'3. &amp; 8. T3 BALANS'!F68/1000</f>
        <v>0</v>
      </c>
      <c r="T36" s="1683">
        <f>'3. &amp; 8. T3 BALANS'!G68/1000</f>
        <v>0.745</v>
      </c>
      <c r="U36" s="1683">
        <f>'3. &amp; 8. T3 BALANS'!H68/1000</f>
        <v>197.33</v>
      </c>
      <c r="V36" s="1683">
        <f>'3. &amp; 8. T3 BALANS'!I68/1000</f>
        <v>172.66</v>
      </c>
      <c r="W36" s="1683">
        <f>'3. &amp; 8. T3 BALANS'!J68/1000</f>
        <v>147.99</v>
      </c>
      <c r="X36" s="1683">
        <f>'3. &amp; 8. T3 BALANS'!K68/1000</f>
        <v>123.32</v>
      </c>
      <c r="Y36" s="910"/>
      <c r="Z36" s="875" t="s">
        <v>389</v>
      </c>
      <c r="AA36" s="1591">
        <f>SUM(AA29:AA35)</f>
        <v>0.745</v>
      </c>
      <c r="AB36" s="1599"/>
      <c r="AC36" s="1595"/>
      <c r="AD36" s="2343">
        <f>SUM(AD29:AD35)</f>
        <v>8.9359999999999999</v>
      </c>
      <c r="AE36" s="2344"/>
      <c r="AF36" s="1569">
        <f>SUM(AF29:AF35)</f>
        <v>0.12809699999999999</v>
      </c>
      <c r="AG36" s="2345">
        <f>SUM(AG29:AG35)</f>
        <v>0.745</v>
      </c>
      <c r="AH36" s="2344"/>
      <c r="AI36" s="1573">
        <f>SUM(AI29:AI35)</f>
        <v>2.4026249999999999E-2</v>
      </c>
      <c r="AJ36" s="2343">
        <f>SUM(AJ29:AJ35)</f>
        <v>0</v>
      </c>
      <c r="AK36" s="2344"/>
      <c r="AL36" s="1569">
        <f>SUM(AL29:AL35)</f>
        <v>0</v>
      </c>
      <c r="AM36" s="2346">
        <f>SUM(AM29:AM35)</f>
        <v>0</v>
      </c>
      <c r="AN36" s="2347"/>
      <c r="AO36" s="1579">
        <f>SUM(AO29:AO35)</f>
        <v>0</v>
      </c>
    </row>
    <row r="37" spans="1:41" ht="10.85" customHeight="1">
      <c r="B37" s="1283"/>
      <c r="C37" s="633" t="s">
        <v>202</v>
      </c>
      <c r="D37" s="1683">
        <f>'1. T1 INVESTERINGSP. '!D47/1000</f>
        <v>0</v>
      </c>
      <c r="E37" s="1683">
        <f>'1. T1 INVESTERINGSP. '!E47/1000</f>
        <v>0</v>
      </c>
      <c r="F37" s="1683">
        <f>'1. T1 INVESTERINGSP. '!F47/1000</f>
        <v>0</v>
      </c>
      <c r="G37" s="1683">
        <f>'1. T1 INVESTERINGSP. '!G47/1000</f>
        <v>0</v>
      </c>
      <c r="H37" s="1686">
        <f>'1. T1 INVESTERINGSP. '!H47/1000</f>
        <v>0</v>
      </c>
      <c r="I37" s="995"/>
      <c r="J37" s="916"/>
      <c r="K37" s="916"/>
      <c r="L37" s="916"/>
      <c r="M37" s="916"/>
      <c r="N37" s="916"/>
      <c r="O37" s="916"/>
      <c r="Q37" s="1254" t="s">
        <v>0</v>
      </c>
      <c r="R37" s="633" t="s">
        <v>522</v>
      </c>
      <c r="S37" s="1683">
        <f>'3. &amp; 8. T3 BALANS'!F69/1000</f>
        <v>0</v>
      </c>
      <c r="T37" s="1683">
        <f>'3. &amp; 8. T3 BALANS'!G69/1000</f>
        <v>0</v>
      </c>
      <c r="U37" s="1683">
        <f>'3. &amp; 8. T3 BALANS'!H69/1000</f>
        <v>0</v>
      </c>
      <c r="V37" s="1683">
        <f>'3. &amp; 8. T3 BALANS'!I69/1000</f>
        <v>0</v>
      </c>
      <c r="W37" s="1683">
        <f>'3. &amp; 8. T3 BALANS'!J69/1000</f>
        <v>0</v>
      </c>
      <c r="X37" s="1683">
        <f>'3. &amp; 8. T3 BALANS'!K69/1000</f>
        <v>0</v>
      </c>
      <c r="Y37" s="910"/>
      <c r="Z37" s="1292"/>
      <c r="AA37" s="1293"/>
      <c r="AB37" s="1294"/>
      <c r="AC37" s="1294"/>
      <c r="AD37" s="1293"/>
      <c r="AE37" s="1293"/>
      <c r="AF37" s="1293"/>
      <c r="AG37" s="1293"/>
      <c r="AH37" s="1293"/>
      <c r="AI37" s="1293"/>
      <c r="AJ37" s="1293"/>
      <c r="AK37" s="1293"/>
      <c r="AL37" s="1293"/>
      <c r="AM37" s="1293"/>
      <c r="AN37" s="1293"/>
      <c r="AO37" s="1293"/>
    </row>
    <row r="38" spans="1:41" ht="10.85" customHeight="1">
      <c r="B38" s="1283" t="s">
        <v>40</v>
      </c>
      <c r="C38" s="632" t="s">
        <v>203</v>
      </c>
      <c r="D38" s="1683">
        <f>D49-D48-D47-D44-D43-D42-D40-D39-D36-D37</f>
        <v>0</v>
      </c>
      <c r="E38" s="1683">
        <f>E49-E48-E47-E44-E43-E42-E40-E39-E36-E37</f>
        <v>0</v>
      </c>
      <c r="F38" s="1683">
        <f>F49-F48-F47-F44-F43-F42-F40-F39-F36-F37</f>
        <v>0</v>
      </c>
      <c r="G38" s="1683">
        <f>G49-G48-G47-G44-G43-G42-G40-G39-G36-G37</f>
        <v>0</v>
      </c>
      <c r="H38" s="1686">
        <f>H49-H48-H47-H44-H43-H42-H40-H39-H36-H37</f>
        <v>0</v>
      </c>
      <c r="I38" s="995"/>
      <c r="J38" s="916"/>
      <c r="K38" s="916"/>
      <c r="L38" s="916"/>
      <c r="M38" s="916"/>
      <c r="N38" s="916"/>
      <c r="O38" s="916"/>
      <c r="Q38" s="1254"/>
      <c r="R38" s="633" t="str">
        <f>'3. &amp; 8. T3 BALANS'!C70</f>
        <v xml:space="preserve"> - kapitallånets ackord</v>
      </c>
      <c r="S38" s="1683"/>
      <c r="T38" s="1683"/>
      <c r="U38" s="1683">
        <f>'3. &amp; 8. T3 BALANS'!H70/1000</f>
        <v>0</v>
      </c>
      <c r="V38" s="1683">
        <f>'3. &amp; 8. T3 BALANS'!I70/1000</f>
        <v>0</v>
      </c>
      <c r="W38" s="1683">
        <f>'3. &amp; 8. T3 BALANS'!J70/1000</f>
        <v>0</v>
      </c>
      <c r="X38" s="1683">
        <f>'3. &amp; 8. T3 BALANS'!K70/1000</f>
        <v>0</v>
      </c>
      <c r="Y38" s="910"/>
      <c r="Z38" s="1565" t="s">
        <v>531</v>
      </c>
      <c r="AA38" s="1592">
        <f>'4. T7 LÅN '!C20/1000</f>
        <v>0</v>
      </c>
      <c r="AB38" s="1600">
        <f>'4. T7 LÅN '!D20</f>
        <v>0</v>
      </c>
      <c r="AC38" s="1596">
        <f>'4. T7 LÅN '!E20*100</f>
        <v>0</v>
      </c>
      <c r="AD38" s="2348">
        <f>'4. T7 LÅN '!F20/1000</f>
        <v>0</v>
      </c>
      <c r="AE38" s="2349"/>
      <c r="AF38" s="1295">
        <f>'4. T7 LÅN '!H20/1000</f>
        <v>0</v>
      </c>
      <c r="AG38" s="2350">
        <f>'4. T7 LÅN '!I20/1000</f>
        <v>0</v>
      </c>
      <c r="AH38" s="2351"/>
      <c r="AI38" s="1574">
        <f>'4. T7 LÅN '!K20/1000</f>
        <v>0</v>
      </c>
      <c r="AJ38" s="2352">
        <f>'4. T7 LÅN '!L20/1000</f>
        <v>0</v>
      </c>
      <c r="AK38" s="2351"/>
      <c r="AL38" s="1296">
        <f>'4. T7 LÅN '!N20/1000</f>
        <v>0</v>
      </c>
      <c r="AM38" s="2350">
        <f>'4. T7 LÅN '!O20/1000</f>
        <v>0</v>
      </c>
      <c r="AN38" s="2351"/>
      <c r="AO38" s="1580">
        <f>'4. T7 LÅN '!Q20/1000</f>
        <v>0</v>
      </c>
    </row>
    <row r="39" spans="1:41" ht="10.85" customHeight="1">
      <c r="B39" s="1283" t="s">
        <v>124</v>
      </c>
      <c r="C39" s="632" t="s">
        <v>204</v>
      </c>
      <c r="D39" s="1683">
        <f>'1. T1 INVESTERINGSP. '!D49/1000</f>
        <v>0</v>
      </c>
      <c r="E39" s="1683">
        <f>'1. T1 INVESTERINGSP. '!E49/1000</f>
        <v>0</v>
      </c>
      <c r="F39" s="1683">
        <f>'1. T1 INVESTERINGSP. '!F49/1000</f>
        <v>0</v>
      </c>
      <c r="G39" s="1683">
        <f>'1. T1 INVESTERINGSP. '!G49/1000</f>
        <v>0</v>
      </c>
      <c r="H39" s="1686">
        <f>'1. T1 INVESTERINGSP. '!H49/1000</f>
        <v>0</v>
      </c>
      <c r="I39" s="995"/>
      <c r="J39" s="916"/>
      <c r="K39" s="916"/>
      <c r="L39" s="916"/>
      <c r="M39" s="916"/>
      <c r="N39" s="916"/>
      <c r="O39" s="916"/>
      <c r="Q39" s="1254" t="s">
        <v>0</v>
      </c>
      <c r="R39" s="632" t="s">
        <v>291</v>
      </c>
      <c r="S39" s="1683">
        <f>'3. &amp; 8. T3 BALANS'!F71/1000</f>
        <v>0</v>
      </c>
      <c r="T39" s="1683">
        <f>'3. &amp; 8. T3 BALANS'!G71/1000</f>
        <v>0</v>
      </c>
      <c r="U39" s="1683">
        <f>'3. &amp; 8. T3 BALANS'!H71/1000</f>
        <v>0</v>
      </c>
      <c r="V39" s="1683">
        <f>'3. &amp; 8. T3 BALANS'!I71/1000</f>
        <v>0</v>
      </c>
      <c r="W39" s="1683">
        <f>'3. &amp; 8. T3 BALANS'!J71/1000</f>
        <v>0</v>
      </c>
      <c r="X39" s="1683">
        <f>'3. &amp; 8. T3 BALANS'!K71/1000</f>
        <v>0</v>
      </c>
      <c r="Y39" s="910"/>
      <c r="Z39" s="1297" t="s">
        <v>0</v>
      </c>
      <c r="AA39" s="1298"/>
      <c r="AB39" s="875"/>
      <c r="AC39" s="875"/>
      <c r="AD39" s="1297" t="s">
        <v>0</v>
      </c>
      <c r="AE39" s="1299"/>
      <c r="AF39" s="1299"/>
      <c r="AG39" s="1299"/>
      <c r="AH39" s="1297" t="s">
        <v>0</v>
      </c>
      <c r="AI39" s="1298"/>
      <c r="AJ39" s="1299"/>
      <c r="AK39" s="1299"/>
      <c r="AL39" s="1299"/>
      <c r="AM39" s="1300" t="s">
        <v>0</v>
      </c>
      <c r="AN39" s="1299"/>
      <c r="AO39" s="1299"/>
    </row>
    <row r="40" spans="1:41" ht="10.85" customHeight="1">
      <c r="B40" s="1283" t="s">
        <v>41</v>
      </c>
      <c r="C40" s="633" t="s">
        <v>205</v>
      </c>
      <c r="D40" s="1683">
        <f>'1. T1 INVESTERINGSP. '!D50/1000</f>
        <v>0</v>
      </c>
      <c r="E40" s="1683">
        <f>'1. T1 INVESTERINGSP. '!E50/1000</f>
        <v>0</v>
      </c>
      <c r="F40" s="1683">
        <f>'1. T1 INVESTERINGSP. '!F50/1000</f>
        <v>0</v>
      </c>
      <c r="G40" s="1683">
        <f>'1. T1 INVESTERINGSP. '!G50/1000</f>
        <v>0</v>
      </c>
      <c r="H40" s="1686">
        <f>'1. T1 INVESTERINGSP. '!H50/1000</f>
        <v>0</v>
      </c>
      <c r="I40" s="1897"/>
      <c r="J40" s="1898"/>
      <c r="K40" s="2362" t="s">
        <v>386</v>
      </c>
      <c r="L40" s="2364" t="s">
        <v>611</v>
      </c>
      <c r="M40" s="1479"/>
      <c r="N40" s="1479"/>
      <c r="O40" s="1479"/>
      <c r="Q40" s="1254">
        <v>0</v>
      </c>
      <c r="R40" s="632" t="s">
        <v>294</v>
      </c>
      <c r="S40" s="1683">
        <f>'3. &amp; 8. T3 BALANS'!F74/1000</f>
        <v>0</v>
      </c>
      <c r="T40" s="1683">
        <f>'3. &amp; 8. T3 BALANS'!G74/1000</f>
        <v>0</v>
      </c>
      <c r="U40" s="1683">
        <f>'3. &amp; 8. T3 BALANS'!H74/1000</f>
        <v>0</v>
      </c>
      <c r="V40" s="1683">
        <f>'3. &amp; 8. T3 BALANS'!J74/1000</f>
        <v>0</v>
      </c>
      <c r="W40" s="1683">
        <f>'3. &amp; 8. T3 BALANS'!J74/1000</f>
        <v>0</v>
      </c>
      <c r="X40" s="1683">
        <f>'3. &amp; 8. T3 BALANS'!K74/1000</f>
        <v>0</v>
      </c>
      <c r="Y40" s="910"/>
      <c r="Z40" s="2406" t="s">
        <v>769</v>
      </c>
      <c r="AA40" s="2408" t="s">
        <v>391</v>
      </c>
      <c r="AB40" s="2411" t="s">
        <v>392</v>
      </c>
      <c r="AC40" s="2399" t="s">
        <v>386</v>
      </c>
      <c r="AD40" s="2487" t="str">
        <f>AD26</f>
        <v>Prognos 1</v>
      </c>
      <c r="AE40" s="2329"/>
      <c r="AF40" s="2329"/>
      <c r="AG40" s="2487" t="str">
        <f>AG26</f>
        <v>Prognos 2</v>
      </c>
      <c r="AH40" s="2329"/>
      <c r="AI40" s="2493"/>
      <c r="AJ40" s="2329" t="str">
        <f>AJ26</f>
        <v>Prognos 3</v>
      </c>
      <c r="AK40" s="2329"/>
      <c r="AL40" s="2329"/>
      <c r="AM40" s="2330" t="s">
        <v>182</v>
      </c>
      <c r="AN40" s="2331"/>
      <c r="AO40" s="2332"/>
    </row>
    <row r="41" spans="1:41" ht="10.85" customHeight="1">
      <c r="B41" s="2372" t="s">
        <v>206</v>
      </c>
      <c r="C41" s="2373"/>
      <c r="D41" s="1689"/>
      <c r="E41" s="1689"/>
      <c r="F41" s="1689"/>
      <c r="G41" s="1689"/>
      <c r="H41" s="1690"/>
      <c r="I41" s="1899" t="s">
        <v>773</v>
      </c>
      <c r="J41" s="1898"/>
      <c r="K41" s="2363"/>
      <c r="L41" s="2365"/>
      <c r="M41" s="2424" t="str">
        <f>'1. T1 INVESTERINGSP. '!N51</f>
        <v xml:space="preserve"> Säkerhet</v>
      </c>
      <c r="N41" s="2424"/>
      <c r="O41" s="2424"/>
      <c r="Q41" s="1279" t="s">
        <v>115</v>
      </c>
      <c r="R41" s="1277" t="s">
        <v>295</v>
      </c>
      <c r="S41" s="1707">
        <f>'3. &amp; 8. T3 BALANS'!F75/1000</f>
        <v>0</v>
      </c>
      <c r="T41" s="1707">
        <f>'3. &amp; 8. T3 BALANS'!G75/1000</f>
        <v>12.414</v>
      </c>
      <c r="U41" s="1707">
        <f>'3. &amp; 8. T3 BALANS'!H75/1000</f>
        <v>40.889677042978086</v>
      </c>
      <c r="V41" s="1707">
        <f>'3. &amp; 8. T3 BALANS'!I75/1000</f>
        <v>40.345470300029994</v>
      </c>
      <c r="W41" s="1707">
        <f>'3. &amp; 8. T3 BALANS'!J75/1000</f>
        <v>40.903906577183577</v>
      </c>
      <c r="X41" s="1707">
        <f>'3. &amp; 8. T3 BALANS'!K75/1000</f>
        <v>41.386183701711396</v>
      </c>
      <c r="Y41" s="910"/>
      <c r="Z41" s="2407"/>
      <c r="AA41" s="2409"/>
      <c r="AB41" s="2412"/>
      <c r="AC41" s="2400"/>
      <c r="AD41" s="2333">
        <f>AD27</f>
        <v>2023</v>
      </c>
      <c r="AE41" s="2334"/>
      <c r="AF41" s="2335"/>
      <c r="AG41" s="2333">
        <f>AG27</f>
        <v>2024</v>
      </c>
      <c r="AH41" s="2334"/>
      <c r="AI41" s="2335"/>
      <c r="AJ41" s="2333">
        <f>AJ27</f>
        <v>2025</v>
      </c>
      <c r="AK41" s="2334"/>
      <c r="AL41" s="2335"/>
      <c r="AM41" s="2333">
        <f>AM27</f>
        <v>2026</v>
      </c>
      <c r="AN41" s="2334"/>
      <c r="AO41" s="2335"/>
    </row>
    <row r="42" spans="1:41" ht="10.85" customHeight="1">
      <c r="B42" s="1687" t="s">
        <v>42</v>
      </c>
      <c r="C42" s="1688" t="s">
        <v>56</v>
      </c>
      <c r="D42" s="1562">
        <f>'1. T1 INVESTERINGSP. '!D53/1000</f>
        <v>80</v>
      </c>
      <c r="E42" s="1562">
        <f>'1. T1 INVESTERINGSP. '!E53/1000</f>
        <v>0</v>
      </c>
      <c r="F42" s="1562">
        <f>'1. T1 INVESTERINGSP. '!F53/1000</f>
        <v>0</v>
      </c>
      <c r="G42" s="1562">
        <f>'1. T1 INVESTERINGSP. '!G53/1000</f>
        <v>0</v>
      </c>
      <c r="H42" s="1268">
        <f>'1. T1 INVESTERINGSP. '!H53/1000</f>
        <v>80</v>
      </c>
      <c r="I42" s="2456" t="str">
        <f>'1. T1 INVESTERINGSP. '!C52</f>
        <v>Kreditgivare</v>
      </c>
      <c r="J42" s="2457"/>
      <c r="K42" s="2458">
        <f>'1. T1 INVESTERINGSP. '!L52</f>
        <v>0</v>
      </c>
      <c r="L42" s="2458">
        <f>'1. T1 INVESTERINGSP. '!M52</f>
        <v>0</v>
      </c>
      <c r="M42" s="2531">
        <f>'1. T1 INVESTERINGSP. '!N52</f>
        <v>0</v>
      </c>
      <c r="N42" s="2532">
        <f>'1. T1 INVESTERINGSP. '!H52</f>
        <v>0</v>
      </c>
      <c r="O42" s="2532">
        <f>'1. T1 INVESTERINGSP. '!I52</f>
        <v>0</v>
      </c>
      <c r="Q42" s="1254" t="s">
        <v>0</v>
      </c>
      <c r="R42" s="632" t="s">
        <v>289</v>
      </c>
      <c r="S42" s="1683">
        <f>'3. &amp; 8. T3 BALANS'!F76/1000</f>
        <v>0</v>
      </c>
      <c r="T42" s="1683">
        <f>'3. &amp; 8. T3 BALANS'!G76/1000</f>
        <v>8.9359999999999999</v>
      </c>
      <c r="U42" s="1683">
        <f>'3. &amp; 8. T3 BALANS'!H76/1000</f>
        <v>25.414999999999999</v>
      </c>
      <c r="V42" s="1683">
        <f>'3. &amp; 8. T3 BALANS'!I76/1000</f>
        <v>24.67</v>
      </c>
      <c r="W42" s="1683">
        <f>'3. &amp; 8. T3 BALANS'!J76/1000</f>
        <v>24.67</v>
      </c>
      <c r="X42" s="1683">
        <f>'3. &amp; 8. T3 BALANS'!K76/1000</f>
        <v>24.67</v>
      </c>
      <c r="Y42" s="910"/>
      <c r="Z42" s="1854" t="s">
        <v>207</v>
      </c>
      <c r="AA42" s="2410"/>
      <c r="AB42" s="2413"/>
      <c r="AC42" s="2486"/>
      <c r="AD42" s="1855" t="s">
        <v>393</v>
      </c>
      <c r="AE42" s="1856" t="s">
        <v>394</v>
      </c>
      <c r="AF42" s="1857" t="s">
        <v>388</v>
      </c>
      <c r="AG42" s="1855" t="s">
        <v>393</v>
      </c>
      <c r="AH42" s="1856" t="s">
        <v>394</v>
      </c>
      <c r="AI42" s="1854" t="s">
        <v>388</v>
      </c>
      <c r="AJ42" s="1857" t="s">
        <v>393</v>
      </c>
      <c r="AK42" s="1856" t="s">
        <v>394</v>
      </c>
      <c r="AL42" s="1857" t="s">
        <v>388</v>
      </c>
      <c r="AM42" s="1855" t="s">
        <v>393</v>
      </c>
      <c r="AN42" s="1856" t="s">
        <v>394</v>
      </c>
      <c r="AO42" s="1854" t="s">
        <v>388</v>
      </c>
    </row>
    <row r="43" spans="1:41" ht="10.85" customHeight="1">
      <c r="B43" s="1283" t="s">
        <v>43</v>
      </c>
      <c r="C43" s="633" t="s">
        <v>208</v>
      </c>
      <c r="D43" s="1683">
        <f>'1. T1 INVESTERINGSP. '!D54/1000</f>
        <v>150</v>
      </c>
      <c r="E43" s="1683">
        <f>'1. T1 INVESTERINGSP. '!E54/1000</f>
        <v>0</v>
      </c>
      <c r="F43" s="1683">
        <f>'1. T1 INVESTERINGSP. '!F54/1000</f>
        <v>0</v>
      </c>
      <c r="G43" s="1683">
        <f>'1. T1 INVESTERINGSP. '!G54/1000</f>
        <v>0</v>
      </c>
      <c r="H43" s="1686">
        <f>'1. T1 INVESTERINGSP. '!H54/1000</f>
        <v>150</v>
      </c>
      <c r="I43" s="2456"/>
      <c r="J43" s="2457"/>
      <c r="K43" s="2458"/>
      <c r="L43" s="2458"/>
      <c r="M43" s="2533"/>
      <c r="N43" s="2534"/>
      <c r="O43" s="2534"/>
      <c r="Q43" s="1254">
        <v>0</v>
      </c>
      <c r="R43" s="632" t="s">
        <v>523</v>
      </c>
      <c r="S43" s="1683">
        <f>'3. &amp; 8. T3 BALANS'!F79/1000</f>
        <v>0</v>
      </c>
      <c r="T43" s="1683">
        <f>'3. &amp; 8. T3 BALANS'!G79/1000</f>
        <v>0</v>
      </c>
      <c r="U43" s="1683">
        <f>'3. &amp; 8. T3 BALANS'!H79/1000</f>
        <v>0</v>
      </c>
      <c r="V43" s="1683">
        <f>'3. &amp; 8. T3 BALANS'!I79/1000</f>
        <v>0</v>
      </c>
      <c r="W43" s="1683">
        <f>'3. &amp; 8. T3 BALANS'!J79/1000</f>
        <v>0</v>
      </c>
      <c r="X43" s="1683">
        <f>'3. &amp; 8. T3 BALANS'!K79/1000</f>
        <v>0</v>
      </c>
      <c r="Y43" s="910"/>
      <c r="Z43" s="2431" t="s">
        <v>553</v>
      </c>
      <c r="AA43" s="2431"/>
      <c r="AB43" s="1301"/>
      <c r="AC43" s="1301"/>
      <c r="AD43" s="1302"/>
      <c r="AE43" s="1607"/>
      <c r="AF43" s="1302"/>
      <c r="AG43" s="1581"/>
      <c r="AH43" s="1607"/>
      <c r="AI43" s="1582"/>
      <c r="AJ43" s="1302"/>
      <c r="AK43" s="1607"/>
      <c r="AL43" s="1302"/>
      <c r="AM43" s="1581"/>
      <c r="AN43" s="1607"/>
      <c r="AO43" s="1582"/>
    </row>
    <row r="44" spans="1:41" ht="10.85" customHeight="1">
      <c r="B44" s="1283" t="s">
        <v>44</v>
      </c>
      <c r="C44" s="633" t="s">
        <v>209</v>
      </c>
      <c r="D44" s="1683">
        <f>'1. T1 INVESTERINGSP. '!D55/1000</f>
        <v>0</v>
      </c>
      <c r="E44" s="1683">
        <f>'1. T1 INVESTERINGSP. '!E55/1000</f>
        <v>0</v>
      </c>
      <c r="F44" s="1683">
        <f>'1. T1 INVESTERINGSP. '!F55/1000</f>
        <v>0</v>
      </c>
      <c r="G44" s="1683">
        <f>'1. T1 INVESTERINGSP. '!G55/1000</f>
        <v>0</v>
      </c>
      <c r="H44" s="1686">
        <f>'1. T1 INVESTERINGSP. '!H55/1000</f>
        <v>0</v>
      </c>
      <c r="I44" s="2456" t="str">
        <f>'1. T1 INVESTERINGSP. '!C54</f>
        <v>Bank</v>
      </c>
      <c r="J44" s="2457"/>
      <c r="K44" s="2458">
        <f>'1. T1 INVESTERINGSP. '!L53</f>
        <v>0</v>
      </c>
      <c r="L44" s="2458">
        <f>'1. T1 INVESTERINGSP. '!M53</f>
        <v>0</v>
      </c>
      <c r="M44" s="2459">
        <f>'1. T1 INVESTERINGSP. '!N54</f>
        <v>0</v>
      </c>
      <c r="N44" s="2459">
        <f>'1. T1 INVESTERINGSP. '!H53</f>
        <v>80000</v>
      </c>
      <c r="O44" s="2460">
        <f>'1. T1 INVESTERINGSP. '!I53</f>
        <v>0</v>
      </c>
      <c r="Q44" s="1254">
        <v>0</v>
      </c>
      <c r="R44" s="632" t="s">
        <v>291</v>
      </c>
      <c r="S44" s="1683">
        <f>'3. &amp; 8. T3 BALANS'!F80/1000</f>
        <v>0</v>
      </c>
      <c r="T44" s="1683">
        <f>'3. &amp; 8. T3 BALANS'!G80/1000</f>
        <v>1.9590000000000001</v>
      </c>
      <c r="U44" s="1683">
        <f>'3. &amp; 8. T3 BALANS'!H80/1000</f>
        <v>1.8964335429780856</v>
      </c>
      <c r="V44" s="1683">
        <f>'3. &amp; 8. T3 BALANS'!I80/1000</f>
        <v>1.689879495029992</v>
      </c>
      <c r="W44" s="1683">
        <f>'3. &amp; 8. T3 BALANS'!J80/1000</f>
        <v>1.8287480480335749</v>
      </c>
      <c r="X44" s="1683">
        <f>'3. &amp; 8. T3 BALANS'!K80/1000</f>
        <v>1.8788704166868977</v>
      </c>
      <c r="Y44" s="910"/>
      <c r="Z44" s="1344" t="str">
        <f>'4. T7 LÅN '!B26</f>
        <v xml:space="preserve"> Finnvera/ Dagishus</v>
      </c>
      <c r="AA44" s="1584">
        <f>'4. T7 LÅN '!C26/1000</f>
        <v>80</v>
      </c>
      <c r="AB44" s="1631">
        <f>'4. T7 LÅN '!D26</f>
        <v>7</v>
      </c>
      <c r="AC44" s="1632">
        <f>'4. T7 LÅN '!E26*100</f>
        <v>5</v>
      </c>
      <c r="AD44" s="992">
        <f>'4. T7 LÅN '!F26/1000</f>
        <v>80</v>
      </c>
      <c r="AE44" s="1303">
        <f>'4. T7 LÅN '!G26/1000</f>
        <v>8</v>
      </c>
      <c r="AF44" s="1304">
        <f>'4. T7 LÅN '!H26/1000</f>
        <v>3.9</v>
      </c>
      <c r="AG44" s="1584">
        <f>'4. T7 LÅN '!I26/1000</f>
        <v>0</v>
      </c>
      <c r="AH44" s="1303">
        <f>'4. T7 LÅN '!J26/1000</f>
        <v>8</v>
      </c>
      <c r="AI44" s="1585">
        <f>'4. T7 LÅN '!K26/1000</f>
        <v>3.5</v>
      </c>
      <c r="AJ44" s="992">
        <f>'4. T7 LÅN '!L26/1000</f>
        <v>0</v>
      </c>
      <c r="AK44" s="1303">
        <f>'4. T7 LÅN '!M26/1000</f>
        <v>8</v>
      </c>
      <c r="AL44" s="1304">
        <f>'4. T7 LÅN '!N26/1000</f>
        <v>3.1</v>
      </c>
      <c r="AM44" s="1584">
        <f>'4. T7 LÅN '!O26/1000</f>
        <v>0</v>
      </c>
      <c r="AN44" s="1303">
        <f>'4. T7 LÅN '!P26/1000</f>
        <v>8</v>
      </c>
      <c r="AO44" s="1585">
        <f>'4. T7 LÅN '!Q26/1000</f>
        <v>2.7</v>
      </c>
    </row>
    <row r="45" spans="1:41" ht="10.85" customHeight="1">
      <c r="B45" s="1283" t="s">
        <v>45</v>
      </c>
      <c r="C45" s="633" t="s">
        <v>560</v>
      </c>
      <c r="D45" s="1683">
        <f>'1. T1 INVESTERINGSP. '!D56/1000</f>
        <v>0</v>
      </c>
      <c r="E45" s="1683">
        <f>'1. T1 INVESTERINGSP. '!E56/1000</f>
        <v>0</v>
      </c>
      <c r="F45" s="1683">
        <f>'1. T1 INVESTERINGSP. '!F56/1000</f>
        <v>0</v>
      </c>
      <c r="G45" s="1683">
        <f>'1. T1 INVESTERINGSP. '!G56/1000</f>
        <v>0</v>
      </c>
      <c r="H45" s="1686">
        <f>'1. T1 INVESTERINGSP. '!H56/1000</f>
        <v>0</v>
      </c>
      <c r="I45" s="2456"/>
      <c r="J45" s="2457"/>
      <c r="K45" s="2458"/>
      <c r="L45" s="2458"/>
      <c r="M45" s="2459"/>
      <c r="N45" s="2459"/>
      <c r="O45" s="2460"/>
      <c r="Q45" s="1254" t="s">
        <v>0</v>
      </c>
      <c r="R45" s="632" t="s">
        <v>294</v>
      </c>
      <c r="S45" s="1683">
        <f>'3. &amp; 8. T3 BALANS'!F84/1000</f>
        <v>0</v>
      </c>
      <c r="T45" s="1683">
        <f>'3. &amp; 8. T3 BALANS'!G84/1000</f>
        <v>1.514</v>
      </c>
      <c r="U45" s="1683">
        <f>'3. &amp; 8. T3 BALANS'!H84/1000</f>
        <v>2.2022434999999998</v>
      </c>
      <c r="V45" s="1683">
        <f>'3. &amp; 8. T3 BALANS'!I84/1000</f>
        <v>2.268310805</v>
      </c>
      <c r="W45" s="1683">
        <f>'3. &amp; 8. T3 BALANS'!J84/1000</f>
        <v>2.3363601291500005</v>
      </c>
      <c r="X45" s="1683">
        <f>'3. &amp; 8. T3 BALANS'!K84/1000</f>
        <v>2.4064509330244999</v>
      </c>
      <c r="Y45" s="910"/>
      <c r="Z45" s="1642" t="str">
        <f>'4. T7 LÅN '!B27</f>
        <v xml:space="preserve"> Banklån/ Dagishus</v>
      </c>
      <c r="AA45" s="1643">
        <f>'4. T7 LÅN '!C27/1000</f>
        <v>150</v>
      </c>
      <c r="AB45" s="1644">
        <f>'4. T7 LÅN '!D27</f>
        <v>10</v>
      </c>
      <c r="AC45" s="1645">
        <f>'4. T7 LÅN '!E27*100</f>
        <v>3.2</v>
      </c>
      <c r="AD45" s="1646">
        <f>'4. T7 LÅN '!F27/1000</f>
        <v>150</v>
      </c>
      <c r="AE45" s="1647">
        <f>'4. T7 LÅN '!G27/1000</f>
        <v>0</v>
      </c>
      <c r="AF45" s="1648">
        <f>'4. T7 LÅN '!H27/1000</f>
        <v>4.8</v>
      </c>
      <c r="AG45" s="1643">
        <f>'4. T7 LÅN '!I27/1000</f>
        <v>0</v>
      </c>
      <c r="AH45" s="1647">
        <f>'4. T7 LÅN '!J27/1000</f>
        <v>16.670000000000002</v>
      </c>
      <c r="AI45" s="1649">
        <f>'4. T7 LÅN '!K27/1000</f>
        <v>4.6666400000000001</v>
      </c>
      <c r="AJ45" s="1646">
        <f>'4. T7 LÅN '!L27/1000</f>
        <v>0</v>
      </c>
      <c r="AK45" s="1647">
        <f>'4. T7 LÅN '!M27/1000</f>
        <v>16.670000000000002</v>
      </c>
      <c r="AL45" s="1648">
        <f>'4. T7 LÅN '!N27/1000</f>
        <v>4.1331999999999995</v>
      </c>
      <c r="AM45" s="1643">
        <f>'4. T7 LÅN '!O27/1000</f>
        <v>0</v>
      </c>
      <c r="AN45" s="1647">
        <f>'4. T7 LÅN '!P27/1000</f>
        <v>16.670000000000002</v>
      </c>
      <c r="AO45" s="1649">
        <f>'4. T7 LÅN '!Q27/1000</f>
        <v>3.5997600000000003</v>
      </c>
    </row>
    <row r="46" spans="1:41" ht="10.85" customHeight="1">
      <c r="B46" s="1283" t="s">
        <v>46</v>
      </c>
      <c r="C46" s="633" t="s">
        <v>561</v>
      </c>
      <c r="D46" s="1683">
        <f>'1. T1 INVESTERINGSP. '!D57/1000</f>
        <v>0</v>
      </c>
      <c r="E46" s="1683">
        <f>'1. T1 INVESTERINGSP. '!E57/1000</f>
        <v>0</v>
      </c>
      <c r="F46" s="1683">
        <f>'1. T1 INVESTERINGSP. '!F57/1000</f>
        <v>0</v>
      </c>
      <c r="G46" s="1683">
        <f>'1. T1 INVESTERINGSP. '!G57/1000</f>
        <v>0</v>
      </c>
      <c r="H46" s="1686">
        <f>'1. T1 INVESTERINGSP. '!H57/1000</f>
        <v>0</v>
      </c>
      <c r="I46" s="2456" t="s">
        <v>558</v>
      </c>
      <c r="J46" s="2457"/>
      <c r="K46" s="2458">
        <f>'1. T1 INVESTERINGSP. '!L54</f>
        <v>0</v>
      </c>
      <c r="L46" s="2458">
        <f>'1. T1 INVESTERINGSP. '!M54</f>
        <v>0</v>
      </c>
      <c r="M46" s="2459">
        <f>'1. T1 INVESTERINGSP. '!N56</f>
        <v>0</v>
      </c>
      <c r="N46" s="2459">
        <f>'1. T1 INVESTERINGSP. '!H54</f>
        <v>150000</v>
      </c>
      <c r="O46" s="2460">
        <f>'1. T1 INVESTERINGSP. '!I54</f>
        <v>0</v>
      </c>
      <c r="Q46" s="1254" t="s">
        <v>0</v>
      </c>
      <c r="R46" s="632" t="s">
        <v>298</v>
      </c>
      <c r="S46" s="1683">
        <f>'3. &amp; 8. T3 BALANS'!F91/1000</f>
        <v>0</v>
      </c>
      <c r="T46" s="1683">
        <f>'3. &amp; 8. T3 BALANS'!G91/1000</f>
        <v>5.0000000000000001E-3</v>
      </c>
      <c r="U46" s="1683">
        <f>'3. &amp; 8. T3 BALANS'!H91/1000</f>
        <v>11.375999999999999</v>
      </c>
      <c r="V46" s="1683">
        <f>'3. &amp; 8. T3 BALANS'!I91/1000</f>
        <v>11.717279999999999</v>
      </c>
      <c r="W46" s="1683">
        <f>'3. &amp; 8. T3 BALANS'!J91/1000</f>
        <v>12.0687984</v>
      </c>
      <c r="X46" s="1683">
        <f>'3. &amp; 8. T3 BALANS'!K91/1000</f>
        <v>12.430862351999998</v>
      </c>
      <c r="Y46" s="910"/>
      <c r="Z46" s="1633">
        <f>'4. T7 LÅN '!B28</f>
        <v>0</v>
      </c>
      <c r="AA46" s="1634">
        <f>'4. T7 LÅN '!C28/1000</f>
        <v>0</v>
      </c>
      <c r="AB46" s="1635">
        <f>'4. T7 LÅN '!D28</f>
        <v>0</v>
      </c>
      <c r="AC46" s="1636">
        <f>'4. T7 LÅN '!E28*100</f>
        <v>0</v>
      </c>
      <c r="AD46" s="1637">
        <f>'4. T7 LÅN '!F28/1000</f>
        <v>0</v>
      </c>
      <c r="AE46" s="1638">
        <f>'4. T7 LÅN '!G28/1000</f>
        <v>0</v>
      </c>
      <c r="AF46" s="1639">
        <f>'4. T7 LÅN '!H28/1000</f>
        <v>0</v>
      </c>
      <c r="AG46" s="1640">
        <f>'4. T7 LÅN '!I28/1000</f>
        <v>0</v>
      </c>
      <c r="AH46" s="1638">
        <f>'4. T7 LÅN '!J28/1000</f>
        <v>0</v>
      </c>
      <c r="AI46" s="1641">
        <f>'4. T7 LÅN '!K28/1000</f>
        <v>0</v>
      </c>
      <c r="AJ46" s="1637">
        <f>'4. T7 LÅN '!L28/1000</f>
        <v>0</v>
      </c>
      <c r="AK46" s="1638">
        <f>'4. T7 LÅN '!M28/1000</f>
        <v>0</v>
      </c>
      <c r="AL46" s="1639">
        <f>'4. T7 LÅN '!N28/1000</f>
        <v>0</v>
      </c>
      <c r="AM46" s="1640">
        <f>'4. T7 LÅN '!O28/1000</f>
        <v>0</v>
      </c>
      <c r="AN46" s="1638">
        <f>'4. T7 LÅN '!P28/1000</f>
        <v>0</v>
      </c>
      <c r="AO46" s="1641">
        <f>'4. T7 LÅN '!Q28/1000</f>
        <v>0</v>
      </c>
    </row>
    <row r="47" spans="1:41" ht="10.85" customHeight="1">
      <c r="B47" s="1283" t="s">
        <v>533</v>
      </c>
      <c r="C47" s="632" t="s">
        <v>210</v>
      </c>
      <c r="D47" s="1683">
        <f>'1. T1 INVESTERINGSP. '!D58/1000</f>
        <v>0</v>
      </c>
      <c r="E47" s="1683">
        <f>'1. T1 INVESTERINGSP. '!E58/1000</f>
        <v>0</v>
      </c>
      <c r="F47" s="1683">
        <f>'1. T1 INVESTERINGSP. '!F58/1000</f>
        <v>0</v>
      </c>
      <c r="G47" s="1683">
        <f>'1. T1 INVESTERINGSP. '!G58/1000</f>
        <v>0</v>
      </c>
      <c r="H47" s="1686">
        <f>'1. T1 INVESTERINGSP. '!H58/1000</f>
        <v>0</v>
      </c>
      <c r="I47" s="2456"/>
      <c r="J47" s="2457"/>
      <c r="K47" s="2458"/>
      <c r="L47" s="2458"/>
      <c r="M47" s="2459"/>
      <c r="N47" s="2459"/>
      <c r="O47" s="2460"/>
      <c r="Q47" s="1254">
        <v>0</v>
      </c>
      <c r="R47" s="632" t="s">
        <v>529</v>
      </c>
      <c r="S47" s="1683">
        <f>'3. &amp; 8. T3 BALANS'!F96/1000</f>
        <v>0</v>
      </c>
      <c r="T47" s="1683">
        <f>'3. &amp; 8. T3 BALANS'!G96/1000</f>
        <v>0</v>
      </c>
      <c r="U47" s="1683">
        <f>'3. &amp; 8. T3 BALANS'!H96/1000</f>
        <v>0</v>
      </c>
      <c r="V47" s="1683">
        <f>'3. &amp; 8. T3 BALANS'!I96/1000</f>
        <v>0</v>
      </c>
      <c r="W47" s="1683">
        <f>'3. &amp; 8. T3 BALANS'!J96/1000</f>
        <v>0</v>
      </c>
      <c r="X47" s="1683">
        <f>'3. &amp; 8. T3 BALANS'!K96/1000</f>
        <v>0</v>
      </c>
      <c r="Y47" s="910"/>
      <c r="Z47" s="2432" t="s">
        <v>554</v>
      </c>
      <c r="AA47" s="2433"/>
      <c r="AB47" s="1586"/>
      <c r="AC47" s="1587"/>
      <c r="AD47" s="1308"/>
      <c r="AE47" s="1309"/>
      <c r="AF47" s="1309"/>
      <c r="AG47" s="1308"/>
      <c r="AH47" s="1309"/>
      <c r="AI47" s="1309"/>
      <c r="AJ47" s="1308"/>
      <c r="AK47" s="1309"/>
      <c r="AL47" s="1309"/>
      <c r="AM47" s="1308"/>
      <c r="AN47" s="1309"/>
      <c r="AO47" s="1309"/>
    </row>
    <row r="48" spans="1:41" ht="10.85" customHeight="1">
      <c r="A48" s="663"/>
      <c r="B48" s="1283" t="s">
        <v>597</v>
      </c>
      <c r="C48" s="632" t="s">
        <v>211</v>
      </c>
      <c r="D48" s="1683">
        <f>'1. T1 INVESTERINGSP. '!D59/1000</f>
        <v>0</v>
      </c>
      <c r="E48" s="1683">
        <f>'1. T1 INVESTERINGSP. '!E59/1000</f>
        <v>0</v>
      </c>
      <c r="F48" s="1683">
        <f>'1. T1 INVESTERINGSP. '!F59/1000</f>
        <v>0</v>
      </c>
      <c r="G48" s="1683">
        <f>'1. T1 INVESTERINGSP. '!G59/1000</f>
        <v>0</v>
      </c>
      <c r="H48" s="1686">
        <f>'1. T1 INVESTERINGSP. '!H59/1000</f>
        <v>0</v>
      </c>
      <c r="I48" s="2461" t="s">
        <v>618</v>
      </c>
      <c r="J48" s="2462"/>
      <c r="K48" s="2458">
        <f>'1. T1 INVESTERINGSP. '!L55</f>
        <v>0</v>
      </c>
      <c r="L48" s="2458">
        <f>'1. T1 INVESTERINGSP. '!M55</f>
        <v>0</v>
      </c>
      <c r="M48" s="2459">
        <f>'1. T1 INVESTERINGSP. '!N58</f>
        <v>0</v>
      </c>
      <c r="N48" s="2459">
        <f>'1. T1 INVESTERINGSP. '!H55</f>
        <v>0</v>
      </c>
      <c r="O48" s="2460">
        <f>'1. T1 INVESTERINGSP. '!I55</f>
        <v>0</v>
      </c>
      <c r="Q48" s="1254">
        <v>0</v>
      </c>
      <c r="R48" s="1288" t="s">
        <v>528</v>
      </c>
      <c r="S48" s="859">
        <f>'3. &amp; 8. T3 BALANS'!F98/1000</f>
        <v>0</v>
      </c>
      <c r="T48" s="859">
        <f>'3. &amp; 8. T3 BALANS'!G98/1000</f>
        <v>21.927</v>
      </c>
      <c r="U48" s="859">
        <f>'3. &amp; 8. T3 BALANS'!H98/1000</f>
        <v>230.53202033268596</v>
      </c>
      <c r="V48" s="859">
        <f>'3. &amp; 8. T3 BALANS'!I98/1000</f>
        <v>227.75264475812645</v>
      </c>
      <c r="W48" s="859">
        <f>'3. &amp; 8. T3 BALANS'!J98/1000</f>
        <v>252.98699275409234</v>
      </c>
      <c r="X48" s="859">
        <f>'3. &amp; 8. T3 BALANS'!K98/1000</f>
        <v>278.645693516292</v>
      </c>
      <c r="Y48" s="910"/>
      <c r="Z48" s="1345" t="str">
        <f>'4. T7 LÅN '!B30</f>
        <v xml:space="preserve"> Långivaren/avsedd användning</v>
      </c>
      <c r="AA48" s="1584">
        <f>'4. T7 LÅN '!C30/1000</f>
        <v>0</v>
      </c>
      <c r="AB48" s="1631">
        <f>'4. T7 LÅN '!D30</f>
        <v>0</v>
      </c>
      <c r="AC48" s="1632">
        <f>'4. T7 LÅN '!E30*100</f>
        <v>0</v>
      </c>
      <c r="AD48" s="992">
        <f>'4. T7 LÅN '!F30/1000</f>
        <v>0</v>
      </c>
      <c r="AE48" s="1303">
        <f>'4. T7 LÅN '!G30/1000</f>
        <v>0</v>
      </c>
      <c r="AF48" s="1304">
        <f>'4. T7 LÅN '!H30/1000</f>
        <v>0</v>
      </c>
      <c r="AG48" s="1584">
        <f>'4. T7 LÅN '!I30/1000</f>
        <v>0</v>
      </c>
      <c r="AH48" s="1303">
        <f>'4. T7 LÅN '!J30/1000</f>
        <v>0</v>
      </c>
      <c r="AI48" s="1585">
        <f>'4. T7 LÅN '!K30/1000</f>
        <v>0</v>
      </c>
      <c r="AJ48" s="992">
        <f>'4. T7 LÅN '!L30/1000</f>
        <v>0</v>
      </c>
      <c r="AK48" s="1303">
        <f>'4. T7 LÅN '!M30/1000</f>
        <v>0</v>
      </c>
      <c r="AL48" s="1304">
        <f>'4. T7 LÅN '!N30/1000</f>
        <v>0</v>
      </c>
      <c r="AM48" s="1584">
        <f>'4. T7 LÅN '!O30/1000</f>
        <v>0</v>
      </c>
      <c r="AN48" s="1303">
        <f>'4. T7 LÅN '!P30/1000</f>
        <v>0</v>
      </c>
      <c r="AO48" s="1585">
        <f>'4. T7 LÅN '!Q30/1000</f>
        <v>0</v>
      </c>
    </row>
    <row r="49" spans="2:41" ht="10.85" customHeight="1" thickBot="1">
      <c r="B49" s="1259" t="s">
        <v>598</v>
      </c>
      <c r="C49" s="1284" t="s">
        <v>212</v>
      </c>
      <c r="D49" s="859">
        <f>'1. T1 INVESTERINGSP. '!D60/1000</f>
        <v>230</v>
      </c>
      <c r="E49" s="859">
        <f>'1. T1 INVESTERINGSP. '!E60/1000</f>
        <v>0</v>
      </c>
      <c r="F49" s="859">
        <f>'1. T1 INVESTERINGSP. '!F60/1000</f>
        <v>0</v>
      </c>
      <c r="G49" s="859">
        <f>'1. T1 INVESTERINGSP. '!G60/1000</f>
        <v>0</v>
      </c>
      <c r="H49" s="1691">
        <f>'1. T1 INVESTERINGSP. '!H60/1000</f>
        <v>230</v>
      </c>
      <c r="I49" s="2461"/>
      <c r="J49" s="2462"/>
      <c r="K49" s="2458"/>
      <c r="L49" s="2458"/>
      <c r="M49" s="2459"/>
      <c r="N49" s="2459"/>
      <c r="O49" s="2460"/>
      <c r="Q49" s="1482"/>
      <c r="R49" s="1481"/>
      <c r="S49" s="1481"/>
      <c r="T49" s="1481"/>
      <c r="U49" s="1481"/>
      <c r="V49" s="1481"/>
      <c r="W49" s="1481"/>
      <c r="X49" s="1481"/>
      <c r="Y49" s="910"/>
      <c r="Z49" s="1642">
        <f>'4. T7 LÅN '!B31</f>
        <v>0</v>
      </c>
      <c r="AA49" s="1643">
        <f>'4. T7 LÅN '!C31/1000</f>
        <v>0</v>
      </c>
      <c r="AB49" s="1644">
        <f>'4. T7 LÅN '!D31</f>
        <v>0</v>
      </c>
      <c r="AC49" s="1645">
        <f>'4. T7 LÅN '!E31*100</f>
        <v>0</v>
      </c>
      <c r="AD49" s="1646">
        <f>'4. T7 LÅN '!F31/1000</f>
        <v>0</v>
      </c>
      <c r="AE49" s="1647">
        <f>'4. T7 LÅN '!G31/1000</f>
        <v>0</v>
      </c>
      <c r="AF49" s="1648">
        <f>'4. T7 LÅN '!H31/1000</f>
        <v>0</v>
      </c>
      <c r="AG49" s="1643">
        <f>'4. T7 LÅN '!I31/1000</f>
        <v>0</v>
      </c>
      <c r="AH49" s="1647">
        <f>'4. T7 LÅN '!J31/1000</f>
        <v>0</v>
      </c>
      <c r="AI49" s="1649">
        <f>'4. T7 LÅN '!K31/1000</f>
        <v>0</v>
      </c>
      <c r="AJ49" s="1646">
        <f>'4. T7 LÅN '!L31/1000</f>
        <v>0</v>
      </c>
      <c r="AK49" s="1647">
        <f>'4. T7 LÅN '!M31/1000</f>
        <v>0</v>
      </c>
      <c r="AL49" s="1648">
        <f>'4. T7 LÅN '!N31/1000</f>
        <v>0</v>
      </c>
      <c r="AM49" s="1643">
        <f>'4. T7 LÅN '!O31/1000</f>
        <v>0</v>
      </c>
      <c r="AN49" s="1647">
        <f>'4. T7 LÅN '!P31/1000</f>
        <v>0</v>
      </c>
      <c r="AO49" s="1649">
        <f>'4. T7 LÅN '!Q31/1000</f>
        <v>0</v>
      </c>
    </row>
    <row r="50" spans="2:41" ht="10.85" customHeight="1">
      <c r="B50" s="996"/>
      <c r="C50" s="996"/>
      <c r="D50" s="996"/>
      <c r="E50" s="996"/>
      <c r="F50" s="996"/>
      <c r="G50" s="996"/>
      <c r="H50" s="996"/>
      <c r="I50" s="996"/>
      <c r="J50" s="996"/>
      <c r="K50" s="996"/>
      <c r="L50" s="996"/>
      <c r="M50" s="996"/>
      <c r="N50" s="996"/>
      <c r="O50" s="996"/>
      <c r="Q50" s="2525" t="s">
        <v>768</v>
      </c>
      <c r="R50" s="2526"/>
      <c r="S50" s="1842"/>
      <c r="T50" s="1842"/>
      <c r="U50" s="1843" t="str">
        <f t="shared" ref="U50:X51" si="2">U25</f>
        <v>Prognos 1</v>
      </c>
      <c r="V50" s="1843" t="str">
        <f t="shared" si="2"/>
        <v>Prognos 2</v>
      </c>
      <c r="W50" s="1843" t="str">
        <f t="shared" si="2"/>
        <v>Prognos 3</v>
      </c>
      <c r="X50" s="1844" t="str">
        <f t="shared" si="2"/>
        <v>Prognos 4</v>
      </c>
      <c r="Y50" s="910"/>
      <c r="Z50" s="1633">
        <f>'4. T7 LÅN '!B32</f>
        <v>0</v>
      </c>
      <c r="AA50" s="1634">
        <f>'4. T7 LÅN '!C32/1000</f>
        <v>0</v>
      </c>
      <c r="AB50" s="1635">
        <f>'4. T7 LÅN '!D32</f>
        <v>0</v>
      </c>
      <c r="AC50" s="1636">
        <f>'4. T7 LÅN '!E32*100</f>
        <v>0</v>
      </c>
      <c r="AD50" s="1637">
        <f>'4. T7 LÅN '!F32/1000</f>
        <v>0</v>
      </c>
      <c r="AE50" s="1638">
        <f>'4. T7 LÅN '!G32/1000</f>
        <v>0</v>
      </c>
      <c r="AF50" s="1639">
        <f>'4. T7 LÅN '!H32/1000</f>
        <v>0</v>
      </c>
      <c r="AG50" s="1640">
        <f>'4. T7 LÅN '!I32/1000</f>
        <v>0</v>
      </c>
      <c r="AH50" s="1638">
        <f>'4. T7 LÅN '!J32/1000</f>
        <v>0</v>
      </c>
      <c r="AI50" s="1641">
        <f>'4. T7 LÅN '!K32/1000</f>
        <v>0</v>
      </c>
      <c r="AJ50" s="1637">
        <f>'4. T7 LÅN '!L32/1000</f>
        <v>0</v>
      </c>
      <c r="AK50" s="1638">
        <f>'4. T7 LÅN '!M32/1000</f>
        <v>0</v>
      </c>
      <c r="AL50" s="1639">
        <f>'4. T7 LÅN '!N32/1000</f>
        <v>0</v>
      </c>
      <c r="AM50" s="1640">
        <f>'4. T7 LÅN '!O32/1000</f>
        <v>0</v>
      </c>
      <c r="AN50" s="1638">
        <f>'4. T7 LÅN '!P32/1000</f>
        <v>0</v>
      </c>
      <c r="AO50" s="1641">
        <f>'4. T7 LÅN '!Q32/1000</f>
        <v>0</v>
      </c>
    </row>
    <row r="51" spans="2:41" ht="11.25" customHeight="1" thickBot="1">
      <c r="B51" s="2366" t="s">
        <v>512</v>
      </c>
      <c r="C51" s="2367"/>
      <c r="D51" s="2374" t="s">
        <v>241</v>
      </c>
      <c r="E51" s="2375"/>
      <c r="F51" s="2374" t="s">
        <v>241</v>
      </c>
      <c r="G51" s="2375"/>
      <c r="H51" s="2374" t="s">
        <v>179</v>
      </c>
      <c r="I51" s="2375"/>
      <c r="J51" s="2374" t="s">
        <v>180</v>
      </c>
      <c r="K51" s="2375"/>
      <c r="L51" s="2374" t="s">
        <v>181</v>
      </c>
      <c r="M51" s="2375"/>
      <c r="N51" s="2374" t="s">
        <v>182</v>
      </c>
      <c r="O51" s="2375"/>
      <c r="P51" s="1126"/>
      <c r="Q51" s="2527"/>
      <c r="R51" s="2528"/>
      <c r="S51" s="1845"/>
      <c r="T51" s="1845"/>
      <c r="U51" s="1840">
        <f t="shared" si="2"/>
        <v>2023</v>
      </c>
      <c r="V51" s="1840">
        <f t="shared" si="2"/>
        <v>2024</v>
      </c>
      <c r="W51" s="1840">
        <f t="shared" si="2"/>
        <v>2025</v>
      </c>
      <c r="X51" s="1846">
        <f t="shared" si="2"/>
        <v>2026</v>
      </c>
      <c r="Y51" s="910"/>
      <c r="Z51" s="2432"/>
      <c r="AA51" s="2433"/>
      <c r="AB51" s="1586"/>
      <c r="AC51" s="1587"/>
      <c r="AD51" s="1308"/>
      <c r="AE51" s="1309"/>
      <c r="AF51" s="1309"/>
      <c r="AG51" s="1308"/>
      <c r="AH51" s="1309"/>
      <c r="AI51" s="1309"/>
      <c r="AJ51" s="1308"/>
      <c r="AK51" s="1309"/>
      <c r="AL51" s="1309"/>
      <c r="AM51" s="1308"/>
      <c r="AN51" s="1309"/>
      <c r="AO51" s="1309"/>
    </row>
    <row r="52" spans="2:41" ht="11.25" customHeight="1">
      <c r="B52" s="2368"/>
      <c r="C52" s="2368"/>
      <c r="D52" s="2376">
        <f>'2. &amp; 7. T2  RESULTATB.'!E8</f>
        <v>2021</v>
      </c>
      <c r="E52" s="2377"/>
      <c r="F52" s="2376">
        <f>'2. &amp; 7. T2  RESULTATB.'!G8</f>
        <v>2022</v>
      </c>
      <c r="G52" s="2377"/>
      <c r="H52" s="2376">
        <f>'2. &amp; 7. T2  RESULTATB.'!I8</f>
        <v>2023</v>
      </c>
      <c r="I52" s="2377"/>
      <c r="J52" s="2376">
        <f>'2. &amp; 7. T2  RESULTATB.'!K8</f>
        <v>2024</v>
      </c>
      <c r="K52" s="2377"/>
      <c r="L52" s="2376">
        <f>'2. &amp; 7. T2  RESULTATB.'!M8</f>
        <v>2025</v>
      </c>
      <c r="M52" s="2377"/>
      <c r="N52" s="2376">
        <f>'2. &amp; 7. T2  RESULTATB.'!O8</f>
        <v>2026</v>
      </c>
      <c r="O52" s="2377"/>
      <c r="P52" s="1126"/>
      <c r="Q52" s="1488" t="s">
        <v>309</v>
      </c>
      <c r="R52" s="1019"/>
      <c r="S52" s="1242"/>
      <c r="T52" s="1243"/>
      <c r="U52" s="1020"/>
      <c r="V52" s="1020"/>
      <c r="W52" s="1020"/>
      <c r="X52" s="1020"/>
      <c r="Y52" s="910"/>
      <c r="Z52" s="1346" t="str">
        <f>'4. T7 LÅN '!B34</f>
        <v xml:space="preserve"> Långivaren/avsedd användning</v>
      </c>
      <c r="AA52" s="1584">
        <f>'4. T7 LÅN '!C34/1000</f>
        <v>0</v>
      </c>
      <c r="AB52" s="1631">
        <f>'4. T7 LÅN '!D34</f>
        <v>0</v>
      </c>
      <c r="AC52" s="1632">
        <f>'4. T7 LÅN '!E34*100</f>
        <v>0</v>
      </c>
      <c r="AD52" s="992">
        <f>'4. T7 LÅN '!F34/1000</f>
        <v>0</v>
      </c>
      <c r="AE52" s="1303">
        <f>'4. T7 LÅN '!G34/1000</f>
        <v>0</v>
      </c>
      <c r="AF52" s="1304">
        <f>'4. T7 LÅN '!H34/1000</f>
        <v>0</v>
      </c>
      <c r="AG52" s="1584">
        <f>'4. T7 LÅN '!I34/1000</f>
        <v>0</v>
      </c>
      <c r="AH52" s="1303">
        <f>'4. T7 LÅN '!J34/1000</f>
        <v>0</v>
      </c>
      <c r="AI52" s="1585">
        <f>'4. T7 LÅN '!K34/1000</f>
        <v>0</v>
      </c>
      <c r="AJ52" s="992">
        <f>'4. T7 LÅN '!L34/1000</f>
        <v>0</v>
      </c>
      <c r="AK52" s="1303">
        <f>'4. T7 LÅN '!M34/1000</f>
        <v>0</v>
      </c>
      <c r="AL52" s="1304">
        <f>'4. T7 LÅN '!N34/1000</f>
        <v>0</v>
      </c>
      <c r="AM52" s="1584">
        <f>'4. T7 LÅN '!O34/1000</f>
        <v>0</v>
      </c>
      <c r="AN52" s="1303">
        <f>'4. T7 LÅN '!P34/1000</f>
        <v>0</v>
      </c>
      <c r="AO52" s="1585">
        <f>'4. T7 LÅN '!Q34/1000</f>
        <v>0</v>
      </c>
    </row>
    <row r="53" spans="2:41" ht="11.25" customHeight="1">
      <c r="B53" s="2369"/>
      <c r="C53" s="2369"/>
      <c r="D53" s="1832" t="s">
        <v>167</v>
      </c>
      <c r="E53" s="1833" t="s">
        <v>13</v>
      </c>
      <c r="F53" s="1832" t="s">
        <v>167</v>
      </c>
      <c r="G53" s="1833" t="s">
        <v>13</v>
      </c>
      <c r="H53" s="1832" t="s">
        <v>167</v>
      </c>
      <c r="I53" s="1833" t="s">
        <v>13</v>
      </c>
      <c r="J53" s="1832" t="s">
        <v>167</v>
      </c>
      <c r="K53" s="1833" t="s">
        <v>13</v>
      </c>
      <c r="L53" s="1832" t="s">
        <v>167</v>
      </c>
      <c r="M53" s="1833" t="s">
        <v>13</v>
      </c>
      <c r="N53" s="1832" t="s">
        <v>167</v>
      </c>
      <c r="O53" s="1833" t="s">
        <v>13</v>
      </c>
      <c r="P53" s="1126"/>
      <c r="Q53" s="1253"/>
      <c r="R53" s="632" t="s">
        <v>621</v>
      </c>
      <c r="S53" s="1244"/>
      <c r="T53" s="1244"/>
      <c r="U53" s="1683">
        <f>'9. T4 FINANSIERINGSB. '!H15/1000</f>
        <v>5.9209832897078689</v>
      </c>
      <c r="V53" s="1683">
        <f>'9. T4 FINANSIERINGSB. '!I15/1000</f>
        <v>41.498531168388581</v>
      </c>
      <c r="W53" s="1683">
        <f>'9. T4 FINANSIERINGSB. '!J15/1000</f>
        <v>67.379537875460059</v>
      </c>
      <c r="X53" s="1683">
        <f>'9. T4 FINANSIERINGSB. '!K15/1000</f>
        <v>69.947642037824536</v>
      </c>
      <c r="Y53" s="910"/>
      <c r="Z53" s="1642">
        <f>'4. T7 LÅN '!B35</f>
        <v>0</v>
      </c>
      <c r="AA53" s="1643">
        <f>'4. T7 LÅN '!C35/1000</f>
        <v>0</v>
      </c>
      <c r="AB53" s="1644">
        <f>'4. T7 LÅN '!D35</f>
        <v>0</v>
      </c>
      <c r="AC53" s="1645">
        <f>'4. T7 LÅN '!E35*100</f>
        <v>0</v>
      </c>
      <c r="AD53" s="1646">
        <f>'4. T7 LÅN '!F35/1000</f>
        <v>0</v>
      </c>
      <c r="AE53" s="1647">
        <f>'4. T7 LÅN '!G35/1000</f>
        <v>0</v>
      </c>
      <c r="AF53" s="1648">
        <f>'4. T7 LÅN '!H35/1000</f>
        <v>0</v>
      </c>
      <c r="AG53" s="1643">
        <f>'4. T7 LÅN '!I35/1000</f>
        <v>0</v>
      </c>
      <c r="AH53" s="1647">
        <f>'4. T7 LÅN '!J35/1000</f>
        <v>0</v>
      </c>
      <c r="AI53" s="1649">
        <f>'4. T7 LÅN '!K35/1000</f>
        <v>0</v>
      </c>
      <c r="AJ53" s="1646">
        <f>'4. T7 LÅN '!L35/1000</f>
        <v>0</v>
      </c>
      <c r="AK53" s="1647">
        <f>'4. T7 LÅN '!M35/1000</f>
        <v>0</v>
      </c>
      <c r="AL53" s="1648">
        <f>'4. T7 LÅN '!N35/1000</f>
        <v>0</v>
      </c>
      <c r="AM53" s="1643">
        <f>'4. T7 LÅN '!O35/1000</f>
        <v>0</v>
      </c>
      <c r="AN53" s="1647">
        <f>'4. T7 LÅN '!P35/1000</f>
        <v>0</v>
      </c>
      <c r="AO53" s="1649">
        <f>'4. T7 LÅN '!Q35/1000</f>
        <v>0</v>
      </c>
    </row>
    <row r="54" spans="2:41" ht="12" customHeight="1">
      <c r="B54" s="1282"/>
      <c r="C54" s="1256" t="s">
        <v>216</v>
      </c>
      <c r="D54" s="2423">
        <f>'2. &amp; 7. T2  RESULTATB.'!E10</f>
        <v>12</v>
      </c>
      <c r="E54" s="2422"/>
      <c r="F54" s="2423" t="str">
        <f>'2. &amp; 7. T2  RESULTATB.'!G10</f>
        <v>12</v>
      </c>
      <c r="G54" s="2476"/>
      <c r="H54" s="2420">
        <f>'2. &amp; 7. T2  RESULTATB.'!I10</f>
        <v>12</v>
      </c>
      <c r="I54" s="2420"/>
      <c r="J54" s="2421" t="str">
        <f>'2. &amp; 7. T2  RESULTATB.'!K10</f>
        <v>12</v>
      </c>
      <c r="K54" s="2422"/>
      <c r="L54" s="2423" t="str">
        <f>'2. &amp; 7. T2  RESULTATB.'!M10</f>
        <v>12</v>
      </c>
      <c r="M54" s="2422"/>
      <c r="N54" s="2423" t="str">
        <f>'2. &amp; 7. T2  RESULTATB.'!O10</f>
        <v>12</v>
      </c>
      <c r="O54" s="2422"/>
      <c r="Q54" s="1253"/>
      <c r="R54" s="633" t="s">
        <v>620</v>
      </c>
      <c r="S54" s="1245"/>
      <c r="T54" s="1246"/>
      <c r="U54" s="1683">
        <f>'9. T4 FINANSIERINGSB. '!H16/1000</f>
        <v>0</v>
      </c>
      <c r="V54" s="1683">
        <f>'9. T4 FINANSIERINGSB. '!I16/1000</f>
        <v>0</v>
      </c>
      <c r="W54" s="1683">
        <f>'9. T4 FINANSIERINGSB. '!J16/1000</f>
        <v>0</v>
      </c>
      <c r="X54" s="1683">
        <f>'9. T4 FINANSIERINGSB. '!K16/1000</f>
        <v>0</v>
      </c>
      <c r="Y54" s="910"/>
      <c r="Z54" s="1633">
        <f>'4. T7 LÅN '!B36</f>
        <v>0</v>
      </c>
      <c r="AA54" s="1634">
        <f>'4. T7 LÅN '!C36/1000</f>
        <v>0</v>
      </c>
      <c r="AB54" s="1635">
        <f>'4. T7 LÅN '!D36</f>
        <v>0</v>
      </c>
      <c r="AC54" s="1636">
        <f>'4. T7 LÅN '!E36*100</f>
        <v>0</v>
      </c>
      <c r="AD54" s="1637">
        <f>'4. T7 LÅN '!F36/1000</f>
        <v>0</v>
      </c>
      <c r="AE54" s="1638">
        <f>'4. T7 LÅN '!G36/1000</f>
        <v>0</v>
      </c>
      <c r="AF54" s="1639">
        <f>'4. T7 LÅN '!H36/1000</f>
        <v>0</v>
      </c>
      <c r="AG54" s="1640">
        <f>'4. T7 LÅN '!I36/1000</f>
        <v>0</v>
      </c>
      <c r="AH54" s="1638">
        <f>'4. T7 LÅN '!J36/1000</f>
        <v>0</v>
      </c>
      <c r="AI54" s="1641">
        <f>'4. T7 LÅN '!K36/1000</f>
        <v>0</v>
      </c>
      <c r="AJ54" s="1637">
        <f>'4. T7 LÅN '!L36/1000</f>
        <v>0</v>
      </c>
      <c r="AK54" s="1638">
        <f>'4. T7 LÅN '!M36/1000</f>
        <v>0</v>
      </c>
      <c r="AL54" s="1639">
        <f>'4. T7 LÅN '!N36/1000</f>
        <v>0</v>
      </c>
      <c r="AM54" s="1640">
        <f>'4. T7 LÅN '!O36/1000</f>
        <v>0</v>
      </c>
      <c r="AN54" s="1638">
        <f>'4. T7 LÅN '!P36/1000</f>
        <v>0</v>
      </c>
      <c r="AO54" s="1641">
        <f>'4. T7 LÅN '!Q36/1000</f>
        <v>0</v>
      </c>
    </row>
    <row r="55" spans="2:41" ht="12" customHeight="1">
      <c r="B55" s="1253" t="s">
        <v>2</v>
      </c>
      <c r="C55" s="1271" t="s">
        <v>217</v>
      </c>
      <c r="D55" s="1692">
        <f>'2. &amp; 7. T2  RESULTATB.'!E11/1000</f>
        <v>0</v>
      </c>
      <c r="E55" s="1693">
        <v>0</v>
      </c>
      <c r="F55" s="1692">
        <f>'2. &amp; 7. T2  RESULTATB.'!G11/1000</f>
        <v>175.886</v>
      </c>
      <c r="G55" s="1693">
        <v>0</v>
      </c>
      <c r="H55" s="1692">
        <f>'2. &amp; 7. T2  RESULTATB.'!I11/1000</f>
        <v>192.35</v>
      </c>
      <c r="I55" s="1694">
        <v>0</v>
      </c>
      <c r="J55" s="1692">
        <f>'2. &amp; 7. T2  RESULTATB.'!K11/1000</f>
        <v>219.35291999999998</v>
      </c>
      <c r="K55" s="1693">
        <v>0</v>
      </c>
      <c r="L55" s="1692">
        <f>'2. &amp; 7. T2  RESULTATB.'!M11/1000</f>
        <v>258.73759649999994</v>
      </c>
      <c r="M55" s="1693">
        <v>0</v>
      </c>
      <c r="N55" s="1692">
        <f>'2. &amp; 7. T2  RESULTATB.'!O11/1000</f>
        <v>266.49972439500004</v>
      </c>
      <c r="O55" s="1693">
        <v>0</v>
      </c>
      <c r="Q55" s="1253"/>
      <c r="R55" s="633" t="s">
        <v>619</v>
      </c>
      <c r="S55" s="1245"/>
      <c r="T55" s="1246"/>
      <c r="U55" s="1683">
        <f>'9. T4 FINANSIERINGSB. '!H17/1000</f>
        <v>230</v>
      </c>
      <c r="V55" s="1683">
        <f>'9. T4 FINANSIERINGSB. '!I17/1000</f>
        <v>0</v>
      </c>
      <c r="W55" s="1683">
        <f>'9. T4 FINANSIERINGSB. '!J17/1000</f>
        <v>0</v>
      </c>
      <c r="X55" s="1683">
        <f>'9. T4 FINANSIERINGSB. '!K17/1000</f>
        <v>0</v>
      </c>
      <c r="Y55" s="910"/>
      <c r="Z55" s="2432" t="s">
        <v>555</v>
      </c>
      <c r="AA55" s="2433"/>
      <c r="AB55" s="1586"/>
      <c r="AC55" s="1587"/>
      <c r="AD55" s="1308"/>
      <c r="AE55" s="1309"/>
      <c r="AF55" s="1309"/>
      <c r="AG55" s="1308"/>
      <c r="AH55" s="1309"/>
      <c r="AI55" s="1309"/>
      <c r="AJ55" s="1308"/>
      <c r="AK55" s="1309"/>
      <c r="AL55" s="1309"/>
      <c r="AM55" s="1308"/>
      <c r="AN55" s="1309"/>
      <c r="AO55" s="1309"/>
    </row>
    <row r="56" spans="2:41" ht="12" customHeight="1">
      <c r="B56" s="1253" t="s">
        <v>3</v>
      </c>
      <c r="C56" s="1257" t="s">
        <v>218</v>
      </c>
      <c r="D56" s="1695">
        <f>'2. &amp; 7. T2  RESULTATB.'!E12/1000</f>
        <v>0</v>
      </c>
      <c r="E56" s="1696">
        <v>0</v>
      </c>
      <c r="F56" s="1695">
        <f>'2. &amp; 7. T2  RESULTATB.'!G12/1000</f>
        <v>0.54</v>
      </c>
      <c r="G56" s="1696">
        <v>0</v>
      </c>
      <c r="H56" s="1695">
        <f>'2. &amp; 7. T2  RESULTATB.'!I12/1000</f>
        <v>0.54</v>
      </c>
      <c r="I56" s="1697"/>
      <c r="J56" s="1695">
        <f>'2. &amp; 7. T2  RESULTATB.'!K12/1000</f>
        <v>0.55079999999999996</v>
      </c>
      <c r="K56" s="1696"/>
      <c r="L56" s="1695">
        <f>'2. &amp; 7. T2  RESULTATB.'!M12/1000</f>
        <v>0.56181599999999987</v>
      </c>
      <c r="M56" s="1696"/>
      <c r="N56" s="1695">
        <f>'2. &amp; 7. T2  RESULTATB.'!O12/1000</f>
        <v>0.57305231999999995</v>
      </c>
      <c r="O56" s="1696"/>
      <c r="Q56" s="1253"/>
      <c r="R56" s="633" t="s">
        <v>622</v>
      </c>
      <c r="S56" s="1245"/>
      <c r="T56" s="1246"/>
      <c r="U56" s="1683">
        <f>'9. T4 FINANSIERINGSB. '!H18/1000</f>
        <v>0</v>
      </c>
      <c r="V56" s="1683">
        <f>'9. T4 FINANSIERINGSB. '!I18/1000</f>
        <v>0</v>
      </c>
      <c r="W56" s="1683">
        <f>'9. T4 FINANSIERINGSB. '!J18/1000</f>
        <v>0</v>
      </c>
      <c r="X56" s="1683">
        <f>'9. T4 FINANSIERINGSB. '!K18/1000</f>
        <v>0</v>
      </c>
      <c r="Y56" s="910"/>
      <c r="Z56" s="1345" t="str">
        <f>'4. T7 LÅN '!B38</f>
        <v xml:space="preserve"> Långivaren/avsedd användning</v>
      </c>
      <c r="AA56" s="1584">
        <f>'4. T7 LÅN '!C38/1000</f>
        <v>0</v>
      </c>
      <c r="AB56" s="1631">
        <f>'4. T7 LÅN '!D38</f>
        <v>0</v>
      </c>
      <c r="AC56" s="1632">
        <f>'4. T7 LÅN '!E38*100</f>
        <v>0</v>
      </c>
      <c r="AD56" s="992">
        <f>'4. T7 LÅN '!F38/1000</f>
        <v>0</v>
      </c>
      <c r="AE56" s="1303">
        <f>'4. T7 LÅN '!G38/1000</f>
        <v>0</v>
      </c>
      <c r="AF56" s="1304">
        <f>'4. T7 LÅN '!H38/1000</f>
        <v>0</v>
      </c>
      <c r="AG56" s="1584">
        <f>'4. T7 LÅN '!I38/1000</f>
        <v>0</v>
      </c>
      <c r="AH56" s="1303">
        <f>'4. T7 LÅN '!J38/1000</f>
        <v>0</v>
      </c>
      <c r="AI56" s="1585">
        <f>'4. T7 LÅN '!K38/1000</f>
        <v>0</v>
      </c>
      <c r="AJ56" s="992">
        <f>'4. T7 LÅN '!L38/1000</f>
        <v>0</v>
      </c>
      <c r="AK56" s="1303">
        <f>'4. T7 LÅN '!M38/1000</f>
        <v>0</v>
      </c>
      <c r="AL56" s="1304">
        <f>'4. T7 LÅN '!N38/1000</f>
        <v>0</v>
      </c>
      <c r="AM56" s="1584">
        <f>'4. T7 LÅN '!O38/1000</f>
        <v>0</v>
      </c>
      <c r="AN56" s="1303">
        <f>'4. T7 LÅN '!P38/1000</f>
        <v>0</v>
      </c>
      <c r="AO56" s="1585">
        <f>'4. T7 LÅN '!Q38/1000</f>
        <v>0</v>
      </c>
    </row>
    <row r="57" spans="2:41" ht="12" customHeight="1">
      <c r="B57" s="1253" t="s">
        <v>4</v>
      </c>
      <c r="C57" s="1257" t="s">
        <v>230</v>
      </c>
      <c r="D57" s="1695">
        <f>'2. &amp; 7. T2  RESULTATB.'!E13/1000</f>
        <v>0</v>
      </c>
      <c r="E57" s="1696"/>
      <c r="F57" s="1695">
        <f>'2. &amp; 7. T2  RESULTATB.'!G13/1000</f>
        <v>0</v>
      </c>
      <c r="G57" s="1696"/>
      <c r="H57" s="1695">
        <f>'2. &amp; 7. T2  RESULTATB.'!I13/1000</f>
        <v>0</v>
      </c>
      <c r="I57" s="1697"/>
      <c r="J57" s="1695">
        <f>'2. &amp; 7. T2  RESULTATB.'!K13/1000</f>
        <v>0</v>
      </c>
      <c r="K57" s="1696"/>
      <c r="L57" s="1695">
        <f>'2. &amp; 7. T2  RESULTATB.'!M13/1000</f>
        <v>0</v>
      </c>
      <c r="M57" s="1696"/>
      <c r="N57" s="1695">
        <f>'2. &amp; 7. T2  RESULTATB.'!O13/1000</f>
        <v>0</v>
      </c>
      <c r="O57" s="1696"/>
      <c r="Q57" s="1253"/>
      <c r="R57" s="633" t="s">
        <v>623</v>
      </c>
      <c r="S57" s="1245"/>
      <c r="T57" s="1246"/>
      <c r="U57" s="1683">
        <f>'9. T4 FINANSIERINGSB. '!H19/1000</f>
        <v>0</v>
      </c>
      <c r="V57" s="1683">
        <f>'9. T4 FINANSIERINGSB. '!I19/1000</f>
        <v>0</v>
      </c>
      <c r="W57" s="1683">
        <f>'9. T4 FINANSIERINGSB. '!J19/1000</f>
        <v>0</v>
      </c>
      <c r="X57" s="1683">
        <f>'9. T4 FINANSIERINGSB. '!K19/1000</f>
        <v>0</v>
      </c>
      <c r="Y57" s="910"/>
      <c r="Z57" s="1642">
        <f>'4. T7 LÅN '!B39</f>
        <v>0</v>
      </c>
      <c r="AA57" s="1643">
        <f>'4. T7 LÅN '!C39/1000</f>
        <v>0</v>
      </c>
      <c r="AB57" s="1644">
        <f>'4. T7 LÅN '!D39</f>
        <v>0</v>
      </c>
      <c r="AC57" s="1645">
        <f>'4. T7 LÅN '!E39*100</f>
        <v>0</v>
      </c>
      <c r="AD57" s="1646">
        <f>'4. T7 LÅN '!F39/1000</f>
        <v>0</v>
      </c>
      <c r="AE57" s="1647">
        <f>'4. T7 LÅN '!G39/1000</f>
        <v>0</v>
      </c>
      <c r="AF57" s="1648">
        <f>'4. T7 LÅN '!H39/1000</f>
        <v>0</v>
      </c>
      <c r="AG57" s="1643">
        <f>'4. T7 LÅN '!I39/1000</f>
        <v>0</v>
      </c>
      <c r="AH57" s="1647">
        <f>'4. T7 LÅN '!J39/1000</f>
        <v>0</v>
      </c>
      <c r="AI57" s="1649">
        <f>'4. T7 LÅN '!K39/1000</f>
        <v>0</v>
      </c>
      <c r="AJ57" s="1646">
        <f>'4. T7 LÅN '!L39/1000</f>
        <v>0</v>
      </c>
      <c r="AK57" s="1647">
        <f>'4. T7 LÅN '!M39/1000</f>
        <v>0</v>
      </c>
      <c r="AL57" s="1648">
        <f>'4. T7 LÅN '!N39/1000</f>
        <v>0</v>
      </c>
      <c r="AM57" s="1643">
        <f>'4. T7 LÅN '!O39/1000</f>
        <v>0</v>
      </c>
      <c r="AN57" s="1647">
        <f>'4. T7 LÅN '!P39/1000</f>
        <v>0</v>
      </c>
      <c r="AO57" s="1649">
        <f>'4. T7 LÅN '!Q39/1000</f>
        <v>0</v>
      </c>
    </row>
    <row r="58" spans="2:41" ht="12" customHeight="1" thickBot="1">
      <c r="B58" s="1253" t="s">
        <v>5</v>
      </c>
      <c r="C58" s="1272" t="s">
        <v>219</v>
      </c>
      <c r="D58" s="1695">
        <f>'2. &amp; 7. T2  RESULTATB.'!E14/1000</f>
        <v>0</v>
      </c>
      <c r="E58" s="1698">
        <v>100</v>
      </c>
      <c r="F58" s="1695">
        <f>'2. &amp; 7. T2  RESULTATB.'!G14/1000</f>
        <v>176.42599999999999</v>
      </c>
      <c r="G58" s="1698">
        <v>100</v>
      </c>
      <c r="H58" s="1695">
        <f>'2. &amp; 7. T2  RESULTATB.'!I14/1000</f>
        <v>192.89</v>
      </c>
      <c r="I58" s="1699">
        <v>100</v>
      </c>
      <c r="J58" s="1695">
        <f>'2. &amp; 7. T2  RESULTATB.'!K14/1000</f>
        <v>219.90371999999996</v>
      </c>
      <c r="K58" s="1698">
        <v>100</v>
      </c>
      <c r="L58" s="1695">
        <f>'2. &amp; 7. T2  RESULTATB.'!M14/1000</f>
        <v>259.29941249999996</v>
      </c>
      <c r="M58" s="1698">
        <v>100</v>
      </c>
      <c r="N58" s="1695">
        <f>'2. &amp; 7. T2  RESULTATB.'!O14/1000</f>
        <v>267.07277671500003</v>
      </c>
      <c r="O58" s="1698">
        <v>100</v>
      </c>
      <c r="Q58" s="1253"/>
      <c r="R58" s="2529" t="s">
        <v>624</v>
      </c>
      <c r="S58" s="2529"/>
      <c r="T58" s="2530"/>
      <c r="U58" s="1683">
        <f>'9. T4 FINANSIERINGSB. '!H20/1000</f>
        <v>0</v>
      </c>
      <c r="V58" s="1683">
        <f>'9. T4 FINANSIERINGSB. '!I20/1000</f>
        <v>0</v>
      </c>
      <c r="W58" s="1683">
        <f>'9. T4 FINANSIERINGSB. '!J20/1000</f>
        <v>0</v>
      </c>
      <c r="X58" s="1683">
        <f>'9. T4 FINANSIERINGSB. '!K20/1000</f>
        <v>0</v>
      </c>
      <c r="Y58" s="910"/>
      <c r="Z58" s="1650">
        <f>'4. T7 LÅN '!B40</f>
        <v>0</v>
      </c>
      <c r="AA58" s="1651">
        <f>'4. T7 LÅN '!C40/1000</f>
        <v>0</v>
      </c>
      <c r="AB58" s="1652">
        <f>'4. T7 LÅN '!D40</f>
        <v>0</v>
      </c>
      <c r="AC58" s="1653">
        <f>'4. T7 LÅN '!E40*100</f>
        <v>0</v>
      </c>
      <c r="AD58" s="1654">
        <f>'4. T7 LÅN '!F40/1000</f>
        <v>0</v>
      </c>
      <c r="AE58" s="1655">
        <f>'4. T7 LÅN '!G40/1000</f>
        <v>0</v>
      </c>
      <c r="AF58" s="1656">
        <f>'4. T7 LÅN '!H40/1000</f>
        <v>0</v>
      </c>
      <c r="AG58" s="1651">
        <f>'4. T7 LÅN '!I40/1000</f>
        <v>0</v>
      </c>
      <c r="AH58" s="1655">
        <f>'4. T7 LÅN '!J40/1000</f>
        <v>0</v>
      </c>
      <c r="AI58" s="1657">
        <f>'4. T7 LÅN '!K40/1000</f>
        <v>0</v>
      </c>
      <c r="AJ58" s="1654">
        <f>'4. T7 LÅN '!L40/1000</f>
        <v>0</v>
      </c>
      <c r="AK58" s="1655">
        <f>'4. T7 LÅN '!M40/1000</f>
        <v>0</v>
      </c>
      <c r="AL58" s="1656">
        <f>'4. T7 LÅN '!N40/1000</f>
        <v>0</v>
      </c>
      <c r="AM58" s="1651">
        <f>'4. T7 LÅN '!O40/1000</f>
        <v>0</v>
      </c>
      <c r="AN58" s="1655">
        <f>'4. T7 LÅN '!P40/1000</f>
        <v>0</v>
      </c>
      <c r="AO58" s="1657">
        <f>'4. T7 LÅN '!Q40/1000</f>
        <v>0</v>
      </c>
    </row>
    <row r="59" spans="2:41" ht="12" customHeight="1" thickTop="1" thickBot="1">
      <c r="B59" s="1253" t="s">
        <v>6</v>
      </c>
      <c r="C59" s="1257" t="s">
        <v>220</v>
      </c>
      <c r="D59" s="1700">
        <f>'2. &amp; 7. T2  RESULTATB.'!E15/1000</f>
        <v>0</v>
      </c>
      <c r="E59" s="1696">
        <f>'2. &amp; 7. T2  RESULTATB.'!F15</f>
        <v>0</v>
      </c>
      <c r="F59" s="1700">
        <f>'2. &amp; 7. T2  RESULTATB.'!G15/1000</f>
        <v>-13.609</v>
      </c>
      <c r="G59" s="1696">
        <f>'2. &amp; 7. T2  RESULTATB.'!H15</f>
        <v>7.7137156654914811</v>
      </c>
      <c r="H59" s="1700">
        <f>'2. &amp; 7. T2  RESULTATB.'!I15/1000</f>
        <v>-15.388</v>
      </c>
      <c r="I59" s="1697">
        <f>'2. &amp; 7. T2  RESULTATB.'!J15</f>
        <v>7.9776038156462228</v>
      </c>
      <c r="J59" s="1700">
        <f>'2. &amp; 7. T2  RESULTATB.'!K15/1000</f>
        <v>-17.5482336</v>
      </c>
      <c r="K59" s="1696">
        <f>'2. &amp; 7. T2  RESULTATB.'!L15</f>
        <v>7.9799621397946341</v>
      </c>
      <c r="L59" s="1700">
        <f>'2. &amp; 7. T2  RESULTATB.'!M15/1000</f>
        <v>-20.699007719999997</v>
      </c>
      <c r="M59" s="1696">
        <f>'2. &amp; 7. T2  RESULTATB.'!N15</f>
        <v>7.9826666479624215</v>
      </c>
      <c r="N59" s="1700">
        <f>'2. &amp; 7. T2  RESULTATB.'!O15/1000</f>
        <v>-21.319977951599999</v>
      </c>
      <c r="O59" s="1696">
        <f>'2. &amp; 7. T2  RESULTATB.'!P15</f>
        <v>7.9828345718482092</v>
      </c>
      <c r="Q59" s="877"/>
      <c r="R59" s="1285" t="s">
        <v>625</v>
      </c>
      <c r="S59" s="1247"/>
      <c r="T59" s="1248"/>
      <c r="U59" s="1708">
        <f>'9. T4 FINANSIERINGSB. '!H21/1000</f>
        <v>235.92098328970786</v>
      </c>
      <c r="V59" s="1708">
        <f>'9. T4 FINANSIERINGSB. '!I21/1000</f>
        <v>41.498531168388581</v>
      </c>
      <c r="W59" s="1708">
        <f>'9. T4 FINANSIERINGSB. '!J21/1000</f>
        <v>67.379537875460059</v>
      </c>
      <c r="X59" s="1708">
        <f>'9. T4 FINANSIERINGSB. '!K21/1000</f>
        <v>69.947642037824536</v>
      </c>
      <c r="Y59" s="910"/>
      <c r="Z59" s="1347" t="s">
        <v>574</v>
      </c>
      <c r="AA59" s="1601">
        <f>SUM(AA44:AA58)</f>
        <v>230</v>
      </c>
      <c r="AB59" s="1603"/>
      <c r="AC59" s="1602"/>
      <c r="AD59" s="1588">
        <f>'4. T7 LÅN '!F41/1000</f>
        <v>230</v>
      </c>
      <c r="AE59" s="1606">
        <f>'4. T7 LÅN '!G41/1000</f>
        <v>8</v>
      </c>
      <c r="AF59" s="1583">
        <f>'4. T7 LÅN '!H41/1000</f>
        <v>8.6999999999999993</v>
      </c>
      <c r="AG59" s="1604">
        <f>'4. T7 LÅN '!I41/1000</f>
        <v>0</v>
      </c>
      <c r="AH59" s="1606">
        <f>'4. T7 LÅN '!J41/1000</f>
        <v>24.67</v>
      </c>
      <c r="AI59" s="1605">
        <f>'4. T7 LÅN '!K41/1000</f>
        <v>8.166640000000001</v>
      </c>
      <c r="AJ59" s="1588">
        <f t="shared" ref="AJ59:AL59" si="3">SUM(AJ44:AJ58)</f>
        <v>0</v>
      </c>
      <c r="AK59" s="1606">
        <f t="shared" si="3"/>
        <v>24.67</v>
      </c>
      <c r="AL59" s="1583">
        <f t="shared" si="3"/>
        <v>7.2332000000000001</v>
      </c>
      <c r="AM59" s="1604">
        <f>'4. T7 LÅN '!O41/1000</f>
        <v>0</v>
      </c>
      <c r="AN59" s="1606">
        <f>'4. T7 LÅN '!P41/1000</f>
        <v>24.67</v>
      </c>
      <c r="AO59" s="1605">
        <f>'4. T7 LÅN '!Q41/1000</f>
        <v>6.29976</v>
      </c>
    </row>
    <row r="60" spans="2:41" ht="12" customHeight="1">
      <c r="B60" s="1253" t="s">
        <v>7</v>
      </c>
      <c r="C60" s="1257" t="s">
        <v>221</v>
      </c>
      <c r="D60" s="1700">
        <f>'2. &amp; 7. T2  RESULTATB.'!E16/1000</f>
        <v>0</v>
      </c>
      <c r="E60" s="1696">
        <f>'2. &amp; 7. T2  RESULTATB.'!F16</f>
        <v>0</v>
      </c>
      <c r="F60" s="1700">
        <f>'2. &amp; 7. T2  RESULTATB.'!G16/1000</f>
        <v>-0.11799999999999999</v>
      </c>
      <c r="G60" s="1696">
        <f>'2. &amp; 7. T2  RESULTATB.'!H16</f>
        <v>6.6883565914321014E-2</v>
      </c>
      <c r="H60" s="1700">
        <f>'2. &amp; 7. T2  RESULTATB.'!I16/1000</f>
        <v>-0.12901171029213382</v>
      </c>
      <c r="I60" s="1697">
        <f>'2. &amp; 7. T2  RESULTATB.'!J16</f>
        <v>6.6883565914321014E-2</v>
      </c>
      <c r="J60" s="1700">
        <f>'2. &amp; 7. T2  RESULTATB.'!K16/1000</f>
        <v>-0.1470794495142439</v>
      </c>
      <c r="K60" s="1696">
        <f>'2. &amp; 7. T2  RESULTATB.'!L16</f>
        <v>6.6883565914321014E-2</v>
      </c>
      <c r="L60" s="1700">
        <f>'2. &amp; 7. T2  RESULTATB.'!M16/1000</f>
        <v>-0.1734286934748846</v>
      </c>
      <c r="M60" s="1696">
        <f>'2. &amp; 7. T2  RESULTATB.'!N16</f>
        <v>6.6883565914321014E-2</v>
      </c>
      <c r="N60" s="1700">
        <f>'2. &amp; 7. T2  RESULTATB.'!O16/1000</f>
        <v>-0.17862779665338444</v>
      </c>
      <c r="O60" s="1696">
        <f>'2. &amp; 7. T2  RESULTATB.'!P16</f>
        <v>6.6883565914321014E-2</v>
      </c>
      <c r="Q60" s="1488" t="s">
        <v>315</v>
      </c>
      <c r="R60" s="1019"/>
      <c r="S60" s="1242"/>
      <c r="T60" s="1243"/>
      <c r="U60" s="1709"/>
      <c r="V60" s="1709"/>
      <c r="W60" s="1709"/>
      <c r="X60" s="1709"/>
      <c r="Y60" s="910"/>
      <c r="Z60" s="879"/>
      <c r="AA60" s="880"/>
      <c r="AB60" s="881"/>
      <c r="AC60" s="882"/>
      <c r="AD60" s="883"/>
      <c r="AE60" s="985"/>
      <c r="AF60" s="884"/>
      <c r="AG60" s="883"/>
      <c r="AH60" s="884"/>
      <c r="AI60" s="883"/>
      <c r="AJ60" s="883"/>
      <c r="AK60" s="884"/>
      <c r="AL60" s="885"/>
      <c r="AM60" s="884"/>
      <c r="AN60" s="884"/>
      <c r="AO60" s="885"/>
    </row>
    <row r="61" spans="2:41" ht="10.85" customHeight="1">
      <c r="B61" s="1253" t="s">
        <v>8</v>
      </c>
      <c r="C61" s="1257" t="s">
        <v>222</v>
      </c>
      <c r="D61" s="1700">
        <f>'2. &amp; 7. T2  RESULTATB.'!E17/1000</f>
        <v>0</v>
      </c>
      <c r="E61" s="1696">
        <f>'2. &amp; 7. T2  RESULTATB.'!F17</f>
        <v>0</v>
      </c>
      <c r="F61" s="1700">
        <f>'2. &amp; 7. T2  RESULTATB.'!G17/1000</f>
        <v>-110.23699999999999</v>
      </c>
      <c r="G61" s="1696">
        <f>'2. &amp; 7. T2  RESULTATB.'!H17</f>
        <v>62.483420810991575</v>
      </c>
      <c r="H61" s="1700">
        <f>'2. &amp; 7. T2  RESULTATB.'!I17/1000</f>
        <v>-124.127898</v>
      </c>
      <c r="I61" s="1697">
        <f>'2. &amp; 7. T2  RESULTATB.'!J17</f>
        <v>64.351650163305507</v>
      </c>
      <c r="J61" s="1700">
        <f>'2. &amp; 7. T2  RESULTATB.'!K17/1000</f>
        <v>-116.47573494</v>
      </c>
      <c r="K61" s="1696">
        <f>'2. &amp; 7. T2  RESULTATB.'!L17</f>
        <v>52.966696034064363</v>
      </c>
      <c r="L61" s="1700">
        <f>'2. &amp; 7. T2  RESULTATB.'!M17/1000</f>
        <v>-119.97000698820001</v>
      </c>
      <c r="M61" s="1696">
        <f>'2. &amp; 7. T2  RESULTATB.'!N17</f>
        <v>46.266979871464244</v>
      </c>
      <c r="N61" s="1700">
        <f>'2. &amp; 7. T2  RESULTATB.'!O17/1000</f>
        <v>-123.56910719784599</v>
      </c>
      <c r="O61" s="1696">
        <f>'2. &amp; 7. T2  RESULTATB.'!P17</f>
        <v>46.267953146609784</v>
      </c>
      <c r="Q61" s="1253"/>
      <c r="R61" s="634" t="s">
        <v>626</v>
      </c>
      <c r="S61" s="1249"/>
      <c r="T61" s="1250"/>
      <c r="U61" s="1683">
        <f>('9. T4 FINANSIERINGSB. '!H24+'9. T4 FINANSIERINGSB. '!H25+'9. T4 FINANSIERINGSB. '!H26+'9. T4 FINANSIERINGSB. '!H27)/1000</f>
        <v>230</v>
      </c>
      <c r="V61" s="1683">
        <f>('9. T4 FINANSIERINGSB. '!I24+'9. T4 FINANSIERINGSB. '!I25+'9. T4 FINANSIERINGSB. '!I26+'9. T4 FINANSIERINGSB. '!I27)/1000</f>
        <v>0</v>
      </c>
      <c r="W61" s="1683">
        <f>('9. T4 FINANSIERINGSB. '!J24+'9. T4 FINANSIERINGSB. '!J25+'9. T4 FINANSIERINGSB. '!J26+'9. T4 FINANSIERINGSB. '!J27)/1000</f>
        <v>0</v>
      </c>
      <c r="X61" s="1683">
        <f>('9. T4 FINANSIERINGSB. '!K24+'9. T4 FINANSIERINGSB. '!K25+'9. T4 FINANSIERINGSB. '!K26+'9. T4 FINANSIERINGSB. '!K27)/1000</f>
        <v>0</v>
      </c>
      <c r="Y61" s="910"/>
      <c r="Z61" s="2329" t="s">
        <v>575</v>
      </c>
      <c r="AA61" s="2504" t="s">
        <v>391</v>
      </c>
      <c r="AB61" s="2506" t="s">
        <v>392</v>
      </c>
      <c r="AC61" s="2508" t="s">
        <v>386</v>
      </c>
      <c r="AD61" s="2510">
        <f>AD41</f>
        <v>2023</v>
      </c>
      <c r="AE61" s="2511"/>
      <c r="AF61" s="2512"/>
      <c r="AG61" s="2516">
        <f>AG41</f>
        <v>2024</v>
      </c>
      <c r="AH61" s="2517"/>
      <c r="AI61" s="2518"/>
      <c r="AJ61" s="2516">
        <f>AJ41</f>
        <v>2025</v>
      </c>
      <c r="AK61" s="2517"/>
      <c r="AL61" s="2518"/>
      <c r="AM61" s="2513">
        <f>AM41</f>
        <v>2026</v>
      </c>
      <c r="AN61" s="2514"/>
      <c r="AO61" s="2515"/>
    </row>
    <row r="62" spans="2:41" ht="12" customHeight="1">
      <c r="B62" s="1253" t="s">
        <v>9</v>
      </c>
      <c r="C62" s="1273" t="s">
        <v>223</v>
      </c>
      <c r="D62" s="1700">
        <f>'2. &amp; 7. T2  RESULTATB.'!E18/1000</f>
        <v>0</v>
      </c>
      <c r="E62" s="1696">
        <f>'2. &amp; 7. T2  RESULTATB.'!F18</f>
        <v>0</v>
      </c>
      <c r="F62" s="1700">
        <f>'2. &amp; 7. T2  RESULTATB.'!G18/1000</f>
        <v>-42.067999999999998</v>
      </c>
      <c r="G62" s="1696">
        <f>'2. &amp; 7. T2  RESULTATB.'!H18</f>
        <v>23.844558058336073</v>
      </c>
      <c r="H62" s="1700">
        <f>'2. &amp; 7. T2  RESULTATB.'!I18/1000</f>
        <v>-38.496009999999998</v>
      </c>
      <c r="I62" s="1697">
        <f>'2. &amp; 7. T2  RESULTATB.'!J18</f>
        <v>19.957493908445226</v>
      </c>
      <c r="J62" s="1700">
        <f>'2. &amp; 7. T2  RESULTATB.'!K18/1000</f>
        <v>-30.434766800000002</v>
      </c>
      <c r="K62" s="1696">
        <f>'2. &amp; 7. T2  RESULTATB.'!L18</f>
        <v>13.840041814663257</v>
      </c>
      <c r="L62" s="1700">
        <f>'2. &amp; 7. T2  RESULTATB.'!M18/1000</f>
        <v>-31.212809804000003</v>
      </c>
      <c r="M62" s="1696">
        <f>'2. &amp; 7. T2  RESULTATB.'!N18</f>
        <v>12.037362330699461</v>
      </c>
      <c r="N62" s="1700">
        <f>'2. &amp; 7. T2  RESULTATB.'!O18/1000</f>
        <v>-32.014194098120001</v>
      </c>
      <c r="O62" s="1696">
        <f>'2. &amp; 7. T2  RESULTATB.'!P18</f>
        <v>11.987067529643104</v>
      </c>
      <c r="Q62" s="1253"/>
      <c r="R62" s="634" t="s">
        <v>627</v>
      </c>
      <c r="S62" s="1249"/>
      <c r="T62" s="1250"/>
      <c r="U62" s="1683">
        <f>'9. T4 FINANSIERINGSB. '!H28/1000</f>
        <v>-0.69173866106593873</v>
      </c>
      <c r="V62" s="1683">
        <f>'9. T4 FINANSIERINGSB. '!I28/1000</f>
        <v>1.0904287370080519</v>
      </c>
      <c r="W62" s="1683">
        <f>'9. T4 FINANSIERINGSB. '!J28/1000</f>
        <v>1.1519759709465889</v>
      </c>
      <c r="X62" s="1683">
        <f>'9. T4 FINANSIERINGSB. '!K28/1000</f>
        <v>0.19302005419434773</v>
      </c>
      <c r="Y62" s="910"/>
      <c r="Z62" s="2503"/>
      <c r="AA62" s="2505"/>
      <c r="AB62" s="2507"/>
      <c r="AC62" s="2509"/>
      <c r="AD62" s="1858" t="s">
        <v>393</v>
      </c>
      <c r="AE62" s="1856" t="s">
        <v>394</v>
      </c>
      <c r="AF62" s="1859" t="s">
        <v>388</v>
      </c>
      <c r="AG62" s="1858" t="s">
        <v>393</v>
      </c>
      <c r="AH62" s="1856" t="s">
        <v>394</v>
      </c>
      <c r="AI62" s="1860" t="s">
        <v>388</v>
      </c>
      <c r="AJ62" s="1858" t="s">
        <v>393</v>
      </c>
      <c r="AK62" s="1856" t="s">
        <v>394</v>
      </c>
      <c r="AL62" s="1860" t="s">
        <v>388</v>
      </c>
      <c r="AM62" s="1858" t="s">
        <v>393</v>
      </c>
      <c r="AN62" s="1856" t="s">
        <v>394</v>
      </c>
      <c r="AO62" s="1860" t="s">
        <v>388</v>
      </c>
    </row>
    <row r="63" spans="2:41" ht="12" customHeight="1">
      <c r="B63" s="1253" t="s">
        <v>10</v>
      </c>
      <c r="C63" s="1273" t="s">
        <v>224</v>
      </c>
      <c r="D63" s="1700">
        <f>'2. &amp; 7. T2  RESULTATB.'!E19/1000</f>
        <v>0</v>
      </c>
      <c r="E63" s="1696">
        <f>'2. &amp; 7. T2  RESULTATB.'!F19</f>
        <v>0</v>
      </c>
      <c r="F63" s="1700">
        <f>'2. &amp; 7. T2  RESULTATB.'!G19/1000</f>
        <v>0</v>
      </c>
      <c r="G63" s="1696">
        <f>'2. &amp; 7. T2  RESULTATB.'!H19</f>
        <v>0</v>
      </c>
      <c r="H63" s="1700">
        <f>'2. &amp; 7. T2  RESULTATB.'!I19/1000</f>
        <v>0</v>
      </c>
      <c r="I63" s="1697">
        <f>'2. &amp; 7. T2  RESULTATB.'!J19</f>
        <v>0</v>
      </c>
      <c r="J63" s="1700">
        <f>'2. &amp; 7. T2  RESULTATB.'!K19/1000</f>
        <v>0</v>
      </c>
      <c r="K63" s="1696">
        <f>'2. &amp; 7. T2  RESULTATB.'!L19</f>
        <v>0</v>
      </c>
      <c r="L63" s="1700">
        <f>'2. &amp; 7. T2  RESULTATB.'!M19/1000</f>
        <v>0</v>
      </c>
      <c r="M63" s="1696">
        <f>'2. &amp; 7. T2  RESULTATB.'!N19</f>
        <v>0</v>
      </c>
      <c r="N63" s="1700">
        <f>'2. &amp; 7. T2  RESULTATB.'!O19/1000</f>
        <v>0</v>
      </c>
      <c r="O63" s="1696">
        <f>'2. &amp; 7. T2  RESULTATB.'!P19</f>
        <v>0</v>
      </c>
      <c r="Q63" s="1253"/>
      <c r="R63" s="634" t="s">
        <v>628</v>
      </c>
      <c r="S63" s="1249"/>
      <c r="T63" s="1250"/>
      <c r="U63" s="1683">
        <f>'9. T4 FINANSIERINGSB. '!H29/1000</f>
        <v>0</v>
      </c>
      <c r="V63" s="1683">
        <f>'9. T4 FINANSIERINGSB. '!I29/1000</f>
        <v>0</v>
      </c>
      <c r="W63" s="1683">
        <f>'9. T4 FINANSIERINGSB. '!J29/1000</f>
        <v>0</v>
      </c>
      <c r="X63" s="1683">
        <f>'9. T4 FINANSIERINGSB. '!K29/1000</f>
        <v>0</v>
      </c>
      <c r="Y63" s="910"/>
      <c r="Z63" s="1344" t="str">
        <f>'4. T7 LÅN '!B44</f>
        <v xml:space="preserve"> Ny avbetalningsskuld år 1</v>
      </c>
      <c r="AA63" s="1611">
        <f>'4. T7 LÅN '!C44/1000</f>
        <v>0</v>
      </c>
      <c r="AB63" s="1658">
        <f>'4. T7 LÅN '!D44</f>
        <v>0</v>
      </c>
      <c r="AC63" s="1659">
        <f>'4. T7 LÅN '!E44*100</f>
        <v>0</v>
      </c>
      <c r="AD63" s="1611">
        <f>'4. T7 LÅN '!F44/1000</f>
        <v>0</v>
      </c>
      <c r="AE63" s="1473">
        <f>'4. T7 LÅN '!G44/1000</f>
        <v>0</v>
      </c>
      <c r="AF63" s="1617">
        <f>'4. T7 LÅN '!H44/1000</f>
        <v>0</v>
      </c>
      <c r="AG63" s="1611">
        <f>'4. T7 LÅN '!I44/1000</f>
        <v>0</v>
      </c>
      <c r="AH63" s="1473">
        <f>'4. T7 LÅN '!J44/1000</f>
        <v>0</v>
      </c>
      <c r="AI63" s="1612">
        <f>'4. T7 LÅN '!K44/1000</f>
        <v>0</v>
      </c>
      <c r="AJ63" s="1611">
        <f>'4. T7 LÅN '!L44/1000</f>
        <v>0</v>
      </c>
      <c r="AK63" s="1473">
        <f>'4. T7 LÅN '!M44/1000</f>
        <v>0</v>
      </c>
      <c r="AL63" s="1612">
        <f>'4. T7 LÅN '!N44/1000</f>
        <v>0</v>
      </c>
      <c r="AM63" s="1611">
        <f>'4. T7 LÅN '!O44/1000</f>
        <v>0</v>
      </c>
      <c r="AN63" s="1473">
        <f>'4. T7 LÅN '!P44/1000</f>
        <v>0</v>
      </c>
      <c r="AO63" s="1612">
        <f>'4. T7 LÅN '!Q44/1000</f>
        <v>0</v>
      </c>
    </row>
    <row r="64" spans="2:41" ht="12" customHeight="1">
      <c r="B64" s="1253" t="s">
        <v>11</v>
      </c>
      <c r="C64" s="1274" t="s">
        <v>225</v>
      </c>
      <c r="D64" s="1695">
        <f>'2. &amp; 7. T2  RESULTATB.'!E20/1000</f>
        <v>0</v>
      </c>
      <c r="E64" s="1701">
        <f>'2. &amp; 7. T2  RESULTATB.'!F20</f>
        <v>0</v>
      </c>
      <c r="F64" s="1695">
        <f>'2. &amp; 7. T2  RESULTATB.'!G20/1000</f>
        <v>10.394</v>
      </c>
      <c r="G64" s="1701">
        <f>'2. &amp; 7. T2  RESULTATB.'!H20</f>
        <v>5.8914218992665486</v>
      </c>
      <c r="H64" s="1695">
        <f>'2. &amp; 7. T2  RESULTATB.'!I20/1000</f>
        <v>14.749080289707868</v>
      </c>
      <c r="I64" s="1702">
        <f>'2. &amp; 7. T2  RESULTATB.'!J20</f>
        <v>7.6463685466887181</v>
      </c>
      <c r="J64" s="1695">
        <f>'2. &amp; 7. T2  RESULTATB.'!K20/1000</f>
        <v>55.297905210485723</v>
      </c>
      <c r="K64" s="1701">
        <f>'2. &amp; 7. T2  RESULTATB.'!L20</f>
        <v>25.146416445563418</v>
      </c>
      <c r="L64" s="1695">
        <f>'2. &amp; 7. T2  RESULTATB.'!M20/1000</f>
        <v>87.244159294325058</v>
      </c>
      <c r="M64" s="1701">
        <f>'2. &amp; 7. T2  RESULTATB.'!N20</f>
        <v>33.646107583959555</v>
      </c>
      <c r="N64" s="1695">
        <f>'2. &amp; 7. T2  RESULTATB.'!O20/1000</f>
        <v>89.990869670780668</v>
      </c>
      <c r="O64" s="1701">
        <f>'2. &amp; 7. T2  RESULTATB.'!P20</f>
        <v>33.695261185984577</v>
      </c>
      <c r="Q64" s="1253"/>
      <c r="R64" s="633" t="s">
        <v>629</v>
      </c>
      <c r="S64" s="1251"/>
      <c r="T64" s="1251"/>
      <c r="U64" s="1683">
        <f>'9. T4 FINANSIERINGSB. '!H30/1000</f>
        <v>16.936</v>
      </c>
      <c r="V64" s="1683">
        <f>'9. T4 FINANSIERINGSB. '!I30/1000</f>
        <v>25.414999999999999</v>
      </c>
      <c r="W64" s="1683">
        <f>'9. T4 FINANSIERINGSB. '!J30/1000</f>
        <v>24.67</v>
      </c>
      <c r="X64" s="1683">
        <f>'9. T4 FINANSIERINGSB. '!K30/1000</f>
        <v>24.67</v>
      </c>
      <c r="Y64" s="910"/>
      <c r="Z64" s="1665">
        <f>'4. T7 LÅN '!B45</f>
        <v>0</v>
      </c>
      <c r="AA64" s="1666">
        <f>'4. T7 LÅN '!C45/1000</f>
        <v>0</v>
      </c>
      <c r="AB64" s="1644">
        <f>'4. T7 LÅN '!D45</f>
        <v>0</v>
      </c>
      <c r="AC64" s="1667">
        <f>'4. T7 LÅN '!E45*100</f>
        <v>0</v>
      </c>
      <c r="AD64" s="1666"/>
      <c r="AE64" s="1647"/>
      <c r="AF64" s="1668"/>
      <c r="AG64" s="1666">
        <f>'4. T7 LÅN '!I45/1000</f>
        <v>0</v>
      </c>
      <c r="AH64" s="1647">
        <f>'4. T7 LÅN '!J45/1000</f>
        <v>0</v>
      </c>
      <c r="AI64" s="1669">
        <f>'4. T7 LÅN '!K45/1000</f>
        <v>0</v>
      </c>
      <c r="AJ64" s="1666">
        <f>'4. T7 LÅN '!L45/1000</f>
        <v>0</v>
      </c>
      <c r="AK64" s="1647">
        <f>'4. T7 LÅN '!M45/1000</f>
        <v>0</v>
      </c>
      <c r="AL64" s="1669">
        <f>'4. T7 LÅN '!N45/1000</f>
        <v>0</v>
      </c>
      <c r="AM64" s="1666">
        <f>'4. T7 LÅN '!O45/1000</f>
        <v>0</v>
      </c>
      <c r="AN64" s="1647">
        <f>'4. T7 LÅN '!P45/1000</f>
        <v>0</v>
      </c>
      <c r="AO64" s="1669">
        <f>'4. T7 LÅN '!Q45/1000</f>
        <v>0</v>
      </c>
    </row>
    <row r="65" spans="2:50" ht="12" customHeight="1">
      <c r="B65" s="1253" t="s">
        <v>39</v>
      </c>
      <c r="C65" s="1273" t="s">
        <v>226</v>
      </c>
      <c r="D65" s="1700">
        <f>'2. &amp; 7. T2  RESULTATB.'!E21/1000</f>
        <v>0</v>
      </c>
      <c r="E65" s="1696">
        <f>'2. &amp; 7. T2  RESULTATB.'!F21</f>
        <v>0</v>
      </c>
      <c r="F65" s="1700">
        <f>'2. &amp; 7. T2  RESULTATB.'!G21/1000</f>
        <v>-6.6680000000000001</v>
      </c>
      <c r="G65" s="1696">
        <f>'2. &amp; 7. T2  RESULTATB.'!H21</f>
        <v>3.7794882840397679</v>
      </c>
      <c r="H65" s="1700">
        <f>'2. &amp; 7. T2  RESULTATB.'!I21/1000</f>
        <v>-21.675200000000004</v>
      </c>
      <c r="I65" s="1697">
        <f>'2. &amp; 7. T2  RESULTATB.'!J21</f>
        <v>11.237078127430143</v>
      </c>
      <c r="J65" s="1700">
        <f>'2. &amp; 7. T2  RESULTATB.'!K21/1000</f>
        <v>-19.063700000000001</v>
      </c>
      <c r="K65" s="1696">
        <f>'2. &amp; 7. T2  RESULTATB.'!L21</f>
        <v>8.6691121005138072</v>
      </c>
      <c r="L65" s="1700">
        <f>'2. &amp; 7. T2  RESULTATB.'!M21/1000</f>
        <v>-16.853852200000002</v>
      </c>
      <c r="M65" s="1696">
        <f>'2. &amp; 7. T2  RESULTATB.'!N21</f>
        <v>6.4997649001615088</v>
      </c>
      <c r="N65" s="1700">
        <f>'2. &amp; 7. T2  RESULTATB.'!O21/1000</f>
        <v>-14.973771506000002</v>
      </c>
      <c r="O65" s="1696">
        <f>'2. &amp; 7. T2  RESULTATB.'!P21</f>
        <v>5.6066259130479947</v>
      </c>
      <c r="Q65" s="1253"/>
      <c r="R65" s="1286" t="s">
        <v>630</v>
      </c>
      <c r="S65" s="1249"/>
      <c r="T65" s="1250"/>
      <c r="U65" s="1683">
        <f>('9. T4 FINANSIERINGSB. '!H31+'9. T4 FINANSIERINGSB. '!H32)/1000</f>
        <v>0</v>
      </c>
      <c r="V65" s="1683">
        <f>('9. T4 FINANSIERINGSB. '!I31+'9. T4 FINANSIERINGSB. '!I32)/1000</f>
        <v>0</v>
      </c>
      <c r="W65" s="1683">
        <f>('9. T4 FINANSIERINGSB. '!J31+'9. T4 FINANSIERINGSB. '!J32)/1000</f>
        <v>0</v>
      </c>
      <c r="X65" s="1683">
        <f>('9. T4 FINANSIERINGSB. '!K31+'9. T4 FINANSIERINGSB. '!K32)/1000</f>
        <v>0</v>
      </c>
      <c r="Y65" s="910"/>
      <c r="Z65" s="1665">
        <f>'4. T7 LÅN '!B46</f>
        <v>0</v>
      </c>
      <c r="AA65" s="1666">
        <f>'4. T7 LÅN '!C46/1000</f>
        <v>0</v>
      </c>
      <c r="AB65" s="1644">
        <f>'4. T7 LÅN '!D46</f>
        <v>0</v>
      </c>
      <c r="AC65" s="1667">
        <f>'4. T7 LÅN '!E46*100</f>
        <v>0</v>
      </c>
      <c r="AD65" s="1666"/>
      <c r="AE65" s="1647"/>
      <c r="AF65" s="1668"/>
      <c r="AG65" s="1666"/>
      <c r="AH65" s="1647"/>
      <c r="AI65" s="1669"/>
      <c r="AJ65" s="1666">
        <f>'4. T7 LÅN '!L46/1000</f>
        <v>0</v>
      </c>
      <c r="AK65" s="1647">
        <f>'4. T7 LÅN '!M46/1000</f>
        <v>0</v>
      </c>
      <c r="AL65" s="1669">
        <f>'4. T7 LÅN '!N46/1000</f>
        <v>0</v>
      </c>
      <c r="AM65" s="1666">
        <f>'4. T7 LÅN '!O46/1000</f>
        <v>0</v>
      </c>
      <c r="AN65" s="1647">
        <f>'4. T7 LÅN '!P46/1000</f>
        <v>0</v>
      </c>
      <c r="AO65" s="1669">
        <f>'4. T7 LÅN '!Q46/1000</f>
        <v>0</v>
      </c>
    </row>
    <row r="66" spans="2:50" ht="12" customHeight="1" thickBot="1">
      <c r="B66" s="1253" t="s">
        <v>40</v>
      </c>
      <c r="C66" s="1274" t="s">
        <v>227</v>
      </c>
      <c r="D66" s="1695">
        <f>'2. &amp; 7. T2  RESULTATB.'!E22/1000</f>
        <v>0</v>
      </c>
      <c r="E66" s="1701">
        <f>'2. &amp; 7. T2  RESULTATB.'!F22</f>
        <v>0</v>
      </c>
      <c r="F66" s="1695">
        <f>'2. &amp; 7. T2  RESULTATB.'!G22/1000</f>
        <v>3.726</v>
      </c>
      <c r="G66" s="1701">
        <f>'2. &amp; 7. T2  RESULTATB.'!H22</f>
        <v>2.1119336152267807</v>
      </c>
      <c r="H66" s="1695">
        <f>'2. &amp; 7. T2  RESULTATB.'!I22/1000</f>
        <v>-6.9261197102921361</v>
      </c>
      <c r="I66" s="1702">
        <f>'2. &amp; 7. T2  RESULTATB.'!J22</f>
        <v>-3.5907095807414255</v>
      </c>
      <c r="J66" s="1695">
        <f>'2. &amp; 7. T2  RESULTATB.'!K22/1000</f>
        <v>36.234205210485726</v>
      </c>
      <c r="K66" s="1701">
        <f>'2. &amp; 7. T2  RESULTATB.'!L22</f>
        <v>16.47730434504961</v>
      </c>
      <c r="L66" s="1695">
        <f>'2. &amp; 7. T2  RESULTATB.'!M22/1000</f>
        <v>70.390307094325053</v>
      </c>
      <c r="M66" s="1701">
        <f>'2. &amp; 7. T2  RESULTATB.'!N22</f>
        <v>27.146342683798046</v>
      </c>
      <c r="N66" s="1695">
        <f>'2. &amp; 7. T2  RESULTATB.'!O22/1000</f>
        <v>75.017098164780663</v>
      </c>
      <c r="O66" s="1701">
        <f>'2. &amp; 7. T2  RESULTATB.'!P22</f>
        <v>28.088635272936585</v>
      </c>
      <c r="Q66" s="1253"/>
      <c r="R66" s="634" t="s">
        <v>631</v>
      </c>
      <c r="S66" s="1249"/>
      <c r="T66" s="1250"/>
      <c r="U66" s="1683">
        <f>('9. T4 FINANSIERINGSB. '!H33+'9. T4 FINANSIERINGSB. '!H34)/1000</f>
        <v>0</v>
      </c>
      <c r="V66" s="1683">
        <f>('9. T4 FINANSIERINGSB. '!I33+'9. T4 FINANSIERINGSB. '!I34)/1000</f>
        <v>0</v>
      </c>
      <c r="W66" s="1683">
        <f>('9. T4 FINANSIERINGSB. '!J33+'9. T4 FINANSIERINGSB. '!J34)/1000</f>
        <v>0</v>
      </c>
      <c r="X66" s="1683">
        <f>('9. T4 FINANSIERINGSB. '!K33+'9. T4 FINANSIERINGSB. '!K34)/1000</f>
        <v>0</v>
      </c>
      <c r="Y66" s="910"/>
      <c r="Z66" s="1660">
        <f>'4. T7 LÅN '!B47</f>
        <v>0</v>
      </c>
      <c r="AA66" s="1661">
        <f>'4. T7 LÅN '!C47/1000</f>
        <v>0</v>
      </c>
      <c r="AB66" s="1652">
        <f>'4. T7 LÅN '!D47</f>
        <v>0</v>
      </c>
      <c r="AC66" s="1662">
        <f>'4. T7 LÅN '!E47*100</f>
        <v>0</v>
      </c>
      <c r="AD66" s="1661"/>
      <c r="AE66" s="1655"/>
      <c r="AF66" s="1663"/>
      <c r="AG66" s="1661"/>
      <c r="AH66" s="1655"/>
      <c r="AI66" s="1664"/>
      <c r="AJ66" s="1661">
        <f>AG66</f>
        <v>0</v>
      </c>
      <c r="AK66" s="1655">
        <f>AH66</f>
        <v>0</v>
      </c>
      <c r="AL66" s="1664">
        <f>AI66</f>
        <v>0</v>
      </c>
      <c r="AM66" s="1661">
        <f>'4. T7 LÅN '!O47/1000</f>
        <v>0</v>
      </c>
      <c r="AN66" s="1655">
        <f>'4. T7 LÅN '!P47/1000</f>
        <v>0</v>
      </c>
      <c r="AO66" s="1664">
        <f>'4. T7 LÅN '!Q47/1000</f>
        <v>0</v>
      </c>
    </row>
    <row r="67" spans="2:50" ht="12" customHeight="1" thickTop="1">
      <c r="B67" s="1253" t="s">
        <v>124</v>
      </c>
      <c r="C67" s="1273" t="s">
        <v>228</v>
      </c>
      <c r="D67" s="1700">
        <f>'2. &amp; 7. T2  RESULTATB.'!E23/1000</f>
        <v>0</v>
      </c>
      <c r="E67" s="1696">
        <f>'2. &amp; 7. T2  RESULTATB.'!F23</f>
        <v>0</v>
      </c>
      <c r="F67" s="1700">
        <f>'2. &amp; 7. T2  RESULTATB.'!G23/1000</f>
        <v>0</v>
      </c>
      <c r="G67" s="1696">
        <f>'2. &amp; 7. T2  RESULTATB.'!H23</f>
        <v>0</v>
      </c>
      <c r="H67" s="1700">
        <f>'2. &amp; 7. T2  RESULTATB.'!I23/1000</f>
        <v>0</v>
      </c>
      <c r="I67" s="1697">
        <f>'2. &amp; 7. T2  RESULTATB.'!J23</f>
        <v>0</v>
      </c>
      <c r="J67" s="1700">
        <f>'2. &amp; 7. T2  RESULTATB.'!K23/1000</f>
        <v>0</v>
      </c>
      <c r="K67" s="1696">
        <f>'2. &amp; 7. T2  RESULTATB.'!L23</f>
        <v>0</v>
      </c>
      <c r="L67" s="1700">
        <f>'2. &amp; 7. T2  RESULTATB.'!M23/1000</f>
        <v>0</v>
      </c>
      <c r="M67" s="1696">
        <f>'2. &amp; 7. T2  RESULTATB.'!N23</f>
        <v>0</v>
      </c>
      <c r="N67" s="1700">
        <f>'2. &amp; 7. T2  RESULTATB.'!O23/1000</f>
        <v>0</v>
      </c>
      <c r="O67" s="1696">
        <f>'2. &amp; 7. T2  RESULTATB.'!P23</f>
        <v>0</v>
      </c>
      <c r="Q67" s="1253"/>
      <c r="R67" s="633" t="s">
        <v>632</v>
      </c>
      <c r="S67" s="1712"/>
      <c r="T67" s="1712"/>
      <c r="U67" s="1683">
        <f>'9. T4 FINANSIERINGSB. '!H35/1000</f>
        <v>0</v>
      </c>
      <c r="V67" s="1683">
        <f>'9. T4 FINANSIERINGSB. '!I35/1000</f>
        <v>0</v>
      </c>
      <c r="W67" s="1683">
        <f>'9. T4 FINANSIERINGSB. '!J35/1000</f>
        <v>0</v>
      </c>
      <c r="X67" s="1683">
        <f>'9. T4 FINANSIERINGSB. '!K35/1000</f>
        <v>0</v>
      </c>
      <c r="Y67" s="910"/>
      <c r="Z67" s="1348" t="s">
        <v>395</v>
      </c>
      <c r="AA67" s="1608">
        <f>SUM(AA63:AA66)</f>
        <v>0</v>
      </c>
      <c r="AB67" s="1609"/>
      <c r="AC67" s="1610"/>
      <c r="AD67" s="1613">
        <f t="shared" ref="AD67" si="4">SUM(AD63:AD66)</f>
        <v>0</v>
      </c>
      <c r="AE67" s="1474">
        <f t="shared" ref="AE67:AO67" si="5">SUM(AE63:AE66)</f>
        <v>0</v>
      </c>
      <c r="AF67" s="1618">
        <f t="shared" si="5"/>
        <v>0</v>
      </c>
      <c r="AG67" s="1613">
        <f t="shared" si="5"/>
        <v>0</v>
      </c>
      <c r="AH67" s="1474">
        <f t="shared" si="5"/>
        <v>0</v>
      </c>
      <c r="AI67" s="1614">
        <f t="shared" si="5"/>
        <v>0</v>
      </c>
      <c r="AJ67" s="1613">
        <f t="shared" si="5"/>
        <v>0</v>
      </c>
      <c r="AK67" s="1474">
        <f t="shared" si="5"/>
        <v>0</v>
      </c>
      <c r="AL67" s="1614">
        <f t="shared" si="5"/>
        <v>0</v>
      </c>
      <c r="AM67" s="1613">
        <f t="shared" si="5"/>
        <v>0</v>
      </c>
      <c r="AN67" s="1474">
        <f t="shared" si="5"/>
        <v>0</v>
      </c>
      <c r="AO67" s="1614">
        <f t="shared" si="5"/>
        <v>0</v>
      </c>
    </row>
    <row r="68" spans="2:50" ht="12" customHeight="1">
      <c r="B68" s="1253" t="s">
        <v>41</v>
      </c>
      <c r="C68" s="1257" t="s">
        <v>514</v>
      </c>
      <c r="D68" s="1700">
        <f>'2. &amp; 7. T2  RESULTATB.'!E24/1000</f>
        <v>0</v>
      </c>
      <c r="E68" s="1696">
        <f>'2. &amp; 7. T2  RESULTATB.'!F24</f>
        <v>0</v>
      </c>
      <c r="F68" s="1700">
        <f>'2. &amp; 7. T2  RESULTATB.'!G24/1000</f>
        <v>1.6E-2</v>
      </c>
      <c r="G68" s="1696">
        <f>'2. &amp; 7. T2  RESULTATB.'!H24</f>
        <v>9.0689580900774266E-3</v>
      </c>
      <c r="H68" s="1700">
        <f>'2. &amp; 7. T2  RESULTATB.'!I24/1000</f>
        <v>0</v>
      </c>
      <c r="I68" s="1697">
        <f>'2. &amp; 7. T2  RESULTATB.'!J24</f>
        <v>0</v>
      </c>
      <c r="J68" s="1700">
        <f>'2. &amp; 7. T2  RESULTATB.'!K24/1000</f>
        <v>0</v>
      </c>
      <c r="K68" s="1696">
        <f>'2. &amp; 7. T2  RESULTATB.'!L24</f>
        <v>0</v>
      </c>
      <c r="L68" s="1700">
        <f>'2. &amp; 7. T2  RESULTATB.'!M24/1000</f>
        <v>0</v>
      </c>
      <c r="M68" s="1696">
        <f>'2. &amp; 7. T2  RESULTATB.'!N24</f>
        <v>0</v>
      </c>
      <c r="N68" s="1700">
        <f>'2. &amp; 7. T2  RESULTATB.'!O24/1000</f>
        <v>0</v>
      </c>
      <c r="O68" s="1696">
        <f>'2. &amp; 7. T2  RESULTATB.'!P24</f>
        <v>0</v>
      </c>
      <c r="Q68" s="1253"/>
      <c r="R68" s="634" t="s">
        <v>633</v>
      </c>
      <c r="S68" s="1250"/>
      <c r="T68" s="1250"/>
      <c r="U68" s="1683">
        <f>'9. T4 FINANSIERINGSB. '!H36/1000</f>
        <v>0</v>
      </c>
      <c r="V68" s="1683">
        <f>'9. T4 FINANSIERINGSB. '!I36/1000</f>
        <v>0</v>
      </c>
      <c r="W68" s="1683">
        <f>'9. T4 FINANSIERINGSB. '!J36/1000</f>
        <v>0</v>
      </c>
      <c r="X68" s="1683">
        <f>'9. T4 FINANSIERINGSB. '!K36/1000</f>
        <v>0</v>
      </c>
      <c r="Y68" s="910"/>
      <c r="Z68" s="1675" t="s">
        <v>396</v>
      </c>
      <c r="AA68" s="1676">
        <f>'4. T7 LÅN '!C50/1000</f>
        <v>0</v>
      </c>
      <c r="AB68" s="1677"/>
      <c r="AC68" s="1667">
        <f>'4. T7 LÅN '!E50*100</f>
        <v>0</v>
      </c>
      <c r="AD68" s="1678"/>
      <c r="AE68" s="1679"/>
      <c r="AF68" s="1668">
        <f>'4. T7 LÅN '!H50/1000</f>
        <v>0</v>
      </c>
      <c r="AG68" s="1678"/>
      <c r="AH68" s="1679"/>
      <c r="AI68" s="1669">
        <f>'4. T7 LÅN '!K50/1000</f>
        <v>0</v>
      </c>
      <c r="AJ68" s="1678"/>
      <c r="AK68" s="1679"/>
      <c r="AL68" s="1669">
        <f>'4. T7 LÅN '!N50/1000</f>
        <v>0</v>
      </c>
      <c r="AM68" s="1678"/>
      <c r="AN68" s="1679"/>
      <c r="AO68" s="1669">
        <f>'4. T7 LÅN '!Q50/1000</f>
        <v>0</v>
      </c>
    </row>
    <row r="69" spans="2:50" ht="12" customHeight="1">
      <c r="B69" s="1253" t="s">
        <v>42</v>
      </c>
      <c r="C69" s="1257" t="s">
        <v>515</v>
      </c>
      <c r="D69" s="1700">
        <f>'2. &amp; 7. T2  RESULTATB.'!E25/1000</f>
        <v>0</v>
      </c>
      <c r="E69" s="1696">
        <f>'2. &amp; 7. T2  RESULTATB.'!F25</f>
        <v>0</v>
      </c>
      <c r="F69" s="1700">
        <f>'2. &amp; 7. T2  RESULTATB.'!G25/1000</f>
        <v>-0.27600000000000002</v>
      </c>
      <c r="G69" s="1696">
        <f>'2. &amp; 7. T2  RESULTATB.'!H25</f>
        <v>0.1564395270538356</v>
      </c>
      <c r="H69" s="1700">
        <f>'2. &amp; 7. T2  RESULTATB.'!I25/1000</f>
        <v>-8.8280969999999996</v>
      </c>
      <c r="I69" s="1697">
        <f>'2. &amp; 7. T2  RESULTATB.'!J25</f>
        <v>4.5767520348385089</v>
      </c>
      <c r="J69" s="1700">
        <f>'2. &amp; 7. T2  RESULTATB.'!K25/1000</f>
        <v>-8.1906662499999996</v>
      </c>
      <c r="K69" s="1696">
        <f>'2. &amp; 7. T2  RESULTATB.'!L25</f>
        <v>3.7246601603647274</v>
      </c>
      <c r="L69" s="1700">
        <f>'2. &amp; 7. T2  RESULTATB.'!M25/1000</f>
        <v>-7.2332000000000001</v>
      </c>
      <c r="M69" s="1696">
        <f>'2. &amp; 7. T2  RESULTATB.'!N25</f>
        <v>2.7895165400731488</v>
      </c>
      <c r="N69" s="1700">
        <f>'2. &amp; 7. T2  RESULTATB.'!O25/1000</f>
        <v>-6.29976</v>
      </c>
      <c r="O69" s="1696">
        <f>'2. &amp; 7. T2  RESULTATB.'!P25</f>
        <v>2.3588177265714467</v>
      </c>
      <c r="Q69" s="1253"/>
      <c r="R69" s="634" t="s">
        <v>634</v>
      </c>
      <c r="S69" s="1249">
        <v>0</v>
      </c>
      <c r="T69" s="1250"/>
      <c r="U69" s="1683">
        <f>'9. T4 FINANSIERINGSB. '!H37/1000</f>
        <v>12.059243500000001</v>
      </c>
      <c r="V69" s="1683">
        <f>'9. T4 FINANSIERINGSB. '!I37/1000</f>
        <v>0.40734730499999933</v>
      </c>
      <c r="W69" s="1683">
        <f>'9. T4 FINANSIERINGSB. '!J37/1000</f>
        <v>0.4195677241500016</v>
      </c>
      <c r="X69" s="1683">
        <f>'9. T4 FINANSIERINGSB. '!K37/1000</f>
        <v>0.43215475587449875</v>
      </c>
      <c r="Y69" s="910"/>
      <c r="Z69" s="2520" t="s">
        <v>556</v>
      </c>
      <c r="AA69" s="2520"/>
      <c r="AB69" s="2520"/>
      <c r="AC69" s="2520"/>
      <c r="AD69" s="1680"/>
      <c r="AE69" s="1679"/>
      <c r="AF69" s="1668">
        <f>'4. T7 LÅN '!H52/1000</f>
        <v>0</v>
      </c>
      <c r="AG69" s="1678"/>
      <c r="AH69" s="1679"/>
      <c r="AI69" s="1669">
        <f>'4. T7 LÅN '!K52/1000</f>
        <v>0</v>
      </c>
      <c r="AJ69" s="1678"/>
      <c r="AK69" s="1679"/>
      <c r="AL69" s="1669">
        <f>'4. T7 LÅN '!N52/1000</f>
        <v>0</v>
      </c>
      <c r="AM69" s="1678"/>
      <c r="AN69" s="1679"/>
      <c r="AO69" s="1669">
        <f>'4. T7 LÅN '!Q52/1000</f>
        <v>0</v>
      </c>
    </row>
    <row r="70" spans="2:50" ht="22.85" customHeight="1">
      <c r="B70" s="1253" t="s">
        <v>43</v>
      </c>
      <c r="C70" s="1258" t="s">
        <v>534</v>
      </c>
      <c r="D70" s="1695">
        <f>'2. &amp; 7. T2  RESULTATB.'!E26/1000</f>
        <v>0</v>
      </c>
      <c r="E70" s="1701">
        <f>'2. &amp; 7. T2  RESULTATB.'!F26</f>
        <v>0</v>
      </c>
      <c r="F70" s="1695">
        <f>'2. &amp; 7. T2  RESULTATB.'!G26/1000</f>
        <v>3.4660000000000002</v>
      </c>
      <c r="G70" s="1701">
        <f>'2. &amp; 7. T2  RESULTATB.'!H26</f>
        <v>1.9645630462630224</v>
      </c>
      <c r="H70" s="1695">
        <f>'2. &amp; 7. T2  RESULTATB.'!I26/1000</f>
        <v>-15.754216710292136</v>
      </c>
      <c r="I70" s="1702">
        <f>'2. &amp; 7. T2  RESULTATB.'!J26</f>
        <v>-8.1674616155799349</v>
      </c>
      <c r="J70" s="1695">
        <f>'2. &amp; 7. T2  RESULTATB.'!K26/1000</f>
        <v>28.043538960485726</v>
      </c>
      <c r="K70" s="1701">
        <f>'2. &amp; 7. T2  RESULTATB.'!L26</f>
        <v>12.752644184684883</v>
      </c>
      <c r="L70" s="1695">
        <f>'2. &amp; 7. T2  RESULTATB.'!M26/1000</f>
        <v>63.157107094325049</v>
      </c>
      <c r="M70" s="1701">
        <f>'2. &amp; 7. T2  RESULTATB.'!N26</f>
        <v>24.356826143724895</v>
      </c>
      <c r="N70" s="1695">
        <f>'2. &amp; 7. T2  RESULTATB.'!O26/1000</f>
        <v>68.717338164780671</v>
      </c>
      <c r="O70" s="1701">
        <f>'2. &amp; 7. T2  RESULTATB.'!P26</f>
        <v>25.729817546365137</v>
      </c>
      <c r="Q70" s="1253"/>
      <c r="R70" s="633" t="s">
        <v>665</v>
      </c>
      <c r="S70" s="1245"/>
      <c r="T70" s="1246"/>
      <c r="U70" s="1683">
        <f>'9. T4 FINANSIERINGSB. '!H38/1000</f>
        <v>0</v>
      </c>
      <c r="V70" s="1683">
        <f>'9. T4 FINANSIERINGSB. '!I38/1000</f>
        <v>0</v>
      </c>
      <c r="W70" s="1683">
        <f>'9. T4 FINANSIERINGSB. '!J38/1000</f>
        <v>0</v>
      </c>
      <c r="X70" s="1683">
        <f>'9. T4 FINANSIERINGSB. '!K38/1000</f>
        <v>0</v>
      </c>
      <c r="Y70" s="910"/>
      <c r="Z70" s="2519" t="s">
        <v>397</v>
      </c>
      <c r="AA70" s="2519"/>
      <c r="AB70" s="2519"/>
      <c r="AC70" s="2519"/>
      <c r="AD70" s="1670"/>
      <c r="AE70" s="1671"/>
      <c r="AF70" s="1672">
        <f>'4. T7 LÅN '!H54/1000</f>
        <v>0</v>
      </c>
      <c r="AG70" s="1673"/>
      <c r="AH70" s="1671"/>
      <c r="AI70" s="1674">
        <f>'4. T7 LÅN '!K54/1000</f>
        <v>0</v>
      </c>
      <c r="AJ70" s="1673"/>
      <c r="AK70" s="1671"/>
      <c r="AL70" s="1674">
        <f>'4. T7 LÅN '!N54/1000</f>
        <v>0</v>
      </c>
      <c r="AM70" s="1673"/>
      <c r="AN70" s="1671"/>
      <c r="AO70" s="1674">
        <f>'4. T7 LÅN '!Q54/1000</f>
        <v>0</v>
      </c>
    </row>
    <row r="71" spans="2:50" ht="12" customHeight="1">
      <c r="B71" s="1253" t="s">
        <v>44</v>
      </c>
      <c r="C71" s="1257" t="s">
        <v>232</v>
      </c>
      <c r="D71" s="1700">
        <f>'2. &amp; 7. T2  RESULTATB.'!E27/1000</f>
        <v>0</v>
      </c>
      <c r="E71" s="1696">
        <f>'2. &amp; 7. T2  RESULTATB.'!F27</f>
        <v>0</v>
      </c>
      <c r="F71" s="1700">
        <f>'2. &amp; 7. T2  RESULTATB.'!G27/1000</f>
        <v>-0.70399999999999996</v>
      </c>
      <c r="G71" s="1696">
        <f>'2. &amp; 7. T2  RESULTATB.'!H27</f>
        <v>0.3990341559634068</v>
      </c>
      <c r="H71" s="1700">
        <f>'2. &amp; 7. T2  RESULTATB.'!I27/1000</f>
        <v>0</v>
      </c>
      <c r="I71" s="1697">
        <f>'2. &amp; 7. T2  RESULTATB.'!J27</f>
        <v>0</v>
      </c>
      <c r="J71" s="1700">
        <f>'2. &amp; 7. T2  RESULTATB.'!K27/1000</f>
        <v>-5.608707792097146</v>
      </c>
      <c r="K71" s="1696">
        <f>'2. &amp; 7. T2  RESULTATB.'!L27</f>
        <v>2.5505288369369774</v>
      </c>
      <c r="L71" s="1700">
        <f>'2. &amp; 7. T2  RESULTATB.'!M27/1000</f>
        <v>-12.631421418865012</v>
      </c>
      <c r="M71" s="1696">
        <f>'2. &amp; 7. T2  RESULTATB.'!N27</f>
        <v>4.8713652287449793</v>
      </c>
      <c r="N71" s="1700">
        <f>'2. &amp; 7. T2  RESULTATB.'!O27/1000</f>
        <v>-13.743467632956133</v>
      </c>
      <c r="O71" s="1696">
        <f>'2. &amp; 7. T2  RESULTATB.'!P27</f>
        <v>5.1459635092730283</v>
      </c>
      <c r="Q71" s="1253"/>
      <c r="R71" s="632" t="s">
        <v>635</v>
      </c>
      <c r="S71" s="1249"/>
      <c r="T71" s="1250"/>
      <c r="U71" s="1683">
        <f>'9. T4 FINANSIERINGSB. '!H39/1000</f>
        <v>0.70144000000000006</v>
      </c>
      <c r="V71" s="1683">
        <f>'9. T4 FINANSIERINGSB. '!I39/1000</f>
        <v>0</v>
      </c>
      <c r="W71" s="1683">
        <f>'9. T4 FINANSIERINGSB. '!J39/1000</f>
        <v>1.1797739566477154</v>
      </c>
      <c r="X71" s="1683">
        <f>'9. T4 FINANSIERINGSB. '!K39/1000</f>
        <v>5.1274468941527021</v>
      </c>
      <c r="Y71" s="910"/>
      <c r="Z71" s="1861" t="s">
        <v>398</v>
      </c>
      <c r="AA71" s="1209">
        <f>AA59+AA36+AA67+AA68+AA38+AA69</f>
        <v>230.745</v>
      </c>
      <c r="AB71" s="1305"/>
      <c r="AC71" s="1307"/>
      <c r="AD71" s="1615">
        <f>AD59+AD67</f>
        <v>230</v>
      </c>
      <c r="AE71" s="1306">
        <f>AE59+AD36+AE67+AD38</f>
        <v>16.936</v>
      </c>
      <c r="AF71" s="1619">
        <f>AF36+AF67+AF68+AF70+AF38+AF69+AF59</f>
        <v>8.8280969999999996</v>
      </c>
      <c r="AG71" s="1615">
        <f>AG59+AG67</f>
        <v>0</v>
      </c>
      <c r="AH71" s="1306">
        <f>AH59+AG36+AH67+AG38</f>
        <v>25.415000000000003</v>
      </c>
      <c r="AI71" s="1616">
        <f>AI36+AI67+AI68+AI70+AI38+AI69+AI59</f>
        <v>8.1906662500000014</v>
      </c>
      <c r="AJ71" s="1615">
        <f>AJ59+AJ67</f>
        <v>0</v>
      </c>
      <c r="AK71" s="1306">
        <f>AK59+AJ36+AK67+AJ38</f>
        <v>24.67</v>
      </c>
      <c r="AL71" s="1616">
        <f>AL36+AL67+AL68+AL70+AL38+AL69+AL59</f>
        <v>7.2332000000000001</v>
      </c>
      <c r="AM71" s="1615">
        <f>AM59+AM67</f>
        <v>0</v>
      </c>
      <c r="AN71" s="1306">
        <f>AN59+AM36+AN67+AM38</f>
        <v>24.67</v>
      </c>
      <c r="AO71" s="1616">
        <f>AO36+AO67+AO68+AO70+AO38+AO69+AO59</f>
        <v>6.29976</v>
      </c>
    </row>
    <row r="72" spans="2:50" ht="12" customHeight="1">
      <c r="B72" s="1253" t="s">
        <v>45</v>
      </c>
      <c r="C72" s="1257" t="s">
        <v>234</v>
      </c>
      <c r="D72" s="1700">
        <f>'2. &amp; 7. T2  RESULTATB.'!E29/1000</f>
        <v>0</v>
      </c>
      <c r="E72" s="1696">
        <f>'2. &amp; 7. T2  RESULTATB.'!F28</f>
        <v>0</v>
      </c>
      <c r="F72" s="1700">
        <f>'2. &amp; 7. T2  RESULTATB.'!G29/1000</f>
        <v>0</v>
      </c>
      <c r="G72" s="1696">
        <f>'2. &amp; 7. T2  RESULTATB.'!H28</f>
        <v>0</v>
      </c>
      <c r="H72" s="1700">
        <f>'2. &amp; 7. T2  RESULTATB.'!I29/1000</f>
        <v>0</v>
      </c>
      <c r="I72" s="1697">
        <f>'2. &amp; 7. T2  RESULTATB.'!J28</f>
        <v>0</v>
      </c>
      <c r="J72" s="1700">
        <f>'2. &amp; 7. T2  RESULTATB.'!K29/1000</f>
        <v>0</v>
      </c>
      <c r="K72" s="1696">
        <f>'2. &amp; 7. T2  RESULTATB.'!L28</f>
        <v>0</v>
      </c>
      <c r="L72" s="1700">
        <f>'2. &amp; 7. T2  RESULTATB.'!M29/1000</f>
        <v>0</v>
      </c>
      <c r="M72" s="1696">
        <f>'2. &amp; 7. T2  RESULTATB.'!N28</f>
        <v>0</v>
      </c>
      <c r="N72" s="1700">
        <f>'2. &amp; 7. T2  RESULTATB.'!O29/1000</f>
        <v>0</v>
      </c>
      <c r="O72" s="1696">
        <f>'2. &amp; 7. T2  RESULTATB.'!P28</f>
        <v>0</v>
      </c>
      <c r="Q72" s="1253"/>
      <c r="R72" s="632" t="s">
        <v>666</v>
      </c>
      <c r="S72" s="1249"/>
      <c r="T72" s="1250"/>
      <c r="U72" s="1683">
        <f>'9. T4 FINANSIERINGSB. '!H40/1000</f>
        <v>0</v>
      </c>
      <c r="V72" s="1683">
        <f>'9. T4 FINANSIERINGSB. '!I40/1000</f>
        <v>0</v>
      </c>
      <c r="W72" s="1683">
        <f>'9. T4 FINANSIERINGSB. '!J40/1000</f>
        <v>0</v>
      </c>
      <c r="X72" s="1683">
        <f>'9. T4 FINANSIERINGSB. '!K40/1000</f>
        <v>0</v>
      </c>
      <c r="Y72" s="910"/>
      <c r="Z72" s="1481"/>
      <c r="AA72" s="1481"/>
      <c r="AB72" s="1481"/>
      <c r="AC72" s="1481"/>
      <c r="AD72" s="1481"/>
      <c r="AE72" s="1481"/>
      <c r="AF72" s="1481"/>
      <c r="AG72" s="1481"/>
      <c r="AH72" s="1481"/>
      <c r="AI72" s="1481"/>
      <c r="AJ72" s="1481"/>
      <c r="AK72" s="1481"/>
      <c r="AL72" s="1481"/>
      <c r="AM72" s="1481"/>
      <c r="AN72" s="1481"/>
      <c r="AO72" s="1481"/>
    </row>
    <row r="73" spans="2:50" ht="12" customHeight="1">
      <c r="B73" s="1253" t="s">
        <v>46</v>
      </c>
      <c r="C73" s="1257" t="s">
        <v>237</v>
      </c>
      <c r="D73" s="1700">
        <f>'2. &amp; 7. T2  RESULTATB.'!E30/1000</f>
        <v>0</v>
      </c>
      <c r="E73" s="1696">
        <f>'2. &amp; 7. T2  RESULTATB.'!F29</f>
        <v>0</v>
      </c>
      <c r="F73" s="1700">
        <f>'2. &amp; 7. T2  RESULTATB.'!G30/1000</f>
        <v>0</v>
      </c>
      <c r="G73" s="1696">
        <f>'2. &amp; 7. T2  RESULTATB.'!H29</f>
        <v>0</v>
      </c>
      <c r="H73" s="1700">
        <f>'2. &amp; 7. T2  RESULTATB.'!I30/1000</f>
        <v>0</v>
      </c>
      <c r="I73" s="1697">
        <f>'2. &amp; 7. T2  RESULTATB.'!J29</f>
        <v>0</v>
      </c>
      <c r="J73" s="1700">
        <f>'2. &amp; 7. T2  RESULTATB.'!K30/1000</f>
        <v>0</v>
      </c>
      <c r="K73" s="1696">
        <f>'2. &amp; 7. T2  RESULTATB.'!L29</f>
        <v>0</v>
      </c>
      <c r="L73" s="1700">
        <f>'2. &amp; 7. T2  RESULTATB.'!M30/1000</f>
        <v>0</v>
      </c>
      <c r="M73" s="1696">
        <f>'2. &amp; 7. T2  RESULTATB.'!N29</f>
        <v>0</v>
      </c>
      <c r="N73" s="1700">
        <f>'2. &amp; 7. T2  RESULTATB.'!O30/1000</f>
        <v>0</v>
      </c>
      <c r="O73" s="1696">
        <f>'2. &amp; 7. T2  RESULTATB.'!P29</f>
        <v>0</v>
      </c>
      <c r="Q73" s="1253"/>
      <c r="R73" s="633" t="s">
        <v>636</v>
      </c>
      <c r="S73" s="1249"/>
      <c r="T73" s="1250"/>
      <c r="U73" s="1683">
        <f>'9. T4 FINANSIERINGSB. '!H41/1000</f>
        <v>234.88645783893406</v>
      </c>
      <c r="V73" s="1683">
        <f>'9. T4 FINANSIERINGSB. '!I41/1000</f>
        <v>26.098081432008055</v>
      </c>
      <c r="W73" s="1683">
        <f>'9. T4 FINANSIERINGSB. '!J41/1000</f>
        <v>26.582182203444301</v>
      </c>
      <c r="X73" s="1683">
        <f>'9. T4 FINANSIERINGSB. '!K41/1000</f>
        <v>29.558312192472549</v>
      </c>
      <c r="Y73" s="910"/>
      <c r="Z73" s="1481"/>
      <c r="AA73" s="1481"/>
      <c r="AB73" s="1481"/>
      <c r="AC73" s="1481"/>
      <c r="AD73" s="1481"/>
      <c r="AE73" s="1481"/>
      <c r="AF73" s="1481"/>
      <c r="AG73" s="1481"/>
      <c r="AH73" s="1481"/>
      <c r="AI73" s="1481"/>
      <c r="AJ73" s="1481"/>
      <c r="AK73" s="1481"/>
      <c r="AL73" s="1481"/>
      <c r="AM73" s="1481"/>
      <c r="AN73" s="1481"/>
      <c r="AO73" s="878"/>
    </row>
    <row r="74" spans="2:50" ht="12" customHeight="1">
      <c r="B74" s="1253" t="s">
        <v>533</v>
      </c>
      <c r="C74" s="1128" t="s">
        <v>235</v>
      </c>
      <c r="D74" s="1703">
        <f>'2. &amp; 7. T2  RESULTATB.'!E31/1000</f>
        <v>0</v>
      </c>
      <c r="E74" s="1704">
        <f>'2. &amp; 7. T2  RESULTATB.'!F30</f>
        <v>0</v>
      </c>
      <c r="F74" s="1703">
        <f>'2. &amp; 7. T2  RESULTATB.'!G31/1000</f>
        <v>2.762</v>
      </c>
      <c r="G74" s="1704">
        <f>'2. &amp; 7. T2  RESULTATB.'!H30</f>
        <v>0</v>
      </c>
      <c r="H74" s="1703">
        <f>'2. &amp; 7. T2  RESULTATB.'!I31/1000</f>
        <v>-15.754216710292136</v>
      </c>
      <c r="I74" s="1705">
        <f>'2. &amp; 7. T2  RESULTATB.'!J30</f>
        <v>0</v>
      </c>
      <c r="J74" s="1703">
        <f>'2. &amp; 7. T2  RESULTATB.'!K31/1000</f>
        <v>22.43483116838858</v>
      </c>
      <c r="K74" s="1706">
        <f>'2. &amp; 7. T2  RESULTATB.'!L30</f>
        <v>0</v>
      </c>
      <c r="L74" s="1703">
        <f>'2. &amp; 7. T2  RESULTATB.'!M31/1000</f>
        <v>50.525685675460046</v>
      </c>
      <c r="M74" s="1704">
        <f>'2. &amp; 7. T2  RESULTATB.'!N30</f>
        <v>0</v>
      </c>
      <c r="N74" s="1703">
        <f>'2. &amp; 7. T2  RESULTATB.'!O31/1000</f>
        <v>54.973870531824531</v>
      </c>
      <c r="O74" s="1704">
        <f>'2. &amp; 7. T2  RESULTATB.'!P30</f>
        <v>0</v>
      </c>
      <c r="Q74" s="1253"/>
      <c r="R74" s="634" t="s">
        <v>637</v>
      </c>
      <c r="S74" s="1249"/>
      <c r="T74" s="1250"/>
      <c r="U74" s="1683">
        <f>'9. T4 FINANSIERINGSB. '!H42/1000</f>
        <v>1.0345254507737991</v>
      </c>
      <c r="V74" s="1683">
        <f>'9. T4 FINANSIERINGSB. '!I42/1000</f>
        <v>15.400449736380528</v>
      </c>
      <c r="W74" s="1683">
        <f>'9. T4 FINANSIERINGSB. '!J42/1000</f>
        <v>40.797355672015748</v>
      </c>
      <c r="X74" s="1683">
        <f>'9. T4 FINANSIERINGSB. '!K42/1000</f>
        <v>40.389329845351988</v>
      </c>
      <c r="Y74" s="910"/>
      <c r="Z74" s="875"/>
      <c r="AA74" s="874"/>
      <c r="AB74" s="877"/>
      <c r="AC74" s="877"/>
      <c r="AD74" s="878"/>
      <c r="AE74" s="878"/>
      <c r="AF74" s="878"/>
      <c r="AG74" s="878"/>
      <c r="AH74" s="878"/>
      <c r="AI74" s="878"/>
      <c r="AJ74" s="878"/>
      <c r="AK74" s="878"/>
      <c r="AL74" s="878"/>
      <c r="AM74" s="878"/>
      <c r="AN74" s="878"/>
      <c r="AO74" s="993"/>
    </row>
    <row r="75" spans="2:50" ht="12" customHeight="1">
      <c r="B75" s="1253"/>
      <c r="C75" s="1269" t="s">
        <v>236</v>
      </c>
      <c r="D75" s="2475">
        <f>'2. &amp; 7. T2  RESULTATB.'!E33</f>
        <v>1</v>
      </c>
      <c r="E75" s="2475"/>
      <c r="F75" s="2475">
        <f>'2. &amp; 7. T2  RESULTATB.'!G33</f>
        <v>4</v>
      </c>
      <c r="G75" s="2475"/>
      <c r="H75" s="2475">
        <f>'2. &amp; 7. T2  RESULTATB.'!I33</f>
        <v>4</v>
      </c>
      <c r="I75" s="2475"/>
      <c r="J75" s="2475">
        <f>'2. &amp; 7. T2  RESULTATB.'!K33</f>
        <v>4</v>
      </c>
      <c r="K75" s="2475"/>
      <c r="L75" s="2475">
        <f>'2. &amp; 7. T2  RESULTATB.'!M33</f>
        <v>4</v>
      </c>
      <c r="M75" s="2475"/>
      <c r="N75" s="2475">
        <f>'2. &amp; 7. T2  RESULTATB.'!O33</f>
        <v>4</v>
      </c>
      <c r="O75" s="2475"/>
      <c r="Q75" s="1253"/>
      <c r="R75" s="1287" t="s">
        <v>638</v>
      </c>
      <c r="S75" s="1710"/>
      <c r="T75" s="1711"/>
      <c r="U75" s="859">
        <f>'9. T4 FINANSIERINGSB. '!H43/1000</f>
        <v>3.7475254507737992</v>
      </c>
      <c r="V75" s="859">
        <f>'9. T4 FINANSIERINGSB. '!I43/1000</f>
        <v>19.147975187154326</v>
      </c>
      <c r="W75" s="859">
        <f>'9. T4 FINANSIERINGSB. '!J43/1000</f>
        <v>59.945330859170078</v>
      </c>
      <c r="X75" s="859">
        <f>'9. T4 FINANSIERINGSB. '!K43/1000</f>
        <v>100.33466070452208</v>
      </c>
      <c r="Y75" s="910"/>
      <c r="Z75" s="1481"/>
      <c r="AA75" s="1481"/>
      <c r="AB75" s="1481"/>
      <c r="AC75" s="1481"/>
      <c r="AD75" s="1481"/>
      <c r="AE75" s="1481"/>
      <c r="AF75" s="1481"/>
      <c r="AG75" s="1481"/>
      <c r="AH75" s="1481"/>
      <c r="AI75" s="1481"/>
      <c r="AJ75" s="1481"/>
      <c r="AK75" s="1481"/>
      <c r="AL75" s="1481"/>
      <c r="AM75" s="1481"/>
      <c r="AN75" s="1481"/>
      <c r="AO75" s="1481"/>
    </row>
    <row r="76" spans="2:50" ht="12" customHeight="1">
      <c r="B76" s="1253"/>
      <c r="C76" s="1270" t="s">
        <v>513</v>
      </c>
      <c r="D76" s="2474">
        <f>'9. T4 FINANSIERINGSB. '!P14</f>
        <v>0</v>
      </c>
      <c r="E76" s="2474"/>
      <c r="F76" s="2474">
        <f>'9. T4 FINANSIERINGSB. '!Q14</f>
        <v>43971.5</v>
      </c>
      <c r="G76" s="2474"/>
      <c r="H76" s="2474">
        <f>'9. T4 FINANSIERINGSB. '!R14</f>
        <v>48087.5</v>
      </c>
      <c r="I76" s="2474"/>
      <c r="J76" s="2474">
        <f>'9. T4 FINANSIERINGSB. '!S14</f>
        <v>54838.229999999996</v>
      </c>
      <c r="K76" s="2474"/>
      <c r="L76" s="2474">
        <f>'9. T4 FINANSIERINGSB. '!T14</f>
        <v>64684.399124999989</v>
      </c>
      <c r="M76" s="2474"/>
      <c r="N76" s="2474">
        <f>'9. T4 FINANSIERINGSB. '!U14</f>
        <v>66624.931098750007</v>
      </c>
      <c r="O76" s="2474"/>
      <c r="Q76" s="1252"/>
      <c r="R76" s="2483" t="s">
        <v>325</v>
      </c>
      <c r="S76" s="2484"/>
      <c r="T76" s="2484"/>
      <c r="U76" s="1471">
        <f>'9. T4 FINANSIERINGSB. '!H44</f>
        <v>35.532170464742627</v>
      </c>
      <c r="V76" s="1471">
        <f>'9. T4 FINANSIERINGSB. '!I44</f>
        <v>229.63905027559892</v>
      </c>
      <c r="W76" s="1471">
        <f>'9. T4 FINANSIERINGSB. '!J44</f>
        <v>700.99570980607746</v>
      </c>
      <c r="X76" s="1471">
        <f>'9. T4 FINANSIERINGSB. '!K44</f>
        <v>1143.9348135676216</v>
      </c>
      <c r="Y76" s="910"/>
      <c r="Z76" s="1481"/>
      <c r="AA76" s="1481"/>
      <c r="AB76" s="1481"/>
      <c r="AC76" s="1481"/>
      <c r="AD76" s="1481"/>
      <c r="AE76" s="1481"/>
      <c r="AF76" s="1481"/>
      <c r="AG76" s="1481"/>
      <c r="AH76" s="1481"/>
      <c r="AI76" s="1481"/>
      <c r="AJ76" s="1481"/>
      <c r="AK76" s="1481"/>
      <c r="AL76" s="1481"/>
      <c r="AM76" s="1481"/>
      <c r="AN76" s="1481"/>
      <c r="AO76" s="1481"/>
    </row>
    <row r="77" spans="2:50" ht="11.25" customHeight="1">
      <c r="B77" s="635"/>
      <c r="C77" s="631"/>
      <c r="D77" s="646"/>
      <c r="E77" s="646"/>
      <c r="F77" s="646"/>
      <c r="G77" s="646"/>
      <c r="H77" s="646"/>
      <c r="I77" s="646"/>
      <c r="J77" s="646"/>
      <c r="K77" s="646"/>
      <c r="L77" s="646"/>
      <c r="M77" s="646"/>
      <c r="N77" s="646"/>
      <c r="O77" s="646"/>
      <c r="Q77" s="1482"/>
      <c r="R77" s="1481"/>
      <c r="S77" s="1481"/>
      <c r="T77" s="1481"/>
      <c r="U77" s="1481"/>
      <c r="V77" s="1481"/>
      <c r="W77" s="1481"/>
      <c r="X77" s="1481"/>
      <c r="Y77" s="910"/>
      <c r="Z77" s="1481"/>
      <c r="AA77" s="1481"/>
      <c r="AB77" s="1481"/>
      <c r="AC77" s="1481"/>
      <c r="AD77" s="1481"/>
      <c r="AE77" s="1481"/>
      <c r="AF77" s="1481"/>
      <c r="AG77" s="1481"/>
      <c r="AH77" s="1481"/>
      <c r="AI77" s="1481"/>
      <c r="AJ77" s="1481"/>
      <c r="AK77" s="1481"/>
      <c r="AL77" s="1481"/>
      <c r="AM77" s="1481"/>
      <c r="AN77" s="1481"/>
      <c r="AO77" s="1481"/>
    </row>
    <row r="78" spans="2:50" ht="12" customHeight="1">
      <c r="B78" s="44"/>
      <c r="C78" s="140"/>
      <c r="D78" s="140"/>
      <c r="E78" s="140"/>
      <c r="P78" s="771"/>
      <c r="Q78" s="44"/>
      <c r="R78" s="1481"/>
      <c r="S78" s="1481"/>
      <c r="T78" s="1481"/>
      <c r="U78" s="1481"/>
      <c r="V78" s="1481"/>
      <c r="W78" s="1481"/>
      <c r="X78" s="1481"/>
      <c r="Y78" s="910"/>
      <c r="Z78" s="44"/>
      <c r="AA78" s="1481"/>
      <c r="AB78" s="1481"/>
      <c r="AC78" s="1481"/>
      <c r="AD78" s="1481"/>
      <c r="AE78" s="1481"/>
      <c r="AF78" s="1481"/>
      <c r="AG78" s="1481"/>
      <c r="AH78" s="1481"/>
      <c r="AI78" s="1481"/>
      <c r="AJ78" s="1481"/>
      <c r="AK78" s="1481"/>
      <c r="AL78" s="1481"/>
      <c r="AM78" s="1481"/>
      <c r="AN78" s="1481"/>
      <c r="AO78" s="1481"/>
      <c r="AQ78" s="44"/>
    </row>
    <row r="79" spans="2:50" ht="11.25" customHeight="1">
      <c r="B79" s="2101"/>
      <c r="C79" s="2101"/>
      <c r="D79" s="2101"/>
      <c r="E79" s="2101"/>
      <c r="F79" s="119"/>
      <c r="G79" s="119"/>
      <c r="H79" s="119"/>
      <c r="I79" s="119"/>
      <c r="J79" s="119"/>
      <c r="O79" s="164" t="str">
        <f>STARTSIDAN!J5</f>
        <v xml:space="preserve">Tjänsten erbjuds av: </v>
      </c>
      <c r="Q79" s="2101">
        <f>B79</f>
        <v>0</v>
      </c>
      <c r="R79" s="2101"/>
      <c r="S79" s="2101"/>
      <c r="T79" s="2101"/>
      <c r="U79" s="1481"/>
      <c r="V79" s="1481"/>
      <c r="W79" s="1481"/>
      <c r="X79" s="164" t="str">
        <f>STARTSIDAN!J5</f>
        <v xml:space="preserve">Tjänsten erbjuds av: </v>
      </c>
      <c r="Y79" s="910"/>
      <c r="Z79" s="2101">
        <f>B79</f>
        <v>0</v>
      </c>
      <c r="AA79" s="2101"/>
      <c r="AB79" s="2101"/>
      <c r="AC79" s="2101"/>
      <c r="AD79" s="1481"/>
      <c r="AE79" s="1481"/>
      <c r="AF79" s="1481"/>
      <c r="AG79" s="1481"/>
      <c r="AH79" s="1481"/>
      <c r="AI79" s="1481"/>
      <c r="AJ79" s="1481"/>
      <c r="AK79" s="1481"/>
      <c r="AL79" s="1481"/>
      <c r="AM79" s="1481"/>
      <c r="AN79" s="1481"/>
      <c r="AO79" s="164" t="str">
        <f>STARTSIDAN!J5</f>
        <v xml:space="preserve">Tjänsten erbjuds av: </v>
      </c>
      <c r="AQ79" s="2101">
        <f>B79</f>
        <v>0</v>
      </c>
      <c r="AR79" s="2101"/>
      <c r="AS79" s="2101"/>
      <c r="AT79" s="2101"/>
      <c r="AU79" s="991"/>
      <c r="AV79" s="991"/>
      <c r="AW79" s="991"/>
      <c r="AX79" s="164" t="str">
        <f>STARTSIDAN!J5</f>
        <v xml:space="preserve">Tjänsten erbjuds av: </v>
      </c>
    </row>
    <row r="80" spans="2:50" ht="11.25" customHeight="1">
      <c r="B80" s="496" t="str">
        <f>STARTSIDAN!D26</f>
        <v>FT22 Det aktiva företagets resultatplan</v>
      </c>
      <c r="H80" s="2450" t="str">
        <f>STARTSIDAN!H7</f>
        <v>Dynamo Närpes och Kristinestads näringslivscentral Ab</v>
      </c>
      <c r="I80" s="2450"/>
      <c r="J80" s="2450"/>
      <c r="K80" s="2450"/>
      <c r="L80" s="2450"/>
      <c r="M80" s="2450"/>
      <c r="N80" s="2450"/>
      <c r="O80" s="2450"/>
      <c r="Q80" s="77" t="s">
        <v>0</v>
      </c>
      <c r="R80" s="51" t="str">
        <f>STARTSIDAN!D26</f>
        <v>FT22 Det aktiva företagets resultatplan</v>
      </c>
      <c r="S80" s="1481"/>
      <c r="T80" s="1481"/>
      <c r="U80" s="2485" t="str">
        <f>H80</f>
        <v>Dynamo Närpes och Kristinestads näringslivscentral Ab</v>
      </c>
      <c r="V80" s="2485"/>
      <c r="W80" s="2485"/>
      <c r="X80" s="2485"/>
      <c r="Y80" s="910"/>
      <c r="Z80" s="2490" t="str">
        <f>STARTSIDAN!D26</f>
        <v>FT22 Det aktiva företagets resultatplan</v>
      </c>
      <c r="AA80" s="2490"/>
      <c r="AB80" s="2490"/>
      <c r="AC80" s="2490"/>
      <c r="AD80" s="910"/>
      <c r="AE80" s="910"/>
      <c r="AF80" s="1481"/>
      <c r="AG80" s="1481"/>
      <c r="AH80" s="2491" t="str">
        <f>U80</f>
        <v>Dynamo Närpes och Kristinestads näringslivscentral Ab</v>
      </c>
      <c r="AI80" s="2491"/>
      <c r="AJ80" s="2491"/>
      <c r="AK80" s="2491"/>
      <c r="AL80" s="2491"/>
      <c r="AM80" s="2491"/>
      <c r="AN80" s="2491"/>
      <c r="AO80" s="2491"/>
      <c r="AQ80" s="2521" t="str">
        <f>STARTSIDAN!D26</f>
        <v>FT22 Det aktiva företagets resultatplan</v>
      </c>
      <c r="AR80" s="2521"/>
      <c r="AT80" s="2491" t="str">
        <f>AH80</f>
        <v>Dynamo Närpes och Kristinestads näringslivscentral Ab</v>
      </c>
      <c r="AU80" s="2491"/>
      <c r="AV80" s="2491"/>
      <c r="AW80" s="2491"/>
      <c r="AX80" s="2491"/>
    </row>
    <row r="81" spans="1:31" ht="11.25" customHeight="1">
      <c r="AB81" s="910"/>
      <c r="AC81" s="910"/>
      <c r="AD81" s="910"/>
      <c r="AE81" s="910"/>
    </row>
    <row r="82" spans="1:31" ht="11.25" customHeight="1">
      <c r="AB82" s="910"/>
      <c r="AC82" s="910"/>
      <c r="AD82" s="910"/>
      <c r="AE82" s="910"/>
    </row>
    <row r="83" spans="1:31" s="51" customFormat="1" ht="11.25" customHeight="1">
      <c r="A83"/>
      <c r="Q83" s="95"/>
      <c r="AB83" s="1472"/>
      <c r="AC83" s="1472"/>
      <c r="AD83" s="1472"/>
      <c r="AE83" s="1472"/>
    </row>
    <row r="84" spans="1:31" ht="11.25" customHeight="1">
      <c r="AE84" s="910"/>
    </row>
    <row r="85" spans="1:31" ht="11.25" customHeight="1"/>
    <row r="86" spans="1:31" s="51" customFormat="1" ht="11.25" customHeight="1">
      <c r="A86"/>
      <c r="Q86" s="95"/>
    </row>
    <row r="87" spans="1:31" ht="11.25" customHeight="1"/>
    <row r="88" spans="1:31" ht="11.25" customHeight="1"/>
    <row r="89" spans="1:31" ht="11.25" customHeight="1">
      <c r="S89">
        <v>0</v>
      </c>
    </row>
    <row r="90" spans="1:31" ht="11.25" customHeight="1"/>
    <row r="91" spans="1:31" ht="11.25" customHeight="1"/>
    <row r="92" spans="1:31" ht="11.25" customHeight="1"/>
    <row r="93" spans="1:31" ht="12" customHeight="1"/>
    <row r="94" spans="1:31" ht="12" customHeight="1"/>
    <row r="95" spans="1:31" ht="11.25" customHeight="1"/>
    <row r="96" spans="1:3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spans="17:20" s="51" customFormat="1" ht="11.25" customHeight="1">
      <c r="Q113" s="95"/>
    </row>
    <row r="114" spans="17:20" ht="11.25" customHeight="1"/>
    <row r="115" spans="17:20" ht="11.25" customHeight="1"/>
    <row r="116" spans="17:20" ht="11.25" customHeight="1"/>
    <row r="117" spans="17:20" ht="11.25" customHeight="1"/>
    <row r="118" spans="17:20" ht="4.5" customHeight="1"/>
    <row r="119" spans="17:20" ht="11.25" customHeight="1"/>
    <row r="120" spans="17:20" ht="11.25" customHeight="1"/>
    <row r="121" spans="17:20" ht="11.25" customHeight="1"/>
    <row r="122" spans="17:20" ht="11.25" customHeight="1">
      <c r="Q122" s="2211"/>
      <c r="R122" s="2211"/>
      <c r="S122" s="769"/>
      <c r="T122" s="769"/>
    </row>
    <row r="123" spans="17:20" ht="11.25" customHeight="1">
      <c r="Q123" s="2211"/>
      <c r="R123" s="2211"/>
    </row>
    <row r="124" spans="17:20" ht="11.25" customHeight="1">
      <c r="Q124" s="2211"/>
      <c r="R124" s="2211"/>
    </row>
    <row r="125" spans="17:20" ht="11.25" customHeight="1"/>
    <row r="126" spans="17:20" ht="11.25" customHeight="1">
      <c r="Q126" s="966"/>
      <c r="R126" s="185"/>
      <c r="S126" s="185"/>
      <c r="T126" s="185"/>
    </row>
    <row r="127" spans="17:20" ht="11.25" customHeight="1">
      <c r="Q127" s="2489"/>
      <c r="R127" s="2489"/>
      <c r="S127" s="2489"/>
      <c r="T127" s="2489"/>
    </row>
    <row r="128" spans="17:20" ht="11.25" customHeight="1">
      <c r="Q128" s="966"/>
      <c r="R128" s="185"/>
    </row>
    <row r="129" spans="2:20" ht="11.25" customHeight="1">
      <c r="Q129" s="966"/>
      <c r="R129" s="185"/>
    </row>
    <row r="130" spans="2:20" ht="11.25" customHeight="1">
      <c r="Q130" s="2080"/>
      <c r="R130" s="2080"/>
      <c r="S130" s="2080"/>
    </row>
    <row r="131" spans="2:20" ht="11.25" customHeight="1">
      <c r="Q131" s="2080"/>
      <c r="R131" s="2080"/>
      <c r="S131" s="2080"/>
    </row>
    <row r="132" spans="2:20" ht="11.25" customHeight="1">
      <c r="Q132" s="2211"/>
      <c r="R132" s="2211"/>
      <c r="S132" s="2211"/>
      <c r="T132" s="2211"/>
    </row>
    <row r="133" spans="2:20" ht="11.25" customHeight="1">
      <c r="Q133" s="2080"/>
      <c r="R133" s="2080"/>
      <c r="S133" s="2080"/>
    </row>
    <row r="134" spans="2:20" ht="11.25" customHeight="1">
      <c r="Q134" s="966"/>
      <c r="R134" s="377"/>
      <c r="S134" s="377"/>
    </row>
    <row r="135" spans="2:20" ht="11.25" customHeight="1">
      <c r="Q135" s="2080"/>
      <c r="R135" s="2080"/>
      <c r="S135" s="2080"/>
    </row>
    <row r="136" spans="2:20" ht="11.25" customHeight="1">
      <c r="Q136" s="2211"/>
      <c r="R136" s="2211"/>
      <c r="S136" s="2211"/>
      <c r="T136" s="2211"/>
    </row>
    <row r="137" spans="2:20" ht="11.25" customHeight="1">
      <c r="Q137" s="2080"/>
      <c r="R137" s="2080"/>
      <c r="S137" s="2080"/>
    </row>
    <row r="138" spans="2:20" ht="11.25" customHeight="1">
      <c r="Q138" s="2080"/>
      <c r="R138" s="2080"/>
      <c r="S138" s="2080"/>
    </row>
    <row r="139" spans="2:20" ht="11.25" customHeight="1">
      <c r="Q139" s="2080"/>
      <c r="R139" s="2080"/>
      <c r="S139" s="2080"/>
    </row>
    <row r="140" spans="2:20" ht="11.25" customHeight="1">
      <c r="Q140" s="141"/>
      <c r="R140" s="163"/>
    </row>
    <row r="141" spans="2:20" ht="11.25" customHeight="1">
      <c r="Q141" s="141"/>
      <c r="R141" s="163"/>
    </row>
    <row r="142" spans="2:20" ht="11.25" customHeight="1"/>
    <row r="143" spans="2:20" ht="11.25" customHeight="1" thickBot="1"/>
    <row r="144" spans="2:20" ht="11.25" customHeight="1">
      <c r="B144" s="641"/>
      <c r="C144" s="642"/>
      <c r="D144" s="643"/>
      <c r="E144" s="644"/>
      <c r="F144" s="644"/>
      <c r="G144" s="644"/>
      <c r="H144" s="645"/>
      <c r="I144" s="645"/>
      <c r="J144" s="645"/>
      <c r="K144" s="645"/>
      <c r="L144" s="645"/>
      <c r="M144" s="645"/>
      <c r="N144" s="645"/>
      <c r="O144" s="645"/>
    </row>
    <row r="145" spans="2:15" ht="11.25" customHeight="1">
      <c r="D145" s="629"/>
      <c r="E145" s="636"/>
      <c r="F145" s="2447" t="str">
        <f>STARTSIDAN!H7</f>
        <v>Dynamo Närpes och Kristinestads näringslivscentral Ab</v>
      </c>
      <c r="G145" s="2448"/>
      <c r="H145" s="2448"/>
      <c r="I145" s="2448"/>
      <c r="J145" s="2448"/>
      <c r="K145" s="2448"/>
      <c r="L145" s="2448"/>
      <c r="M145" s="2448"/>
      <c r="N145" s="637"/>
      <c r="O145" s="647">
        <f>STARTSIDAN!D27</f>
        <v>0</v>
      </c>
    </row>
    <row r="146" spans="2:15" ht="12" customHeight="1">
      <c r="B146" s="2471" t="s">
        <v>304</v>
      </c>
      <c r="C146" s="2471"/>
      <c r="D146" s="149">
        <f>S2</f>
        <v>0</v>
      </c>
      <c r="E146" s="140"/>
      <c r="F146" s="140"/>
      <c r="G146" s="140"/>
      <c r="H146" s="140"/>
      <c r="I146" s="140"/>
      <c r="J146" s="648" t="s">
        <v>169</v>
      </c>
      <c r="K146" s="140"/>
      <c r="L146" s="140"/>
      <c r="M146" s="140"/>
      <c r="N146" s="140"/>
      <c r="O146" s="140"/>
    </row>
    <row r="147" spans="2:15" ht="12" customHeight="1">
      <c r="B147" s="2471"/>
      <c r="C147" s="2471"/>
      <c r="D147" s="2472" t="str">
        <f>B6</f>
        <v>Exempel Dagis Ab</v>
      </c>
      <c r="E147" s="2472"/>
      <c r="F147" s="2472"/>
      <c r="G147" s="2472"/>
      <c r="H147" s="2472"/>
      <c r="I147" s="2472"/>
      <c r="J147" s="2473">
        <f>J4</f>
        <v>0</v>
      </c>
      <c r="K147" s="2473"/>
      <c r="L147" s="140"/>
      <c r="M147" s="140"/>
      <c r="N147" s="140"/>
      <c r="O147" s="140"/>
    </row>
    <row r="148" spans="2:15" ht="12" customHeight="1">
      <c r="B148" s="655"/>
      <c r="C148" s="655"/>
      <c r="D148" s="656"/>
      <c r="E148" s="656"/>
      <c r="F148" s="656"/>
      <c r="G148" s="656"/>
      <c r="H148" s="656"/>
      <c r="I148" s="656"/>
      <c r="J148" s="657"/>
      <c r="K148" s="657"/>
      <c r="L148" s="140"/>
      <c r="M148" s="140"/>
      <c r="N148" s="140"/>
      <c r="O148" s="140"/>
    </row>
    <row r="149" spans="2:15">
      <c r="B149" s="140"/>
      <c r="C149" s="140"/>
      <c r="D149" s="140"/>
      <c r="E149" s="140"/>
      <c r="F149" s="140"/>
      <c r="G149" s="140"/>
      <c r="H149" s="140"/>
      <c r="I149" s="140"/>
      <c r="J149" s="140"/>
      <c r="K149" s="140"/>
      <c r="L149" s="140"/>
      <c r="M149" s="140"/>
      <c r="N149" s="140"/>
      <c r="O149" s="140"/>
    </row>
    <row r="150" spans="2:15">
      <c r="B150" s="140"/>
      <c r="C150" s="140"/>
      <c r="D150" s="140"/>
      <c r="E150" s="140"/>
      <c r="F150" s="140"/>
      <c r="G150" s="140"/>
      <c r="H150" s="140"/>
      <c r="I150" s="140"/>
      <c r="J150" s="140"/>
      <c r="K150" s="140"/>
      <c r="L150" s="140"/>
      <c r="M150" s="140"/>
      <c r="N150" s="140"/>
      <c r="O150" s="140"/>
    </row>
    <row r="151" spans="2:15">
      <c r="B151" s="140"/>
      <c r="C151" s="140"/>
      <c r="D151" s="140"/>
      <c r="E151" s="140"/>
      <c r="F151" s="140"/>
      <c r="G151" s="140"/>
      <c r="H151" s="140"/>
      <c r="I151" s="140"/>
      <c r="J151" s="140"/>
      <c r="K151" s="140"/>
      <c r="L151" s="140"/>
      <c r="M151" s="140"/>
      <c r="N151" s="140"/>
      <c r="O151" s="140"/>
    </row>
    <row r="152" spans="2:15">
      <c r="B152" s="140"/>
      <c r="C152" s="140"/>
      <c r="D152" s="140"/>
      <c r="E152" s="140"/>
      <c r="F152" s="140"/>
      <c r="G152" s="140"/>
      <c r="H152" s="140"/>
      <c r="I152" s="140"/>
      <c r="J152" s="140"/>
      <c r="K152" s="140"/>
      <c r="L152" s="140"/>
      <c r="M152" s="140"/>
      <c r="N152" s="140"/>
      <c r="O152" s="140"/>
    </row>
    <row r="153" spans="2:15">
      <c r="B153" s="140"/>
      <c r="C153" s="140"/>
      <c r="D153" s="140"/>
      <c r="E153" s="140"/>
      <c r="F153" s="140"/>
      <c r="G153" s="140"/>
      <c r="H153" s="140"/>
      <c r="I153" s="140"/>
      <c r="J153" s="140"/>
      <c r="K153" s="140"/>
      <c r="L153" s="140"/>
      <c r="M153" s="140"/>
      <c r="N153" s="140"/>
      <c r="O153" s="140"/>
    </row>
    <row r="154" spans="2:15">
      <c r="B154" s="140"/>
      <c r="C154" s="140"/>
      <c r="D154" s="140"/>
      <c r="E154" s="140"/>
      <c r="F154" s="140"/>
      <c r="G154" s="140"/>
      <c r="H154" s="140"/>
      <c r="I154" s="140"/>
      <c r="J154" s="140"/>
      <c r="K154" s="140"/>
      <c r="L154" s="140"/>
      <c r="M154" s="140"/>
      <c r="N154" s="140"/>
      <c r="O154" s="140"/>
    </row>
    <row r="155" spans="2:15">
      <c r="B155" s="140"/>
      <c r="C155" s="140"/>
      <c r="D155" s="140"/>
      <c r="E155" s="140"/>
      <c r="F155" s="140"/>
      <c r="G155" s="140"/>
      <c r="H155" s="140"/>
      <c r="I155" s="140"/>
      <c r="J155" s="140"/>
      <c r="K155" s="140"/>
      <c r="L155" s="140"/>
      <c r="M155" s="140"/>
      <c r="N155" s="140"/>
      <c r="O155" s="140"/>
    </row>
    <row r="156" spans="2:15">
      <c r="B156" s="140"/>
      <c r="C156" s="140"/>
      <c r="D156" s="140"/>
      <c r="E156" s="140"/>
      <c r="F156" s="140"/>
      <c r="G156" s="140"/>
      <c r="H156" s="140"/>
      <c r="I156" s="140"/>
      <c r="J156" s="140"/>
      <c r="K156" s="140"/>
      <c r="L156" s="140"/>
      <c r="M156" s="140"/>
      <c r="N156" s="140"/>
      <c r="O156" s="140"/>
    </row>
    <row r="157" spans="2:15">
      <c r="B157" s="140"/>
      <c r="C157" s="140"/>
      <c r="D157" s="140"/>
      <c r="E157" s="140"/>
      <c r="F157" s="140"/>
      <c r="G157" s="140"/>
      <c r="H157" s="140"/>
      <c r="I157" s="140"/>
      <c r="J157" s="140"/>
      <c r="K157" s="140"/>
      <c r="L157" s="140"/>
      <c r="M157" s="140"/>
      <c r="N157" s="140"/>
      <c r="O157" s="140"/>
    </row>
    <row r="158" spans="2:15">
      <c r="B158" s="140"/>
      <c r="C158" s="140"/>
      <c r="D158" s="140"/>
      <c r="E158" s="140"/>
      <c r="F158" s="140"/>
      <c r="G158" s="140"/>
      <c r="H158" s="140"/>
      <c r="I158" s="140"/>
      <c r="J158" s="140"/>
      <c r="K158" s="140"/>
      <c r="L158" s="140"/>
      <c r="M158" s="140"/>
      <c r="N158" s="140"/>
      <c r="O158" s="140"/>
    </row>
    <row r="159" spans="2:15">
      <c r="B159" s="140"/>
      <c r="C159" s="140"/>
      <c r="D159" s="140"/>
      <c r="E159" s="140"/>
      <c r="F159" s="140"/>
      <c r="G159" s="140"/>
      <c r="H159" s="140"/>
      <c r="I159" s="140"/>
      <c r="J159" s="140"/>
      <c r="K159" s="140"/>
      <c r="L159" s="140"/>
      <c r="M159" s="140"/>
      <c r="N159" s="140"/>
      <c r="O159" s="140"/>
    </row>
    <row r="160" spans="2:15">
      <c r="B160" s="140"/>
      <c r="C160" s="140"/>
      <c r="D160" s="140"/>
      <c r="E160" s="140"/>
      <c r="F160" s="140"/>
      <c r="G160" s="140"/>
      <c r="H160" s="140"/>
      <c r="I160" s="140"/>
      <c r="J160" s="140"/>
      <c r="K160" s="140"/>
      <c r="L160" s="140"/>
      <c r="M160" s="140"/>
      <c r="N160" s="140"/>
      <c r="O160" s="140"/>
    </row>
    <row r="161" spans="2:15">
      <c r="B161" s="140"/>
      <c r="C161" s="140"/>
      <c r="D161" s="140"/>
      <c r="E161" s="140"/>
      <c r="F161" s="140"/>
      <c r="G161" s="140"/>
      <c r="H161" s="140"/>
      <c r="I161" s="140"/>
      <c r="J161" s="140"/>
      <c r="K161" s="140"/>
      <c r="L161" s="140"/>
      <c r="M161" s="140"/>
      <c r="N161" s="140"/>
      <c r="O161" s="140"/>
    </row>
    <row r="162" spans="2:15">
      <c r="B162" s="140"/>
      <c r="C162" s="140"/>
      <c r="D162" s="140"/>
      <c r="E162" s="140"/>
      <c r="F162" s="140"/>
      <c r="G162" s="140"/>
      <c r="H162" s="140"/>
      <c r="I162" s="140"/>
      <c r="J162" s="140"/>
      <c r="K162" s="140"/>
      <c r="L162" s="140"/>
      <c r="M162" s="140"/>
      <c r="N162" s="140"/>
      <c r="O162" s="140"/>
    </row>
    <row r="163" spans="2:15">
      <c r="B163" s="140"/>
      <c r="C163" s="140"/>
      <c r="D163" s="140"/>
      <c r="E163" s="140"/>
      <c r="F163" s="140"/>
      <c r="G163" s="140"/>
      <c r="H163" s="140"/>
      <c r="I163" s="140"/>
      <c r="J163" s="140"/>
      <c r="K163" s="140"/>
      <c r="L163" s="140"/>
      <c r="M163" s="140"/>
      <c r="N163" s="140"/>
      <c r="O163" s="140"/>
    </row>
    <row r="164" spans="2:15">
      <c r="B164" s="140"/>
      <c r="C164" s="140"/>
      <c r="D164" s="140"/>
      <c r="E164" s="140"/>
      <c r="F164" s="140"/>
      <c r="G164" s="140"/>
      <c r="H164" s="140"/>
      <c r="I164" s="140"/>
      <c r="J164" s="140"/>
      <c r="K164" s="140"/>
      <c r="L164" s="140"/>
      <c r="M164" s="140"/>
      <c r="N164" s="140"/>
      <c r="O164" s="140"/>
    </row>
    <row r="165" spans="2:15">
      <c r="B165" s="140"/>
      <c r="C165" s="140"/>
      <c r="D165" s="140"/>
      <c r="E165" s="140"/>
      <c r="F165" s="140"/>
      <c r="G165" s="140"/>
      <c r="H165" s="140"/>
      <c r="I165" s="140"/>
      <c r="J165" s="140"/>
      <c r="K165" s="140"/>
      <c r="L165" s="140"/>
      <c r="M165" s="140"/>
      <c r="N165" s="140"/>
      <c r="O165" s="140"/>
    </row>
    <row r="166" spans="2:15">
      <c r="B166" s="140"/>
      <c r="C166" s="140"/>
      <c r="D166" s="140"/>
      <c r="E166" s="140"/>
      <c r="F166" s="140"/>
      <c r="G166" s="140"/>
      <c r="H166" s="140"/>
      <c r="I166" s="140"/>
      <c r="J166" s="140"/>
      <c r="K166" s="140"/>
      <c r="L166" s="140"/>
      <c r="M166" s="140"/>
      <c r="N166" s="140"/>
      <c r="O166" s="140"/>
    </row>
    <row r="167" spans="2:15">
      <c r="B167" s="140"/>
      <c r="C167" s="140"/>
      <c r="D167" s="140"/>
      <c r="E167" s="140"/>
      <c r="F167" s="140"/>
      <c r="G167" s="140"/>
      <c r="H167" s="140"/>
      <c r="I167" s="140"/>
      <c r="J167" s="140"/>
      <c r="K167" s="140"/>
      <c r="L167" s="140"/>
      <c r="M167" s="140"/>
      <c r="N167" s="140"/>
      <c r="O167" s="140"/>
    </row>
    <row r="168" spans="2:15">
      <c r="B168" s="140"/>
      <c r="C168" s="140"/>
      <c r="D168" s="140"/>
      <c r="E168" s="140"/>
      <c r="F168" s="140"/>
      <c r="G168" s="140"/>
      <c r="H168" s="140"/>
      <c r="I168" s="140"/>
      <c r="J168" s="140"/>
      <c r="K168" s="140"/>
      <c r="L168" s="140"/>
      <c r="M168" s="140"/>
      <c r="N168" s="140"/>
      <c r="O168" s="140"/>
    </row>
    <row r="169" spans="2:15">
      <c r="B169" s="140"/>
      <c r="C169" s="140"/>
      <c r="D169" s="140"/>
      <c r="E169" s="140"/>
      <c r="F169" s="140"/>
      <c r="G169" s="140"/>
      <c r="H169" s="140"/>
      <c r="I169" s="140"/>
      <c r="J169" s="140"/>
      <c r="K169" s="140"/>
      <c r="L169" s="140"/>
      <c r="M169" s="140"/>
      <c r="N169" s="140"/>
      <c r="O169" s="140"/>
    </row>
    <row r="170" spans="2:15">
      <c r="B170" s="140"/>
      <c r="C170" s="140"/>
      <c r="D170" s="140"/>
      <c r="E170" s="140"/>
      <c r="F170" s="140"/>
      <c r="G170" s="140"/>
      <c r="H170" s="140"/>
      <c r="I170" s="140"/>
      <c r="J170" s="140"/>
      <c r="K170" s="140"/>
      <c r="L170" s="140"/>
      <c r="M170" s="140"/>
      <c r="N170" s="140"/>
      <c r="O170" s="140"/>
    </row>
    <row r="171" spans="2:15">
      <c r="B171" s="140"/>
      <c r="C171" s="140"/>
      <c r="D171" s="140"/>
      <c r="E171" s="140"/>
      <c r="F171" s="140"/>
      <c r="G171" s="140"/>
      <c r="H171" s="140"/>
      <c r="I171" s="140"/>
      <c r="J171" s="140"/>
      <c r="K171" s="140"/>
      <c r="L171" s="140"/>
      <c r="M171" s="140"/>
      <c r="N171" s="140"/>
      <c r="O171" s="140"/>
    </row>
    <row r="172" spans="2:15">
      <c r="B172" s="140"/>
      <c r="C172" s="140"/>
      <c r="D172" s="140"/>
      <c r="E172" s="140"/>
      <c r="F172" s="140"/>
      <c r="G172" s="140"/>
      <c r="H172" s="140"/>
      <c r="I172" s="140"/>
      <c r="J172" s="140"/>
      <c r="K172" s="140"/>
      <c r="L172" s="140"/>
      <c r="M172" s="140"/>
      <c r="N172" s="140"/>
      <c r="O172" s="140"/>
    </row>
    <row r="173" spans="2:15">
      <c r="B173" s="140"/>
      <c r="C173" s="140"/>
      <c r="D173" s="140"/>
      <c r="E173" s="140"/>
      <c r="F173" s="140"/>
      <c r="G173" s="140"/>
      <c r="H173" s="140"/>
      <c r="I173" s="140"/>
      <c r="J173" s="140"/>
      <c r="K173" s="140"/>
      <c r="L173" s="140"/>
      <c r="M173" s="140"/>
      <c r="N173" s="140"/>
      <c r="O173" s="140"/>
    </row>
    <row r="174" spans="2:15">
      <c r="B174" s="140"/>
      <c r="C174" s="140"/>
      <c r="D174" s="140"/>
      <c r="E174" s="140"/>
      <c r="F174" s="140"/>
      <c r="G174" s="140"/>
      <c r="H174" s="140"/>
      <c r="I174" s="140"/>
      <c r="J174" s="140"/>
      <c r="K174" s="140"/>
      <c r="L174" s="140"/>
      <c r="M174" s="140"/>
      <c r="N174" s="140"/>
      <c r="O174" s="140"/>
    </row>
    <row r="175" spans="2:15">
      <c r="B175" s="140"/>
      <c r="C175" s="140"/>
      <c r="D175" s="140"/>
      <c r="E175" s="140"/>
      <c r="F175" s="140"/>
      <c r="G175" s="140"/>
      <c r="H175" s="140"/>
      <c r="I175" s="140"/>
      <c r="J175" s="140"/>
      <c r="K175" s="140"/>
      <c r="L175" s="140"/>
      <c r="M175" s="140"/>
      <c r="N175" s="140"/>
      <c r="O175" s="140"/>
    </row>
    <row r="176" spans="2:15">
      <c r="B176" s="140"/>
      <c r="C176" s="140"/>
      <c r="D176" s="140"/>
      <c r="E176" s="140"/>
      <c r="F176" s="140"/>
      <c r="G176" s="140"/>
      <c r="H176" s="140"/>
      <c r="I176" s="140"/>
      <c r="J176" s="140"/>
      <c r="K176" s="140"/>
      <c r="L176" s="140"/>
      <c r="M176" s="140"/>
      <c r="N176" s="140"/>
      <c r="O176" s="140"/>
    </row>
    <row r="177" spans="2:20">
      <c r="B177" s="140"/>
      <c r="C177" s="140"/>
      <c r="D177" s="140"/>
      <c r="E177" s="140"/>
      <c r="F177" s="140"/>
      <c r="G177" s="140"/>
      <c r="H177" s="140"/>
      <c r="I177" s="140"/>
      <c r="J177" s="140"/>
      <c r="K177" s="140"/>
      <c r="L177" s="140"/>
      <c r="M177" s="140"/>
      <c r="N177" s="140"/>
      <c r="O177" s="140"/>
    </row>
    <row r="178" spans="2:20">
      <c r="B178" s="140"/>
      <c r="C178" s="140"/>
      <c r="D178" s="140"/>
      <c r="E178" s="140"/>
      <c r="F178" s="140"/>
      <c r="G178" s="140"/>
      <c r="H178" s="140"/>
      <c r="I178" s="140"/>
      <c r="J178" s="140"/>
      <c r="K178" s="140"/>
      <c r="L178" s="140"/>
      <c r="M178" s="140"/>
      <c r="N178" s="140"/>
      <c r="O178" s="140"/>
    </row>
    <row r="179" spans="2:20">
      <c r="B179" s="140"/>
      <c r="C179" s="140"/>
      <c r="D179" s="140"/>
      <c r="E179" s="140"/>
      <c r="F179" s="140"/>
      <c r="G179" s="140"/>
      <c r="H179" s="140"/>
      <c r="I179" s="140"/>
      <c r="J179" s="140"/>
      <c r="K179" s="140"/>
      <c r="L179" s="140"/>
      <c r="M179" s="140"/>
      <c r="N179" s="140"/>
      <c r="O179" s="140"/>
    </row>
    <row r="180" spans="2:20">
      <c r="B180" s="140"/>
      <c r="C180" s="140"/>
      <c r="D180" s="140"/>
      <c r="E180" s="140"/>
      <c r="F180" s="140"/>
      <c r="G180" s="140"/>
      <c r="H180" s="140"/>
      <c r="I180" s="140"/>
      <c r="J180" s="140"/>
      <c r="K180" s="140"/>
      <c r="L180" s="140"/>
      <c r="M180" s="140"/>
      <c r="N180" s="140"/>
      <c r="O180" s="140"/>
    </row>
    <row r="181" spans="2:20" ht="12" customHeight="1">
      <c r="B181" s="140"/>
      <c r="C181" s="140"/>
      <c r="D181" s="140"/>
      <c r="E181" s="140"/>
      <c r="F181" s="140"/>
      <c r="G181" s="140"/>
      <c r="H181" s="140"/>
      <c r="I181" s="140"/>
      <c r="J181" s="140"/>
      <c r="K181" s="140"/>
      <c r="L181" s="140"/>
      <c r="M181" s="140"/>
      <c r="N181" s="140"/>
      <c r="O181" s="140"/>
    </row>
    <row r="182" spans="2:20" ht="12.75" customHeight="1"/>
    <row r="183" spans="2:20" ht="12" customHeight="1"/>
    <row r="184" spans="2:20">
      <c r="R184" s="41">
        <f>'9. T4 FINANSIERINGSB. '!AB43</f>
        <v>0</v>
      </c>
      <c r="S184" s="41"/>
      <c r="T184" s="41"/>
    </row>
    <row r="185" spans="2:20" ht="11.25" customHeight="1"/>
    <row r="186" spans="2:20" ht="11.25" customHeight="1"/>
    <row r="187" spans="2:20" ht="11.25" customHeight="1"/>
    <row r="188" spans="2:20" ht="11.25" customHeight="1"/>
    <row r="189" spans="2:20" ht="11.25" customHeight="1"/>
    <row r="190" spans="2:20" ht="11.25" customHeight="1"/>
    <row r="191" spans="2:20" ht="11.25" customHeight="1"/>
    <row r="195" spans="2:17" s="2" customFormat="1">
      <c r="Q195" s="6"/>
    </row>
    <row r="197" spans="2:17">
      <c r="B197" s="140"/>
      <c r="C197" s="140"/>
      <c r="D197" s="140"/>
      <c r="E197" s="140"/>
      <c r="F197" s="140"/>
      <c r="G197" s="140"/>
      <c r="H197" s="140"/>
      <c r="I197" s="140"/>
      <c r="J197" s="140"/>
      <c r="K197" s="140"/>
      <c r="L197" s="140"/>
      <c r="M197" s="140"/>
      <c r="N197" s="140"/>
      <c r="O197" s="140"/>
    </row>
    <row r="198" spans="2:17">
      <c r="B198" s="140"/>
      <c r="C198" s="140"/>
      <c r="D198" s="140"/>
      <c r="E198" s="140"/>
      <c r="F198" s="140"/>
      <c r="G198" s="140"/>
      <c r="H198" s="140"/>
      <c r="I198" s="140"/>
      <c r="J198" s="140"/>
      <c r="K198" s="140"/>
      <c r="L198" s="140"/>
      <c r="M198" s="140"/>
      <c r="N198" s="140"/>
      <c r="O198" s="140"/>
    </row>
    <row r="199" spans="2:17">
      <c r="B199" s="140"/>
      <c r="C199" s="140"/>
      <c r="D199" s="140"/>
      <c r="E199" s="140"/>
      <c r="F199" s="140"/>
      <c r="G199" s="140"/>
      <c r="H199" s="140"/>
      <c r="I199" s="140"/>
      <c r="J199" s="140"/>
      <c r="K199" s="140"/>
      <c r="L199" s="140"/>
      <c r="M199" s="140"/>
      <c r="N199" s="140"/>
      <c r="O199" s="140"/>
    </row>
    <row r="200" spans="2:17">
      <c r="B200" s="140"/>
      <c r="C200" s="140"/>
      <c r="D200" s="140"/>
      <c r="E200" s="140"/>
      <c r="F200" s="140"/>
      <c r="G200" s="140"/>
      <c r="H200" s="140"/>
      <c r="I200" s="140"/>
      <c r="J200" s="140"/>
      <c r="K200" s="140"/>
      <c r="L200" s="140"/>
      <c r="M200" s="140"/>
      <c r="N200" s="140"/>
      <c r="O200" s="140"/>
    </row>
    <row r="201" spans="2:17">
      <c r="B201" s="140"/>
      <c r="C201" s="140"/>
      <c r="D201" s="140"/>
      <c r="E201" s="140"/>
      <c r="F201" s="140"/>
      <c r="G201" s="140"/>
      <c r="H201" s="140"/>
      <c r="I201" s="140"/>
      <c r="J201" s="140"/>
      <c r="K201" s="140"/>
      <c r="L201" s="140"/>
      <c r="M201" s="140"/>
      <c r="N201" s="140"/>
      <c r="O201" s="140"/>
    </row>
    <row r="202" spans="2:17">
      <c r="B202" s="140"/>
      <c r="C202" s="140"/>
      <c r="D202" s="140"/>
      <c r="E202" s="140"/>
      <c r="F202" s="140"/>
      <c r="G202" s="140"/>
      <c r="H202" s="140"/>
      <c r="I202" s="140"/>
      <c r="J202" s="140"/>
      <c r="K202" s="140"/>
      <c r="L202" s="140"/>
      <c r="M202" s="140"/>
      <c r="N202" s="140"/>
      <c r="O202" s="140"/>
    </row>
    <row r="203" spans="2:17">
      <c r="B203" s="140"/>
      <c r="C203" s="140"/>
      <c r="D203" s="140"/>
      <c r="E203" s="140"/>
      <c r="F203" s="140"/>
      <c r="G203" s="140"/>
      <c r="H203" s="140"/>
      <c r="I203" s="140"/>
      <c r="J203" s="140"/>
      <c r="K203" s="140"/>
      <c r="L203" s="140"/>
      <c r="M203" s="140"/>
      <c r="N203" s="140"/>
      <c r="O203" s="140"/>
    </row>
    <row r="204" spans="2:17">
      <c r="B204" s="140"/>
      <c r="C204" s="140"/>
      <c r="D204" s="140"/>
      <c r="E204" s="140"/>
      <c r="F204" s="140"/>
      <c r="G204" s="140"/>
      <c r="H204" s="140"/>
      <c r="I204" s="140"/>
      <c r="J204" s="140"/>
      <c r="K204" s="140"/>
      <c r="L204" s="140"/>
      <c r="M204" s="140"/>
      <c r="N204" s="140"/>
      <c r="O204" s="140"/>
    </row>
    <row r="205" spans="2:17">
      <c r="B205" s="140"/>
      <c r="C205" s="140"/>
      <c r="D205" s="140"/>
      <c r="E205" s="140"/>
      <c r="F205" s="140"/>
      <c r="G205" s="140"/>
      <c r="H205" s="140"/>
      <c r="I205" s="140"/>
      <c r="J205" s="140"/>
      <c r="K205" s="140"/>
      <c r="L205" s="140"/>
      <c r="M205" s="140"/>
      <c r="N205" s="140"/>
      <c r="O205" s="140"/>
    </row>
    <row r="206" spans="2:17">
      <c r="B206" s="140"/>
      <c r="C206" s="140"/>
      <c r="D206" s="140"/>
      <c r="E206" s="140"/>
      <c r="F206" s="140"/>
      <c r="G206" s="140"/>
      <c r="H206" s="140"/>
      <c r="I206" s="140"/>
      <c r="J206" s="140"/>
      <c r="K206" s="140"/>
      <c r="L206" s="140"/>
      <c r="M206" s="140"/>
      <c r="N206" s="140"/>
      <c r="O206" s="140"/>
    </row>
    <row r="207" spans="2:17">
      <c r="B207" s="140"/>
      <c r="C207" s="140"/>
      <c r="D207" s="140"/>
      <c r="E207" s="140"/>
      <c r="F207" s="140"/>
      <c r="G207" s="140"/>
      <c r="H207" s="140"/>
      <c r="I207" s="140"/>
      <c r="J207" s="140"/>
      <c r="K207" s="140"/>
      <c r="L207" s="140"/>
      <c r="M207" s="140"/>
      <c r="N207" s="140"/>
      <c r="O207" s="140"/>
    </row>
    <row r="208" spans="2:17">
      <c r="B208" s="140"/>
      <c r="C208" s="140"/>
      <c r="D208" s="140"/>
      <c r="E208" s="140"/>
      <c r="F208" s="140"/>
      <c r="G208" s="140"/>
      <c r="H208" s="140"/>
      <c r="I208" s="140"/>
      <c r="J208" s="140"/>
      <c r="K208" s="140"/>
      <c r="L208" s="140"/>
      <c r="M208" s="140"/>
      <c r="N208" s="140"/>
      <c r="O208" s="140"/>
    </row>
    <row r="209" spans="2:15">
      <c r="B209" s="140"/>
      <c r="C209" s="140"/>
      <c r="D209" s="140"/>
      <c r="E209" s="140"/>
      <c r="F209" s="140"/>
      <c r="G209" s="140"/>
      <c r="H209" s="140"/>
      <c r="I209" s="140"/>
      <c r="J209" s="140"/>
      <c r="K209" s="140"/>
      <c r="L209" s="140"/>
      <c r="M209" s="140"/>
      <c r="N209" s="140"/>
      <c r="O209" s="140"/>
    </row>
    <row r="210" spans="2:15">
      <c r="B210" s="140"/>
      <c r="C210" s="140"/>
      <c r="D210" s="140"/>
      <c r="E210" s="140"/>
      <c r="F210" s="140"/>
      <c r="G210" s="140"/>
      <c r="H210" s="140"/>
      <c r="I210" s="140"/>
      <c r="J210" s="140"/>
      <c r="K210" s="140"/>
      <c r="L210" s="140"/>
      <c r="M210" s="140"/>
      <c r="N210" s="140"/>
      <c r="O210" s="140"/>
    </row>
    <row r="211" spans="2:15">
      <c r="B211" s="140"/>
      <c r="C211" s="140"/>
      <c r="D211" s="140"/>
      <c r="E211" s="140"/>
      <c r="F211" s="140"/>
      <c r="G211" s="140"/>
      <c r="H211" s="140"/>
      <c r="I211" s="140"/>
      <c r="J211" s="140"/>
      <c r="K211" s="140"/>
      <c r="L211" s="140"/>
      <c r="M211" s="140"/>
      <c r="N211" s="140"/>
      <c r="O211" s="140"/>
    </row>
    <row r="212" spans="2:15">
      <c r="B212" s="140"/>
      <c r="C212" s="140"/>
      <c r="D212" s="140"/>
      <c r="E212" s="140"/>
      <c r="F212" s="140"/>
      <c r="G212" s="140"/>
      <c r="H212" s="140"/>
      <c r="I212" s="140"/>
      <c r="J212" s="140"/>
      <c r="K212" s="140"/>
      <c r="L212" s="140"/>
      <c r="M212" s="140"/>
      <c r="N212" s="140"/>
      <c r="O212" s="140"/>
    </row>
    <row r="213" spans="2:15">
      <c r="B213" s="140"/>
      <c r="C213" s="140"/>
      <c r="D213" s="140"/>
      <c r="E213" s="140"/>
      <c r="F213" s="140"/>
      <c r="G213" s="140"/>
      <c r="H213" s="140"/>
      <c r="I213" s="140"/>
      <c r="J213" s="140"/>
      <c r="K213" s="140"/>
      <c r="L213" s="140"/>
      <c r="M213" s="140"/>
      <c r="N213" s="140"/>
      <c r="O213" s="140"/>
    </row>
    <row r="214" spans="2:15">
      <c r="B214" s="140"/>
      <c r="C214" s="140"/>
      <c r="D214" s="140"/>
      <c r="E214" s="140"/>
      <c r="F214" s="140"/>
      <c r="G214" s="140"/>
      <c r="H214" s="140"/>
      <c r="I214" s="140"/>
      <c r="J214" s="140"/>
      <c r="K214" s="140"/>
      <c r="L214" s="140"/>
      <c r="M214" s="140"/>
      <c r="N214" s="140"/>
      <c r="O214" s="140"/>
    </row>
    <row r="215" spans="2:15">
      <c r="B215" s="77" t="s">
        <v>0</v>
      </c>
      <c r="C215" s="591" t="s">
        <v>0</v>
      </c>
      <c r="F215" s="2449" t="s">
        <v>0</v>
      </c>
      <c r="G215" s="2449"/>
      <c r="H215" s="2449"/>
      <c r="I215" s="2449"/>
      <c r="J215" s="2449"/>
      <c r="K215" s="2449"/>
      <c r="L215" s="2449"/>
      <c r="M215" s="2449"/>
      <c r="O215" s="890" t="s">
        <v>0</v>
      </c>
    </row>
  </sheetData>
  <sheetProtection algorithmName="SHA-512" hashValue="BosRcfkR/4v0VPsdR+dpCwSRKQqsncwcCUA3LNbvjotewde6q0Fti1yNI5LIeGDZuAbtCG9blvVjnVuh08EI0A==" saltValue="Oocga08JWSaPqO+bxy0P/A==" spinCount="100000" sheet="1" objects="1" scenarios="1" selectLockedCells="1"/>
  <mergeCells count="283">
    <mergeCell ref="AQ80:AR80"/>
    <mergeCell ref="AQ3:AR3"/>
    <mergeCell ref="Z3:AC3"/>
    <mergeCell ref="Q2:S4"/>
    <mergeCell ref="Q50:R51"/>
    <mergeCell ref="R58:T58"/>
    <mergeCell ref="B2:G3"/>
    <mergeCell ref="I42:J43"/>
    <mergeCell ref="K42:K43"/>
    <mergeCell ref="L42:L43"/>
    <mergeCell ref="M42:O43"/>
    <mergeCell ref="I44:J45"/>
    <mergeCell ref="K44:K45"/>
    <mergeCell ref="L44:L45"/>
    <mergeCell ref="M44:O45"/>
    <mergeCell ref="Z51:AA51"/>
    <mergeCell ref="Z55:AA55"/>
    <mergeCell ref="AN18:AO18"/>
    <mergeCell ref="AN19:AO19"/>
    <mergeCell ref="AN5:AO5"/>
    <mergeCell ref="AN6:AO6"/>
    <mergeCell ref="AF18:AG18"/>
    <mergeCell ref="AF19:AG19"/>
    <mergeCell ref="AF8:AG8"/>
    <mergeCell ref="AQ79:AT79"/>
    <mergeCell ref="AD25:AN25"/>
    <mergeCell ref="AD28:AE28"/>
    <mergeCell ref="AG28:AH28"/>
    <mergeCell ref="AJ28:AK28"/>
    <mergeCell ref="AM28:AN28"/>
    <mergeCell ref="Z61:Z62"/>
    <mergeCell ref="AA61:AA62"/>
    <mergeCell ref="AB61:AB62"/>
    <mergeCell ref="AC61:AC62"/>
    <mergeCell ref="AD61:AF61"/>
    <mergeCell ref="AM61:AO61"/>
    <mergeCell ref="AJ61:AL61"/>
    <mergeCell ref="AG61:AI61"/>
    <mergeCell ref="Z70:AC70"/>
    <mergeCell ref="Z69:AC69"/>
    <mergeCell ref="AD32:AE32"/>
    <mergeCell ref="AD33:AE33"/>
    <mergeCell ref="AG33:AH33"/>
    <mergeCell ref="AJ33:AK33"/>
    <mergeCell ref="AM33:AN33"/>
    <mergeCell ref="Z79:AC79"/>
    <mergeCell ref="AT80:AX80"/>
    <mergeCell ref="AN7:AO7"/>
    <mergeCell ref="AN8:AO8"/>
    <mergeCell ref="AN9:AO9"/>
    <mergeCell ref="AN10:AO10"/>
    <mergeCell ref="AN11:AO11"/>
    <mergeCell ref="AN12:AO12"/>
    <mergeCell ref="AN13:AO13"/>
    <mergeCell ref="AN14:AO14"/>
    <mergeCell ref="AN15:AO15"/>
    <mergeCell ref="AM27:AO27"/>
    <mergeCell ref="AH80:AO80"/>
    <mergeCell ref="AN17:AO17"/>
    <mergeCell ref="AJ27:AL27"/>
    <mergeCell ref="AL12:AM12"/>
    <mergeCell ref="AL13:AM13"/>
    <mergeCell ref="AJ12:AK12"/>
    <mergeCell ref="AG40:AI40"/>
    <mergeCell ref="AJ34:AK34"/>
    <mergeCell ref="AM34:AN34"/>
    <mergeCell ref="AJ29:AK29"/>
    <mergeCell ref="AM29:AN29"/>
    <mergeCell ref="AJ30:AK30"/>
    <mergeCell ref="AM30:AN30"/>
    <mergeCell ref="U80:X80"/>
    <mergeCell ref="Q135:S135"/>
    <mergeCell ref="AC40:AC42"/>
    <mergeCell ref="AD40:AF40"/>
    <mergeCell ref="AJ26:AL26"/>
    <mergeCell ref="AM26:AO26"/>
    <mergeCell ref="Q127:T127"/>
    <mergeCell ref="AJ5:AK5"/>
    <mergeCell ref="AJ6:AK6"/>
    <mergeCell ref="AJ7:AK7"/>
    <mergeCell ref="AJ8:AK8"/>
    <mergeCell ref="AJ9:AK9"/>
    <mergeCell ref="AJ10:AK10"/>
    <mergeCell ref="AJ11:AK11"/>
    <mergeCell ref="AL5:AM5"/>
    <mergeCell ref="AL6:AM6"/>
    <mergeCell ref="AL7:AM7"/>
    <mergeCell ref="AL8:AM8"/>
    <mergeCell ref="AL9:AM9"/>
    <mergeCell ref="AL10:AM10"/>
    <mergeCell ref="AL11:AM11"/>
    <mergeCell ref="Z80:AC80"/>
    <mergeCell ref="AL14:AM14"/>
    <mergeCell ref="AL15:AM15"/>
    <mergeCell ref="Q139:S139"/>
    <mergeCell ref="Q132:T132"/>
    <mergeCell ref="AH5:AI5"/>
    <mergeCell ref="AF6:AG6"/>
    <mergeCell ref="AH6:AI6"/>
    <mergeCell ref="AH7:AI7"/>
    <mergeCell ref="AH8:AI8"/>
    <mergeCell ref="AH9:AI9"/>
    <mergeCell ref="AH10:AI10"/>
    <mergeCell ref="AH11:AI11"/>
    <mergeCell ref="AH12:AI12"/>
    <mergeCell ref="AD5:AE5"/>
    <mergeCell ref="AD6:AE6"/>
    <mergeCell ref="AD7:AE7"/>
    <mergeCell ref="AD8:AE8"/>
    <mergeCell ref="AD9:AE9"/>
    <mergeCell ref="AD10:AE10"/>
    <mergeCell ref="AD11:AE11"/>
    <mergeCell ref="AD12:AE12"/>
    <mergeCell ref="AF12:AG12"/>
    <mergeCell ref="R76:T76"/>
    <mergeCell ref="AF5:AG5"/>
    <mergeCell ref="Q136:T136"/>
    <mergeCell ref="AH19:AI19"/>
    <mergeCell ref="Q122:R124"/>
    <mergeCell ref="AQ5:AR6"/>
    <mergeCell ref="B146:C147"/>
    <mergeCell ref="D147:I147"/>
    <mergeCell ref="J147:K147"/>
    <mergeCell ref="D76:E76"/>
    <mergeCell ref="F76:G76"/>
    <mergeCell ref="H76:I76"/>
    <mergeCell ref="J76:K76"/>
    <mergeCell ref="L76:M76"/>
    <mergeCell ref="N76:O76"/>
    <mergeCell ref="D75:E75"/>
    <mergeCell ref="F75:G75"/>
    <mergeCell ref="H75:I75"/>
    <mergeCell ref="J75:K75"/>
    <mergeCell ref="L75:M75"/>
    <mergeCell ref="N75:O75"/>
    <mergeCell ref="D54:E54"/>
    <mergeCell ref="F54:G54"/>
    <mergeCell ref="Q130:S130"/>
    <mergeCell ref="Q131:S131"/>
    <mergeCell ref="Q133:S133"/>
    <mergeCell ref="Q137:S137"/>
    <mergeCell ref="Q138:S138"/>
    <mergeCell ref="F145:M145"/>
    <mergeCell ref="F215:M215"/>
    <mergeCell ref="L51:M51"/>
    <mergeCell ref="N51:O51"/>
    <mergeCell ref="H80:O80"/>
    <mergeCell ref="H14:H15"/>
    <mergeCell ref="I14:O15"/>
    <mergeCell ref="B9:H9"/>
    <mergeCell ref="I9:O9"/>
    <mergeCell ref="I46:J47"/>
    <mergeCell ref="K46:K47"/>
    <mergeCell ref="L46:L47"/>
    <mergeCell ref="M46:O47"/>
    <mergeCell ref="I48:J49"/>
    <mergeCell ref="K48:K49"/>
    <mergeCell ref="L48:L49"/>
    <mergeCell ref="M48:O49"/>
    <mergeCell ref="I11:O11"/>
    <mergeCell ref="I12:O12"/>
    <mergeCell ref="F52:G52"/>
    <mergeCell ref="H52:I52"/>
    <mergeCell ref="B79:E79"/>
    <mergeCell ref="B32:C33"/>
    <mergeCell ref="B14:C15"/>
    <mergeCell ref="I5:O5"/>
    <mergeCell ref="I7:O7"/>
    <mergeCell ref="Z40:Z41"/>
    <mergeCell ref="AA40:AA42"/>
    <mergeCell ref="AB40:AB42"/>
    <mergeCell ref="H32:H33"/>
    <mergeCell ref="I32:O33"/>
    <mergeCell ref="H54:I54"/>
    <mergeCell ref="J54:K54"/>
    <mergeCell ref="L54:M54"/>
    <mergeCell ref="N54:O54"/>
    <mergeCell ref="M41:O41"/>
    <mergeCell ref="Q25:R26"/>
    <mergeCell ref="Q24:R24"/>
    <mergeCell ref="Z43:AA43"/>
    <mergeCell ref="Z47:AA47"/>
    <mergeCell ref="Z25:Z26"/>
    <mergeCell ref="AA25:AA28"/>
    <mergeCell ref="AB25:AB28"/>
    <mergeCell ref="Q5:R6"/>
    <mergeCell ref="G6:H6"/>
    <mergeCell ref="J52:K52"/>
    <mergeCell ref="L52:M52"/>
    <mergeCell ref="Z15:AC15"/>
    <mergeCell ref="AF7:AG7"/>
    <mergeCell ref="AF11:AG11"/>
    <mergeCell ref="AD27:AF27"/>
    <mergeCell ref="AG27:AI27"/>
    <mergeCell ref="AD34:AE34"/>
    <mergeCell ref="AG34:AH34"/>
    <mergeCell ref="Z19:AB19"/>
    <mergeCell ref="AG26:AI26"/>
    <mergeCell ref="AD29:AE29"/>
    <mergeCell ref="AG29:AH29"/>
    <mergeCell ref="AG32:AH32"/>
    <mergeCell ref="AD30:AE30"/>
    <mergeCell ref="AG30:AH30"/>
    <mergeCell ref="AD31:AE31"/>
    <mergeCell ref="AG31:AH31"/>
    <mergeCell ref="AC25:AC28"/>
    <mergeCell ref="AD26:AF26"/>
    <mergeCell ref="AH13:AI13"/>
    <mergeCell ref="AH14:AI14"/>
    <mergeCell ref="AH15:AI15"/>
    <mergeCell ref="AH16:AI16"/>
    <mergeCell ref="AH17:AI17"/>
    <mergeCell ref="AH18:AI18"/>
    <mergeCell ref="AD13:AE13"/>
    <mergeCell ref="Z8:AC8"/>
    <mergeCell ref="Z10:AC10"/>
    <mergeCell ref="Z13:AC13"/>
    <mergeCell ref="AF9:AG9"/>
    <mergeCell ref="AF13:AG13"/>
    <mergeCell ref="AD14:AE14"/>
    <mergeCell ref="AD15:AE15"/>
    <mergeCell ref="AD16:AE16"/>
    <mergeCell ref="AD17:AE17"/>
    <mergeCell ref="AF10:AG10"/>
    <mergeCell ref="AF15:AG15"/>
    <mergeCell ref="AF17:AG17"/>
    <mergeCell ref="Z17:AC17"/>
    <mergeCell ref="AF14:AG14"/>
    <mergeCell ref="AF16:AG16"/>
    <mergeCell ref="Q79:T79"/>
    <mergeCell ref="K40:K41"/>
    <mergeCell ref="L40:L41"/>
    <mergeCell ref="B51:C53"/>
    <mergeCell ref="B34:C34"/>
    <mergeCell ref="B41:C41"/>
    <mergeCell ref="D51:E51"/>
    <mergeCell ref="F51:G51"/>
    <mergeCell ref="H51:I51"/>
    <mergeCell ref="J51:K51"/>
    <mergeCell ref="D52:E52"/>
    <mergeCell ref="N52:O52"/>
    <mergeCell ref="AD18:AE18"/>
    <mergeCell ref="AD19:AE19"/>
    <mergeCell ref="AJ32:AK32"/>
    <mergeCell ref="AM32:AN32"/>
    <mergeCell ref="AJ31:AK31"/>
    <mergeCell ref="AM31:AN31"/>
    <mergeCell ref="AJ13:AK13"/>
    <mergeCell ref="AJ14:AK14"/>
    <mergeCell ref="AJ15:AK15"/>
    <mergeCell ref="AJ16:AK16"/>
    <mergeCell ref="AJ17:AK17"/>
    <mergeCell ref="AN16:AO16"/>
    <mergeCell ref="AJ18:AK18"/>
    <mergeCell ref="AJ19:AK19"/>
    <mergeCell ref="AL17:AM17"/>
    <mergeCell ref="AL18:AM18"/>
    <mergeCell ref="AL19:AM19"/>
    <mergeCell ref="AL16:AM16"/>
    <mergeCell ref="B8:E8"/>
    <mergeCell ref="I4:J4"/>
    <mergeCell ref="J3:K3"/>
    <mergeCell ref="B10:G10"/>
    <mergeCell ref="B12:G12"/>
    <mergeCell ref="AI3:AJ3"/>
    <mergeCell ref="AJ40:AL40"/>
    <mergeCell ref="AM40:AO40"/>
    <mergeCell ref="AD41:AF41"/>
    <mergeCell ref="AG41:AI41"/>
    <mergeCell ref="AJ41:AL41"/>
    <mergeCell ref="AM41:AO41"/>
    <mergeCell ref="AD35:AE35"/>
    <mergeCell ref="AG35:AH35"/>
    <mergeCell ref="AJ35:AK35"/>
    <mergeCell ref="AM35:AN35"/>
    <mergeCell ref="AD36:AE36"/>
    <mergeCell ref="AG36:AH36"/>
    <mergeCell ref="AJ36:AK36"/>
    <mergeCell ref="AM36:AN36"/>
    <mergeCell ref="AD38:AE38"/>
    <mergeCell ref="AG38:AH38"/>
    <mergeCell ref="AJ38:AK38"/>
    <mergeCell ref="AM38:AN38"/>
  </mergeCells>
  <conditionalFormatting sqref="AS17:AX17">
    <cfRule type="containsText" dxfId="17" priority="20" operator="containsText" text="Bra">
      <formula>NOT(ISERROR(SEARCH("Bra",AS17)))</formula>
    </cfRule>
    <cfRule type="containsText" dxfId="16" priority="22" operator="containsText" text="sVAG">
      <formula>NOT(ISERROR(SEARCH("sVAG",AS17)))</formula>
    </cfRule>
  </conditionalFormatting>
  <conditionalFormatting sqref="AS17:AX17">
    <cfRule type="containsText" dxfId="15" priority="19" operator="containsText" text="Tillfredställande">
      <formula>NOT(ISERROR(SEARCH("Tillfredställande",AS17)))</formula>
    </cfRule>
  </conditionalFormatting>
  <conditionalFormatting sqref="AS19:AX19">
    <cfRule type="containsText" dxfId="14" priority="1" operator="containsText" text="Nettoskuldfri">
      <formula>NOT(ISERROR(SEARCH("Nettoskuldfri",AS19)))</formula>
    </cfRule>
    <cfRule type="containsText" dxfId="13" priority="2" operator="containsText" text="Bra">
      <formula>NOT(ISERROR(SEARCH("Bra",AS19)))</formula>
    </cfRule>
    <cfRule type="containsText" dxfId="12" priority="16" operator="containsText" text="Svag">
      <formula>NOT(ISERROR(SEARCH("Svag",AS19)))</formula>
    </cfRule>
  </conditionalFormatting>
  <conditionalFormatting sqref="AS9:AX9">
    <cfRule type="containsText" dxfId="11" priority="14" operator="containsText" text="Bra">
      <formula>NOT(ISERROR(SEARCH("Bra",AS9)))</formula>
    </cfRule>
  </conditionalFormatting>
  <conditionalFormatting sqref="AS9:AX9">
    <cfRule type="containsText" dxfId="10" priority="13" operator="containsText" text="Svag">
      <formula>NOT(ISERROR(SEARCH("Svag",AS9)))</formula>
    </cfRule>
  </conditionalFormatting>
  <conditionalFormatting sqref="AS9:AX9">
    <cfRule type="containsText" dxfId="9" priority="12" operator="containsText" text="Tillfredställande">
      <formula>NOT(ISERROR(SEARCH("Tillfredställande",AS9)))</formula>
    </cfRule>
  </conditionalFormatting>
  <conditionalFormatting sqref="AS11:AX11">
    <cfRule type="containsText" dxfId="8" priority="11" operator="containsText" text="Svag">
      <formula>NOT(ISERROR(SEARCH("Svag",AS11)))</formula>
    </cfRule>
  </conditionalFormatting>
  <conditionalFormatting sqref="AS11:AX11">
    <cfRule type="containsText" dxfId="7" priority="10" operator="containsText" text="Tillfredställande">
      <formula>NOT(ISERROR(SEARCH("Tillfredställande",AS11)))</formula>
    </cfRule>
  </conditionalFormatting>
  <conditionalFormatting sqref="AS11:AX11">
    <cfRule type="containsText" dxfId="6" priority="9" operator="containsText" text="Svag">
      <formula>NOT(ISERROR(SEARCH("Svag",AS11)))</formula>
    </cfRule>
  </conditionalFormatting>
  <conditionalFormatting sqref="AS11:AX11">
    <cfRule type="containsText" dxfId="5" priority="8" operator="containsText" text="Bra">
      <formula>NOT(ISERROR(SEARCH("Bra",AS11)))</formula>
    </cfRule>
  </conditionalFormatting>
  <conditionalFormatting sqref="AS11:AX11">
    <cfRule type="containsText" dxfId="4" priority="7" operator="containsText" text="Tillfredställande">
      <formula>NOT(ISERROR(SEARCH("Tillfredställande",AS11)))</formula>
    </cfRule>
  </conditionalFormatting>
  <conditionalFormatting sqref="AS11:AX11">
    <cfRule type="containsText" dxfId="3" priority="6" operator="containsText" text="Svag">
      <formula>NOT(ISERROR(SEARCH("Svag",AS11)))</formula>
    </cfRule>
  </conditionalFormatting>
  <conditionalFormatting sqref="AT14:AX14">
    <cfRule type="containsText" dxfId="2" priority="3" operator="containsText" text="Bra">
      <formula>NOT(ISERROR(SEARCH("Bra",AT14)))</formula>
    </cfRule>
    <cfRule type="containsText" dxfId="1" priority="4" operator="containsText" text="Tillfredställande">
      <formula>NOT(ISERROR(SEARCH("Tillfredställande",AT14)))</formula>
    </cfRule>
    <cfRule type="containsText" dxfId="0" priority="5" operator="containsText" text="Svag">
      <formula>NOT(ISERROR(SEARCH("Svag",AT14)))</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rowBreaks count="1" manualBreakCount="1">
    <brk id="145" min="1" max="14" man="1"/>
  </rowBreaks>
  <colBreaks count="3" manualBreakCount="3">
    <brk id="15" min="1" max="79" man="1"/>
    <brk id="25" min="1" max="79" man="1"/>
    <brk id="41" min="1" max="79"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81"/>
  <dimension ref="A1:V56"/>
  <sheetViews>
    <sheetView zoomScaleNormal="100" workbookViewId="0">
      <selection activeCell="J38" sqref="J38"/>
    </sheetView>
  </sheetViews>
  <sheetFormatPr defaultRowHeight="12.45"/>
  <cols>
    <col min="2" max="2" width="33.4609375" customWidth="1"/>
    <col min="7" max="7" width="4.84375" customWidth="1"/>
    <col min="9" max="9" width="31.07421875" customWidth="1"/>
    <col min="10" max="10" width="7.4609375" customWidth="1"/>
  </cols>
  <sheetData>
    <row r="1" spans="1:22" ht="12.9" thickBot="1"/>
    <row r="2" spans="1:22" ht="15.75" customHeight="1">
      <c r="B2" s="2538" t="s">
        <v>65</v>
      </c>
      <c r="C2" s="46" t="s">
        <v>14</v>
      </c>
      <c r="D2" s="46" t="s">
        <v>1</v>
      </c>
      <c r="E2" s="46" t="s">
        <v>12</v>
      </c>
      <c r="F2" s="198" t="s">
        <v>100</v>
      </c>
      <c r="G2" s="26"/>
      <c r="H2" s="26"/>
      <c r="I2" s="545" t="s">
        <v>119</v>
      </c>
      <c r="J2" t="str">
        <f>'10. T5 KASSABUDGET '!F14</f>
        <v>Moms-%</v>
      </c>
      <c r="K2" s="546" t="str">
        <f>'10. T5 KASSABUDGET '!G14</f>
        <v>jan.23</v>
      </c>
      <c r="L2" s="546" t="str">
        <f>'10. T5 KASSABUDGET '!H14</f>
        <v>feb.23</v>
      </c>
      <c r="M2" s="546" t="str">
        <f>'10. T5 KASSABUDGET '!I14</f>
        <v>mars.23</v>
      </c>
      <c r="N2" s="546" t="str">
        <f>'10. T5 KASSABUDGET '!J14</f>
        <v>april.23</v>
      </c>
      <c r="O2" s="546" t="str">
        <f>'10. T5 KASSABUDGET '!K14</f>
        <v>mai.23</v>
      </c>
      <c r="P2" s="546" t="str">
        <f>'10. T5 KASSABUDGET '!L14</f>
        <v>juni.23</v>
      </c>
      <c r="Q2" s="546" t="str">
        <f>'10. T5 KASSABUDGET '!M14</f>
        <v>juli.23</v>
      </c>
      <c r="R2" s="546" t="str">
        <f>'10. T5 KASSABUDGET '!N14</f>
        <v>aug.23</v>
      </c>
      <c r="S2" s="546" t="str">
        <f>'10. T5 KASSABUDGET '!O14</f>
        <v>sep.23</v>
      </c>
      <c r="T2" s="546" t="str">
        <f>'10. T5 KASSABUDGET '!P14</f>
        <v>okt.23</v>
      </c>
      <c r="U2" s="546" t="str">
        <f>'10. T5 KASSABUDGET '!Q14</f>
        <v>nov.23</v>
      </c>
      <c r="V2" s="546" t="str">
        <f>'10. T5 KASSABUDGET '!R14</f>
        <v>dec.23</v>
      </c>
    </row>
    <row r="3" spans="1:22">
      <c r="B3" s="2539"/>
      <c r="C3" s="199">
        <f>'1. T1 INVESTERINGSP. '!D16</f>
        <v>2023</v>
      </c>
      <c r="D3" s="199">
        <f>'1. T1 INVESTERINGSP. '!E16</f>
        <v>2024</v>
      </c>
      <c r="E3" s="199">
        <f>'1. T1 INVESTERINGSP. '!F16</f>
        <v>2025</v>
      </c>
      <c r="F3" s="199">
        <f>'1. T1 INVESTERINGSP. '!G16</f>
        <v>2026</v>
      </c>
      <c r="G3" s="547"/>
      <c r="H3" s="27">
        <f>'10. T5 KASSABUDGET '!B17</f>
        <v>2</v>
      </c>
      <c r="I3" s="552" t="str">
        <f>'10. T5 KASSABUDGET '!C17</f>
        <v xml:space="preserve"> Kontantbetalning, andel av försäljning</v>
      </c>
      <c r="J3">
        <f>'10. T5 KASSABUDGET '!F17</f>
        <v>24</v>
      </c>
      <c r="K3">
        <f>'10. T5 KASSABUDGET '!G17</f>
        <v>9898.3310000000001</v>
      </c>
      <c r="L3">
        <f>'10. T5 KASSABUDGET '!H17</f>
        <v>9898.3310000000001</v>
      </c>
      <c r="M3">
        <f>'10. T5 KASSABUDGET '!I17</f>
        <v>9898.3310000000001</v>
      </c>
      <c r="N3">
        <f>'10. T5 KASSABUDGET '!J17</f>
        <v>9898.3310000000001</v>
      </c>
      <c r="O3">
        <f>'10. T5 KASSABUDGET '!K17</f>
        <v>9898.3310000000001</v>
      </c>
      <c r="P3">
        <f>'10. T5 KASSABUDGET '!L17</f>
        <v>9898.3310000000001</v>
      </c>
      <c r="Q3">
        <f>'10. T5 KASSABUDGET '!M17</f>
        <v>9898.3310000000001</v>
      </c>
      <c r="R3">
        <f>'10. T5 KASSABUDGET '!N17</f>
        <v>9898.3310000000001</v>
      </c>
      <c r="S3">
        <f>'10. T5 KASSABUDGET '!O17</f>
        <v>9898.3310000000001</v>
      </c>
      <c r="T3">
        <f>'10. T5 KASSABUDGET '!P17</f>
        <v>9898.3310000000001</v>
      </c>
      <c r="U3">
        <f>'10. T5 KASSABUDGET '!Q17</f>
        <v>9898.3310000000001</v>
      </c>
      <c r="V3">
        <f>'10. T5 KASSABUDGET '!R17</f>
        <v>10375.358999999999</v>
      </c>
    </row>
    <row r="4" spans="1:22">
      <c r="A4">
        <f>'1. T1 INVESTERINGSP. '!B17</f>
        <v>1</v>
      </c>
      <c r="B4" s="92" t="str">
        <f>'1. T1 INVESTERINGSP. '!C17</f>
        <v>Jordområden</v>
      </c>
      <c r="C4" s="92">
        <f>'1. T1 INVESTERINGSP. '!D17</f>
        <v>10600</v>
      </c>
      <c r="D4" s="92">
        <f>'1. T1 INVESTERINGSP. '!E17</f>
        <v>0</v>
      </c>
      <c r="E4" s="92">
        <f>'1. T1 INVESTERINGSP. '!F17</f>
        <v>0</v>
      </c>
      <c r="F4" s="92">
        <f>'1. T1 INVESTERINGSP. '!G17</f>
        <v>0</v>
      </c>
      <c r="I4" s="553" t="s">
        <v>120</v>
      </c>
      <c r="K4">
        <f t="shared" ref="K4:V4" si="0">K3-K3/(1+$J3%)</f>
        <v>1915.8059999999996</v>
      </c>
      <c r="L4">
        <f t="shared" si="0"/>
        <v>1915.8059999999996</v>
      </c>
      <c r="M4">
        <f t="shared" si="0"/>
        <v>1915.8059999999996</v>
      </c>
      <c r="N4">
        <f t="shared" si="0"/>
        <v>1915.8059999999996</v>
      </c>
      <c r="O4">
        <f t="shared" si="0"/>
        <v>1915.8059999999996</v>
      </c>
      <c r="P4">
        <f t="shared" si="0"/>
        <v>1915.8059999999996</v>
      </c>
      <c r="Q4">
        <f t="shared" si="0"/>
        <v>1915.8059999999996</v>
      </c>
      <c r="R4">
        <f t="shared" si="0"/>
        <v>1915.8059999999996</v>
      </c>
      <c r="S4">
        <f t="shared" si="0"/>
        <v>1915.8059999999996</v>
      </c>
      <c r="T4">
        <f t="shared" si="0"/>
        <v>1915.8059999999996</v>
      </c>
      <c r="U4">
        <f t="shared" si="0"/>
        <v>1915.8059999999996</v>
      </c>
      <c r="V4">
        <f t="shared" si="0"/>
        <v>2008.134</v>
      </c>
    </row>
    <row r="5" spans="1:22">
      <c r="A5" s="1" t="s">
        <v>0</v>
      </c>
      <c r="B5" s="92" t="str">
        <f>'1. T1 INVESTERINGSP. '!C19</f>
        <v xml:space="preserve"> - bidrags-%</v>
      </c>
      <c r="C5" s="203">
        <f>'1. T1 INVESTERINGSP. '!D19</f>
        <v>0</v>
      </c>
      <c r="D5" s="203">
        <f>'1. T1 INVESTERINGSP. '!E19</f>
        <v>0</v>
      </c>
      <c r="E5" s="203">
        <f>'1. T1 INVESTERINGSP. '!F19</f>
        <v>0</v>
      </c>
      <c r="F5" s="203">
        <f>'1. T1 INVESTERINGSP. '!G19</f>
        <v>0</v>
      </c>
      <c r="G5" s="548"/>
      <c r="H5" s="27">
        <f>'10. T5 KASSABUDGET '!B19</f>
        <v>3</v>
      </c>
      <c r="I5" s="552" t="str">
        <f>'10. T5 KASSABUDGET '!C19</f>
        <v xml:space="preserve"> Fakturaförsäljning</v>
      </c>
      <c r="J5">
        <f>'10. T5 KASSABUDGET '!F19</f>
        <v>24</v>
      </c>
      <c r="K5">
        <f>'10. T5 KASSABUDGET '!G19</f>
        <v>9898.3310000000001</v>
      </c>
      <c r="L5">
        <f>'10. T5 KASSABUDGET '!H19</f>
        <v>9898.3310000000001</v>
      </c>
      <c r="M5">
        <f>'10. T5 KASSABUDGET '!I19</f>
        <v>9898.3310000000001</v>
      </c>
      <c r="N5">
        <f>'10. T5 KASSABUDGET '!J19</f>
        <v>9898.3310000000001</v>
      </c>
      <c r="O5">
        <f>'10. T5 KASSABUDGET '!K19</f>
        <v>9898.3310000000001</v>
      </c>
      <c r="P5">
        <f>'10. T5 KASSABUDGET '!L19</f>
        <v>9898.3310000000001</v>
      </c>
      <c r="Q5">
        <f>'10. T5 KASSABUDGET '!M19</f>
        <v>9898.3310000000001</v>
      </c>
      <c r="R5">
        <f>'10. T5 KASSABUDGET '!N19</f>
        <v>9898.3310000000001</v>
      </c>
      <c r="S5">
        <f>'10. T5 KASSABUDGET '!O19</f>
        <v>9898.3310000000001</v>
      </c>
      <c r="T5">
        <f>'10. T5 KASSABUDGET '!P19</f>
        <v>9898.3310000000001</v>
      </c>
      <c r="U5">
        <f>'10. T5 KASSABUDGET '!Q19</f>
        <v>9898.3310000000001</v>
      </c>
      <c r="V5">
        <f>'10. T5 KASSABUDGET '!R19</f>
        <v>10375.358999999999</v>
      </c>
    </row>
    <row r="6" spans="1:22">
      <c r="B6" s="200" t="s">
        <v>62</v>
      </c>
      <c r="C6" s="92">
        <f>C4*C5</f>
        <v>0</v>
      </c>
      <c r="D6" s="92">
        <f>D4*D5</f>
        <v>0</v>
      </c>
      <c r="E6" s="92">
        <f>E4*E5</f>
        <v>0</v>
      </c>
      <c r="F6" s="92">
        <f>F4*F5</f>
        <v>0</v>
      </c>
      <c r="I6" s="553" t="s">
        <v>120</v>
      </c>
      <c r="K6">
        <f t="shared" ref="K6:V6" si="1">K5-K5/(1+$J5%)</f>
        <v>1915.8059999999996</v>
      </c>
      <c r="L6">
        <f t="shared" si="1"/>
        <v>1915.8059999999996</v>
      </c>
      <c r="M6">
        <f t="shared" si="1"/>
        <v>1915.8059999999996</v>
      </c>
      <c r="N6">
        <f t="shared" si="1"/>
        <v>1915.8059999999996</v>
      </c>
      <c r="O6">
        <f t="shared" si="1"/>
        <v>1915.8059999999996</v>
      </c>
      <c r="P6">
        <f t="shared" si="1"/>
        <v>1915.8059999999996</v>
      </c>
      <c r="Q6">
        <f t="shared" si="1"/>
        <v>1915.8059999999996</v>
      </c>
      <c r="R6">
        <f t="shared" si="1"/>
        <v>1915.8059999999996</v>
      </c>
      <c r="S6">
        <f t="shared" si="1"/>
        <v>1915.8059999999996</v>
      </c>
      <c r="T6">
        <f t="shared" si="1"/>
        <v>1915.8059999999996</v>
      </c>
      <c r="U6">
        <f t="shared" si="1"/>
        <v>1915.8059999999996</v>
      </c>
      <c r="V6">
        <f t="shared" si="1"/>
        <v>2008.134</v>
      </c>
    </row>
    <row r="7" spans="1:22">
      <c r="B7" s="200" t="s">
        <v>583</v>
      </c>
      <c r="C7" s="92">
        <f>C4-C6</f>
        <v>10600</v>
      </c>
      <c r="D7" s="92">
        <f>D4-D6</f>
        <v>0</v>
      </c>
      <c r="E7" s="92">
        <f>E4-E6</f>
        <v>0</v>
      </c>
      <c r="F7" s="92">
        <f>F4-F6</f>
        <v>0</v>
      </c>
      <c r="H7" s="27">
        <f>'10. T5 KASSABUDGET '!B22</f>
        <v>4</v>
      </c>
      <c r="I7" s="552" t="str">
        <f>'10. T5 KASSABUDGET '!C22</f>
        <v xml:space="preserve"> Extraordinära intäkter, försäljning av egendom</v>
      </c>
      <c r="J7">
        <f>'10. T5 KASSABUDGET '!F22</f>
        <v>24</v>
      </c>
      <c r="K7">
        <f>'10. T5 KASSABUDGET '!G22</f>
        <v>0</v>
      </c>
      <c r="L7">
        <f>'10. T5 KASSABUDGET '!H22</f>
        <v>0</v>
      </c>
      <c r="M7">
        <f>'10. T5 KASSABUDGET '!I22</f>
        <v>0</v>
      </c>
      <c r="N7">
        <f>'10. T5 KASSABUDGET '!J22</f>
        <v>0</v>
      </c>
      <c r="O7">
        <f>'10. T5 KASSABUDGET '!K22</f>
        <v>0</v>
      </c>
      <c r="P7">
        <f>'10. T5 KASSABUDGET '!L22</f>
        <v>0</v>
      </c>
      <c r="Q7">
        <f>'10. T5 KASSABUDGET '!M22</f>
        <v>0</v>
      </c>
      <c r="R7">
        <f>'10. T5 KASSABUDGET '!N22</f>
        <v>0</v>
      </c>
      <c r="S7">
        <f>'10. T5 KASSABUDGET '!O22</f>
        <v>0</v>
      </c>
      <c r="T7">
        <f>'10. T5 KASSABUDGET '!P22</f>
        <v>0</v>
      </c>
      <c r="U7">
        <f>'10. T5 KASSABUDGET '!Q22</f>
        <v>0</v>
      </c>
      <c r="V7">
        <f>'10. T5 KASSABUDGET '!R22</f>
        <v>0</v>
      </c>
    </row>
    <row r="8" spans="1:22">
      <c r="A8" s="4">
        <f>'1. T1 INVESTERINGSP. '!B20</f>
        <v>2</v>
      </c>
      <c r="B8" s="200" t="str">
        <f>'1. T1 INVESTERINGSP. '!C20</f>
        <v xml:space="preserve">Byggnader och konstruktioner inkl. Moms </v>
      </c>
      <c r="C8" s="200">
        <f>'1. T1 INVESTERINGSP. '!D20</f>
        <v>0</v>
      </c>
      <c r="D8" s="200">
        <f>'1. T1 INVESTERINGSP. '!E20</f>
        <v>0</v>
      </c>
      <c r="E8" s="200">
        <f>'1. T1 INVESTERINGSP. '!F20</f>
        <v>0</v>
      </c>
      <c r="F8" s="200">
        <f>'1. T1 INVESTERINGSP. '!G20</f>
        <v>0</v>
      </c>
      <c r="G8" s="4"/>
      <c r="H8" s="40"/>
      <c r="I8" s="553" t="s">
        <v>120</v>
      </c>
      <c r="K8">
        <f t="shared" ref="K8:V8" si="2">K7-K7/(1+$J7%)</f>
        <v>0</v>
      </c>
      <c r="L8">
        <f t="shared" si="2"/>
        <v>0</v>
      </c>
      <c r="M8">
        <f t="shared" si="2"/>
        <v>0</v>
      </c>
      <c r="N8">
        <f t="shared" si="2"/>
        <v>0</v>
      </c>
      <c r="O8">
        <f t="shared" si="2"/>
        <v>0</v>
      </c>
      <c r="P8">
        <f t="shared" si="2"/>
        <v>0</v>
      </c>
      <c r="Q8">
        <f t="shared" si="2"/>
        <v>0</v>
      </c>
      <c r="R8">
        <f t="shared" si="2"/>
        <v>0</v>
      </c>
      <c r="S8">
        <f t="shared" si="2"/>
        <v>0</v>
      </c>
      <c r="T8">
        <f t="shared" si="2"/>
        <v>0</v>
      </c>
      <c r="U8">
        <f t="shared" si="2"/>
        <v>0</v>
      </c>
      <c r="V8">
        <f t="shared" si="2"/>
        <v>0</v>
      </c>
    </row>
    <row r="9" spans="1:22">
      <c r="A9" s="4"/>
      <c r="B9" s="200" t="str">
        <f>'1. T1 INVESTERINGSP. '!C22</f>
        <v xml:space="preserve"> - Moms-%</v>
      </c>
      <c r="C9" s="201">
        <f>'1. T1 INVESTERINGSP. '!D22</f>
        <v>0.24</v>
      </c>
      <c r="D9" s="201">
        <f>'1. T1 INVESTERINGSP. '!E22</f>
        <v>0.24</v>
      </c>
      <c r="E9" s="201">
        <f>'1. T1 INVESTERINGSP. '!F22</f>
        <v>0.24</v>
      </c>
      <c r="F9" s="201">
        <f>'1. T1 INVESTERINGSP. '!G22</f>
        <v>0.24</v>
      </c>
      <c r="G9" s="549"/>
      <c r="H9" s="40"/>
      <c r="I9" s="554" t="s">
        <v>121</v>
      </c>
      <c r="J9" s="555"/>
      <c r="K9" s="555">
        <f>K4+K6+K8</f>
        <v>3831.6119999999992</v>
      </c>
      <c r="L9" s="555">
        <f t="shared" ref="L9:V9" si="3">L4+L6+L8</f>
        <v>3831.6119999999992</v>
      </c>
      <c r="M9" s="555">
        <f t="shared" si="3"/>
        <v>3831.6119999999992</v>
      </c>
      <c r="N9" s="555">
        <f t="shared" si="3"/>
        <v>3831.6119999999992</v>
      </c>
      <c r="O9" s="555">
        <f t="shared" si="3"/>
        <v>3831.6119999999992</v>
      </c>
      <c r="P9" s="555">
        <f t="shared" si="3"/>
        <v>3831.6119999999992</v>
      </c>
      <c r="Q9" s="555">
        <f t="shared" si="3"/>
        <v>3831.6119999999992</v>
      </c>
      <c r="R9" s="555">
        <f t="shared" si="3"/>
        <v>3831.6119999999992</v>
      </c>
      <c r="S9" s="555">
        <f t="shared" si="3"/>
        <v>3831.6119999999992</v>
      </c>
      <c r="T9" s="555">
        <f t="shared" si="3"/>
        <v>3831.6119999999992</v>
      </c>
      <c r="U9" s="555">
        <f t="shared" si="3"/>
        <v>3831.6119999999992</v>
      </c>
      <c r="V9" s="555">
        <f t="shared" si="3"/>
        <v>4016.268</v>
      </c>
    </row>
    <row r="10" spans="1:22">
      <c r="A10" s="4"/>
      <c r="B10" s="200" t="s">
        <v>61</v>
      </c>
      <c r="C10" s="202">
        <f>C8/(1+C9)</f>
        <v>0</v>
      </c>
      <c r="D10" s="202">
        <f>D8/(1+D9)</f>
        <v>0</v>
      </c>
      <c r="E10" s="202">
        <f>E8/(1+E9)</f>
        <v>0</v>
      </c>
      <c r="F10" s="202">
        <f>F8/(1+F9)</f>
        <v>0</v>
      </c>
      <c r="G10" s="550"/>
      <c r="H10" s="40">
        <f>'10. T5 KASSABUDGET '!B27</f>
        <v>6</v>
      </c>
      <c r="I10" s="40" t="str">
        <f>'10. T5 KASSABUDGET '!C27</f>
        <v xml:space="preserve"> Materialbruk och varor</v>
      </c>
      <c r="J10">
        <f>'10. T5 KASSABUDGET '!F27</f>
        <v>24</v>
      </c>
      <c r="K10">
        <f>'10. T5 KASSABUDGET '!G27</f>
        <v>1583.73296</v>
      </c>
      <c r="L10">
        <f>'10. T5 KASSABUDGET '!H27</f>
        <v>1583.73296</v>
      </c>
      <c r="M10">
        <f>'10. T5 KASSABUDGET '!I27</f>
        <v>1583.73296</v>
      </c>
      <c r="N10">
        <f>'10. T5 KASSABUDGET '!J27</f>
        <v>1583.73296</v>
      </c>
      <c r="O10">
        <f>'10. T5 KASSABUDGET '!K27</f>
        <v>1583.73296</v>
      </c>
      <c r="P10">
        <f>'10. T5 KASSABUDGET '!L27</f>
        <v>1583.73296</v>
      </c>
      <c r="Q10">
        <f>'10. T5 KASSABUDGET '!M27</f>
        <v>1583.73296</v>
      </c>
      <c r="R10">
        <f>'10. T5 KASSABUDGET '!N27</f>
        <v>1583.73296</v>
      </c>
      <c r="S10">
        <f>'10. T5 KASSABUDGET '!O27</f>
        <v>1583.73296</v>
      </c>
      <c r="T10">
        <f>'10. T5 KASSABUDGET '!P27</f>
        <v>1583.73296</v>
      </c>
      <c r="U10">
        <f>'10. T5 KASSABUDGET '!Q27</f>
        <v>1583.73296</v>
      </c>
      <c r="V10">
        <f>'10. T5 KASSABUDGET '!R27</f>
        <v>1660.0574399999998</v>
      </c>
    </row>
    <row r="11" spans="1:22">
      <c r="A11" s="4" t="s">
        <v>0</v>
      </c>
      <c r="B11" s="200" t="s">
        <v>60</v>
      </c>
      <c r="C11" s="202">
        <f>C8-C10</f>
        <v>0</v>
      </c>
      <c r="D11" s="202">
        <f>D8-D10</f>
        <v>0</v>
      </c>
      <c r="E11" s="202">
        <f>E8-E10</f>
        <v>0</v>
      </c>
      <c r="F11" s="202">
        <f>F8-F10</f>
        <v>0</v>
      </c>
      <c r="G11" s="550"/>
      <c r="I11" s="553" t="s">
        <v>120</v>
      </c>
      <c r="K11">
        <f t="shared" ref="K11:V11" si="4">K10-K10/(1+$J10%)</f>
        <v>306.5289600000001</v>
      </c>
      <c r="L11">
        <f t="shared" si="4"/>
        <v>306.5289600000001</v>
      </c>
      <c r="M11">
        <f t="shared" si="4"/>
        <v>306.5289600000001</v>
      </c>
      <c r="N11">
        <f t="shared" si="4"/>
        <v>306.5289600000001</v>
      </c>
      <c r="O11">
        <f t="shared" si="4"/>
        <v>306.5289600000001</v>
      </c>
      <c r="P11">
        <f t="shared" si="4"/>
        <v>306.5289600000001</v>
      </c>
      <c r="Q11">
        <f t="shared" si="4"/>
        <v>306.5289600000001</v>
      </c>
      <c r="R11">
        <f t="shared" si="4"/>
        <v>306.5289600000001</v>
      </c>
      <c r="S11">
        <f t="shared" si="4"/>
        <v>306.5289600000001</v>
      </c>
      <c r="T11">
        <f t="shared" si="4"/>
        <v>306.5289600000001</v>
      </c>
      <c r="U11">
        <f t="shared" si="4"/>
        <v>306.5289600000001</v>
      </c>
      <c r="V11">
        <f t="shared" si="4"/>
        <v>321.30143999999996</v>
      </c>
    </row>
    <row r="12" spans="1:22">
      <c r="A12" s="4"/>
      <c r="B12" s="200" t="str">
        <f>'1. T1 INVESTERINGSP. '!C23</f>
        <v xml:space="preserve"> - bidrags-%</v>
      </c>
      <c r="C12" s="201">
        <f>'1. T1 INVESTERINGSP. '!D23</f>
        <v>0</v>
      </c>
      <c r="D12" s="201">
        <f>'1. T1 INVESTERINGSP. '!E23</f>
        <v>0</v>
      </c>
      <c r="E12" s="201">
        <f>'1. T1 INVESTERINGSP. '!F23</f>
        <v>0</v>
      </c>
      <c r="F12" s="201">
        <f>'1. T1 INVESTERINGSP. '!G23</f>
        <v>0</v>
      </c>
      <c r="G12" s="549"/>
      <c r="H12" s="40">
        <f>'10. T5 KASSABUDGET '!B28</f>
        <v>7</v>
      </c>
      <c r="I12" s="40" t="str">
        <f>'10. T5 KASSABUDGET '!C28</f>
        <v xml:space="preserve"> Kontanta inköp</v>
      </c>
      <c r="J12">
        <f>'10. T5 KASSABUDGET '!F28</f>
        <v>24</v>
      </c>
      <c r="K12">
        <f>'10. T5 KASSABUDGET '!G28</f>
        <v>0</v>
      </c>
      <c r="L12">
        <f>'10. T5 KASSABUDGET '!H28</f>
        <v>0</v>
      </c>
      <c r="M12">
        <f>'10. T5 KASSABUDGET '!I28</f>
        <v>0</v>
      </c>
      <c r="N12">
        <f>'10. T5 KASSABUDGET '!J28</f>
        <v>0</v>
      </c>
      <c r="O12">
        <f>'10. T5 KASSABUDGET '!K28</f>
        <v>0</v>
      </c>
      <c r="P12">
        <f>'10. T5 KASSABUDGET '!L28</f>
        <v>0</v>
      </c>
      <c r="Q12">
        <f>'10. T5 KASSABUDGET '!M28</f>
        <v>0</v>
      </c>
      <c r="R12">
        <f>'10. T5 KASSABUDGET '!N28</f>
        <v>0</v>
      </c>
      <c r="S12">
        <f>'10. T5 KASSABUDGET '!O28</f>
        <v>0</v>
      </c>
      <c r="T12">
        <f>'10. T5 KASSABUDGET '!P28</f>
        <v>0</v>
      </c>
      <c r="U12">
        <f>'10. T5 KASSABUDGET '!Q28</f>
        <v>0</v>
      </c>
      <c r="V12">
        <f>'10. T5 KASSABUDGET '!R28</f>
        <v>0</v>
      </c>
    </row>
    <row r="13" spans="1:22">
      <c r="A13" s="4"/>
      <c r="B13" s="200" t="s">
        <v>62</v>
      </c>
      <c r="C13" s="202">
        <f>C10*C12</f>
        <v>0</v>
      </c>
      <c r="D13" s="202">
        <f>D10*D12</f>
        <v>0</v>
      </c>
      <c r="E13" s="202">
        <f>E10*E12</f>
        <v>0</v>
      </c>
      <c r="F13" s="202">
        <f>F10*F12</f>
        <v>0</v>
      </c>
      <c r="G13" s="550"/>
      <c r="I13" s="553" t="s">
        <v>120</v>
      </c>
      <c r="K13">
        <f t="shared" ref="K13:V13" si="5">K12-K12/(1+$J12%)</f>
        <v>0</v>
      </c>
      <c r="L13">
        <f t="shared" si="5"/>
        <v>0</v>
      </c>
      <c r="M13">
        <f t="shared" si="5"/>
        <v>0</v>
      </c>
      <c r="N13">
        <f t="shared" si="5"/>
        <v>0</v>
      </c>
      <c r="O13">
        <f t="shared" si="5"/>
        <v>0</v>
      </c>
      <c r="P13">
        <f t="shared" si="5"/>
        <v>0</v>
      </c>
      <c r="Q13">
        <f t="shared" si="5"/>
        <v>0</v>
      </c>
      <c r="R13">
        <f t="shared" si="5"/>
        <v>0</v>
      </c>
      <c r="S13">
        <f t="shared" si="5"/>
        <v>0</v>
      </c>
      <c r="T13">
        <f t="shared" si="5"/>
        <v>0</v>
      </c>
      <c r="U13">
        <f t="shared" si="5"/>
        <v>0</v>
      </c>
      <c r="V13">
        <f t="shared" si="5"/>
        <v>0</v>
      </c>
    </row>
    <row r="14" spans="1:22">
      <c r="B14" s="200" t="s">
        <v>583</v>
      </c>
      <c r="C14" s="226">
        <f>C10-C13</f>
        <v>0</v>
      </c>
      <c r="D14" s="226">
        <f>D10-D13</f>
        <v>0</v>
      </c>
      <c r="E14" s="226">
        <f>E10-E13</f>
        <v>0</v>
      </c>
      <c r="F14" s="226">
        <f>F10-F13</f>
        <v>0</v>
      </c>
      <c r="G14" s="40"/>
      <c r="H14" s="40">
        <f>'10. T5 KASSABUDGET '!B29</f>
        <v>8</v>
      </c>
      <c r="I14" s="40" t="str">
        <f>'10. T5 KASSABUDGET '!C29</f>
        <v xml:space="preserve"> Köpta tjänster</v>
      </c>
      <c r="J14">
        <f>'10. T5 KASSABUDGET '!F29</f>
        <v>24</v>
      </c>
      <c r="K14">
        <f>'10. T5 KASSABUDGET '!G29</f>
        <v>13.331210063520494</v>
      </c>
      <c r="L14">
        <f>'10. T5 KASSABUDGET '!H29</f>
        <v>13.331210063520494</v>
      </c>
      <c r="M14">
        <f>'10. T5 KASSABUDGET '!I29</f>
        <v>13.331210063520494</v>
      </c>
      <c r="N14">
        <f>'10. T5 KASSABUDGET '!J29</f>
        <v>13.331210063520494</v>
      </c>
      <c r="O14">
        <f>'10. T5 KASSABUDGET '!K29</f>
        <v>13.331210063520494</v>
      </c>
      <c r="P14">
        <f>'10. T5 KASSABUDGET '!L29</f>
        <v>13.331210063520494</v>
      </c>
      <c r="Q14">
        <f>'10. T5 KASSABUDGET '!M29</f>
        <v>13.331210063520494</v>
      </c>
      <c r="R14">
        <f>'10. T5 KASSABUDGET '!N29</f>
        <v>13.331210063520494</v>
      </c>
      <c r="S14">
        <f>'10. T5 KASSABUDGET '!O29</f>
        <v>13.331210063520494</v>
      </c>
      <c r="T14">
        <f>'10. T5 KASSABUDGET '!P29</f>
        <v>13.331210063520494</v>
      </c>
      <c r="U14">
        <f>'10. T5 KASSABUDGET '!Q29</f>
        <v>13.331210063520494</v>
      </c>
      <c r="V14">
        <f>'10. T5 KASSABUDGET '!R29</f>
        <v>13.331210063520494</v>
      </c>
    </row>
    <row r="15" spans="1:22">
      <c r="A15" s="4">
        <f>'1. T1 INVESTERINGSP. '!B24</f>
        <v>3</v>
      </c>
      <c r="B15" s="200" t="str">
        <f>'1. T1 INVESTERINGSP. '!C24</f>
        <v>Byggnader och konstruktioner Moms 0 %</v>
      </c>
      <c r="C15" s="200">
        <f>'1. T1 INVESTERINGSP. '!D24</f>
        <v>189400</v>
      </c>
      <c r="D15" s="200">
        <f>'1. T1 INVESTERINGSP. '!E24</f>
        <v>0</v>
      </c>
      <c r="E15" s="200">
        <f>'1. T1 INVESTERINGSP. '!F24</f>
        <v>0</v>
      </c>
      <c r="F15" s="200">
        <f>'1. T1 INVESTERINGSP. '!G24</f>
        <v>0</v>
      </c>
      <c r="G15" s="4"/>
      <c r="I15" s="553" t="s">
        <v>120</v>
      </c>
      <c r="K15">
        <f t="shared" ref="K15:V15" si="6">K14-K14/(1+$J14%)</f>
        <v>2.580234205842677</v>
      </c>
      <c r="L15">
        <f t="shared" si="6"/>
        <v>2.580234205842677</v>
      </c>
      <c r="M15">
        <f t="shared" si="6"/>
        <v>2.580234205842677</v>
      </c>
      <c r="N15">
        <f t="shared" si="6"/>
        <v>2.580234205842677</v>
      </c>
      <c r="O15">
        <f t="shared" si="6"/>
        <v>2.580234205842677</v>
      </c>
      <c r="P15">
        <f t="shared" si="6"/>
        <v>2.580234205842677</v>
      </c>
      <c r="Q15">
        <f t="shared" si="6"/>
        <v>2.580234205842677</v>
      </c>
      <c r="R15">
        <f t="shared" si="6"/>
        <v>2.580234205842677</v>
      </c>
      <c r="S15">
        <f t="shared" si="6"/>
        <v>2.580234205842677</v>
      </c>
      <c r="T15">
        <f t="shared" si="6"/>
        <v>2.580234205842677</v>
      </c>
      <c r="U15">
        <f t="shared" si="6"/>
        <v>2.580234205842677</v>
      </c>
      <c r="V15">
        <f t="shared" si="6"/>
        <v>2.580234205842677</v>
      </c>
    </row>
    <row r="16" spans="1:22">
      <c r="A16" s="4"/>
      <c r="B16" s="200" t="s">
        <v>186</v>
      </c>
      <c r="C16" s="201">
        <f>'1. T1 INVESTERINGSP. '!D26</f>
        <v>0</v>
      </c>
      <c r="D16" s="201">
        <f>'1. T1 INVESTERINGSP. '!E26</f>
        <v>0</v>
      </c>
      <c r="E16" s="201">
        <f>'1. T1 INVESTERINGSP. '!F26</f>
        <v>0</v>
      </c>
      <c r="F16" s="201">
        <f>'1. T1 INVESTERINGSP. '!G26</f>
        <v>0</v>
      </c>
      <c r="G16" s="549"/>
      <c r="H16" s="40">
        <f>'10. T5 KASSABUDGET '!B30</f>
        <v>9</v>
      </c>
      <c r="I16" s="40" t="str">
        <f>'10. T5 KASSABUDGET '!C30</f>
        <v xml:space="preserve"> Investeringar inkl. Moms</v>
      </c>
      <c r="J16">
        <f>'10. T5 KASSABUDGET '!F30</f>
        <v>24</v>
      </c>
      <c r="K16">
        <f>'10. T5 KASSABUDGET '!G30</f>
        <v>0</v>
      </c>
      <c r="L16">
        <f>'10. T5 KASSABUDGET '!H30</f>
        <v>0</v>
      </c>
      <c r="M16">
        <f>'10. T5 KASSABUDGET '!I30</f>
        <v>0</v>
      </c>
      <c r="N16">
        <f>'10. T5 KASSABUDGET '!J30</f>
        <v>0</v>
      </c>
      <c r="O16">
        <f>'10. T5 KASSABUDGET '!K30</f>
        <v>0</v>
      </c>
      <c r="P16">
        <f>'10. T5 KASSABUDGET '!L30</f>
        <v>0</v>
      </c>
      <c r="Q16">
        <f>'10. T5 KASSABUDGET '!M30</f>
        <v>0</v>
      </c>
      <c r="R16">
        <f>'10. T5 KASSABUDGET '!N30</f>
        <v>0</v>
      </c>
      <c r="S16">
        <f>'10. T5 KASSABUDGET '!O30</f>
        <v>0</v>
      </c>
      <c r="T16">
        <f>'10. T5 KASSABUDGET '!P30</f>
        <v>0</v>
      </c>
      <c r="U16">
        <f>'10. T5 KASSABUDGET '!Q30</f>
        <v>0</v>
      </c>
      <c r="V16">
        <f>'10. T5 KASSABUDGET '!R30</f>
        <v>0</v>
      </c>
    </row>
    <row r="17" spans="1:22">
      <c r="A17" s="4"/>
      <c r="B17" s="200" t="s">
        <v>62</v>
      </c>
      <c r="C17" s="92">
        <f>C16*C15</f>
        <v>0</v>
      </c>
      <c r="D17" s="92">
        <f>D16*D15</f>
        <v>0</v>
      </c>
      <c r="E17" s="92">
        <f>E16*E15</f>
        <v>0</v>
      </c>
      <c r="F17" s="92">
        <f>F16*F15</f>
        <v>0</v>
      </c>
      <c r="I17" s="553" t="s">
        <v>120</v>
      </c>
      <c r="K17">
        <f t="shared" ref="K17:V17" si="7">K16-K16/(1+$J16%)</f>
        <v>0</v>
      </c>
      <c r="L17">
        <f t="shared" si="7"/>
        <v>0</v>
      </c>
      <c r="M17">
        <f t="shared" si="7"/>
        <v>0</v>
      </c>
      <c r="N17">
        <f t="shared" si="7"/>
        <v>0</v>
      </c>
      <c r="O17">
        <f t="shared" si="7"/>
        <v>0</v>
      </c>
      <c r="P17">
        <f t="shared" si="7"/>
        <v>0</v>
      </c>
      <c r="Q17">
        <f t="shared" si="7"/>
        <v>0</v>
      </c>
      <c r="R17">
        <f t="shared" si="7"/>
        <v>0</v>
      </c>
      <c r="S17">
        <f t="shared" si="7"/>
        <v>0</v>
      </c>
      <c r="T17">
        <f t="shared" si="7"/>
        <v>0</v>
      </c>
      <c r="U17">
        <f t="shared" si="7"/>
        <v>0</v>
      </c>
      <c r="V17">
        <f t="shared" si="7"/>
        <v>0</v>
      </c>
    </row>
    <row r="18" spans="1:22">
      <c r="B18" s="200" t="s">
        <v>583</v>
      </c>
      <c r="C18" s="92">
        <f>C15-C17</f>
        <v>189400</v>
      </c>
      <c r="D18" s="92">
        <f>D15-D17</f>
        <v>0</v>
      </c>
      <c r="E18" s="92">
        <f>E15-E17</f>
        <v>0</v>
      </c>
      <c r="F18" s="92">
        <f>F15-F17</f>
        <v>0</v>
      </c>
      <c r="H18" s="40">
        <f>'10. T5 KASSABUDGET '!B31</f>
        <v>10</v>
      </c>
      <c r="I18" s="40" t="str">
        <f>'10. T5 KASSABUDGET '!C31</f>
        <v xml:space="preserve"> Lokalhyror inklusive Moms</v>
      </c>
      <c r="J18">
        <f>'10. T5 KASSABUDGET '!F31</f>
        <v>24</v>
      </c>
      <c r="K18">
        <f>'10. T5 KASSABUDGET '!G31</f>
        <v>763.84</v>
      </c>
      <c r="L18">
        <f>'10. T5 KASSABUDGET '!H31</f>
        <v>763.84</v>
      </c>
      <c r="M18">
        <f>'10. T5 KASSABUDGET '!I31</f>
        <v>763.84</v>
      </c>
      <c r="N18">
        <f>'10. T5 KASSABUDGET '!J31</f>
        <v>763.84</v>
      </c>
      <c r="O18">
        <f>'10. T5 KASSABUDGET '!K31</f>
        <v>763.84</v>
      </c>
      <c r="P18">
        <f>'10. T5 KASSABUDGET '!L31</f>
        <v>763.84</v>
      </c>
      <c r="Q18">
        <f>'10. T5 KASSABUDGET '!M31</f>
        <v>763.84</v>
      </c>
      <c r="R18">
        <f>'10. T5 KASSABUDGET '!N31</f>
        <v>763.84</v>
      </c>
      <c r="S18">
        <f>'10. T5 KASSABUDGET '!O31</f>
        <v>763.84</v>
      </c>
      <c r="T18">
        <f>'10. T5 KASSABUDGET '!P31</f>
        <v>763.84</v>
      </c>
      <c r="U18">
        <f>'10. T5 KASSABUDGET '!Q31</f>
        <v>763.84</v>
      </c>
      <c r="V18">
        <f>'10. T5 KASSABUDGET '!R31</f>
        <v>763.84</v>
      </c>
    </row>
    <row r="19" spans="1:22">
      <c r="A19" s="4">
        <f>'1. T1 INVESTERINGSP. '!B27</f>
        <v>4</v>
      </c>
      <c r="B19" s="200" t="str">
        <f>'1. T1 INVESTERINGSP. '!C27</f>
        <v>Maskiner och anläggningar inkl. Moms</v>
      </c>
      <c r="C19" s="200">
        <f>'1. T1 INVESTERINGSP. '!D27</f>
        <v>0</v>
      </c>
      <c r="D19" s="200">
        <f>'1. T1 INVESTERINGSP. '!E27</f>
        <v>0</v>
      </c>
      <c r="E19" s="200">
        <f>'1. T1 INVESTERINGSP. '!F27</f>
        <v>0</v>
      </c>
      <c r="F19" s="200">
        <f>'1. T1 INVESTERINGSP. '!G27</f>
        <v>0</v>
      </c>
      <c r="G19" s="4"/>
      <c r="I19" s="553" t="s">
        <v>120</v>
      </c>
      <c r="K19">
        <f t="shared" ref="K19:V19" si="8">K18-K18/(1+$J18%)</f>
        <v>147.84000000000003</v>
      </c>
      <c r="L19">
        <f t="shared" si="8"/>
        <v>147.84000000000003</v>
      </c>
      <c r="M19">
        <f t="shared" si="8"/>
        <v>147.84000000000003</v>
      </c>
      <c r="N19">
        <f t="shared" si="8"/>
        <v>147.84000000000003</v>
      </c>
      <c r="O19">
        <f t="shared" si="8"/>
        <v>147.84000000000003</v>
      </c>
      <c r="P19">
        <f t="shared" si="8"/>
        <v>147.84000000000003</v>
      </c>
      <c r="Q19">
        <f t="shared" si="8"/>
        <v>147.84000000000003</v>
      </c>
      <c r="R19">
        <f t="shared" si="8"/>
        <v>147.84000000000003</v>
      </c>
      <c r="S19">
        <f t="shared" si="8"/>
        <v>147.84000000000003</v>
      </c>
      <c r="T19">
        <f t="shared" si="8"/>
        <v>147.84000000000003</v>
      </c>
      <c r="U19">
        <f t="shared" si="8"/>
        <v>147.84000000000003</v>
      </c>
      <c r="V19">
        <f t="shared" si="8"/>
        <v>147.84000000000003</v>
      </c>
    </row>
    <row r="20" spans="1:22">
      <c r="A20" s="4"/>
      <c r="B20" s="200" t="s">
        <v>542</v>
      </c>
      <c r="C20" s="709">
        <f>'1. T1 INVESTERINGSP. '!D56</f>
        <v>0</v>
      </c>
      <c r="D20" s="709">
        <f>'1. T1 INVESTERINGSP. '!E56</f>
        <v>0</v>
      </c>
      <c r="E20" s="709">
        <f>'1. T1 INVESTERINGSP. '!F56</f>
        <v>0</v>
      </c>
      <c r="F20" s="709">
        <f>'1. T1 INVESTERINGSP. '!G56</f>
        <v>0</v>
      </c>
      <c r="G20" s="4"/>
      <c r="I20" s="553"/>
    </row>
    <row r="21" spans="1:22">
      <c r="A21" s="4"/>
      <c r="B21" s="200" t="s">
        <v>543</v>
      </c>
      <c r="C21" s="226">
        <f>C19-C20</f>
        <v>0</v>
      </c>
      <c r="D21" s="226">
        <f>D19-D20</f>
        <v>0</v>
      </c>
      <c r="E21" s="226">
        <f>E19-E20</f>
        <v>0</v>
      </c>
      <c r="F21" s="226">
        <f>F19-F20</f>
        <v>0</v>
      </c>
      <c r="G21" s="4"/>
      <c r="I21" s="553"/>
    </row>
    <row r="22" spans="1:22">
      <c r="A22" s="4" t="s">
        <v>0</v>
      </c>
      <c r="B22" s="200" t="str">
        <f>'1. T1 INVESTERINGSP. '!C28</f>
        <v xml:space="preserve"> - Moms-%</v>
      </c>
      <c r="C22" s="201">
        <f>'1. T1 INVESTERINGSP. '!D28</f>
        <v>0.24</v>
      </c>
      <c r="D22" s="201">
        <f>'1. T1 INVESTERINGSP. '!E28</f>
        <v>0.24</v>
      </c>
      <c r="E22" s="201">
        <f>'1. T1 INVESTERINGSP. '!F28</f>
        <v>0.24</v>
      </c>
      <c r="F22" s="201">
        <f>'1. T1 INVESTERINGSP. '!G28</f>
        <v>0.24</v>
      </c>
      <c r="G22" s="549"/>
      <c r="H22" s="40">
        <f>'10. T5 KASSABUDGET '!B32</f>
        <v>11</v>
      </c>
      <c r="I22" s="40" t="str">
        <f>'10. T5 KASSABUDGET '!C32</f>
        <v xml:space="preserve"> Maskin- och fordonleasingkostnader, affärsbruk</v>
      </c>
      <c r="J22">
        <f>'10. T5 KASSABUDGET '!F32</f>
        <v>24</v>
      </c>
      <c r="K22">
        <f>'10. T5 KASSABUDGET '!G32</f>
        <v>0</v>
      </c>
      <c r="L22">
        <f>'10. T5 KASSABUDGET '!H32</f>
        <v>0</v>
      </c>
      <c r="M22">
        <f>'10. T5 KASSABUDGET '!I32</f>
        <v>0</v>
      </c>
      <c r="N22">
        <f>'10. T5 KASSABUDGET '!J32</f>
        <v>0</v>
      </c>
      <c r="O22">
        <f>'10. T5 KASSABUDGET '!K32</f>
        <v>0</v>
      </c>
      <c r="P22">
        <f>'10. T5 KASSABUDGET '!L32</f>
        <v>0</v>
      </c>
      <c r="Q22">
        <f>'10. T5 KASSABUDGET '!M32</f>
        <v>0</v>
      </c>
      <c r="R22">
        <f>'10. T5 KASSABUDGET '!N32</f>
        <v>0</v>
      </c>
      <c r="S22">
        <f>'10. T5 KASSABUDGET '!O32</f>
        <v>0</v>
      </c>
      <c r="T22">
        <f>'10. T5 KASSABUDGET '!P32</f>
        <v>0</v>
      </c>
      <c r="U22">
        <f>'10. T5 KASSABUDGET '!Q32</f>
        <v>0</v>
      </c>
      <c r="V22">
        <f>'10. T5 KASSABUDGET '!R32</f>
        <v>0</v>
      </c>
    </row>
    <row r="23" spans="1:22">
      <c r="A23" s="4"/>
      <c r="B23" s="200" t="s">
        <v>544</v>
      </c>
      <c r="C23" s="202">
        <f>C21/(1+C22)</f>
        <v>0</v>
      </c>
      <c r="D23" s="202">
        <f>D21/(1+D22)</f>
        <v>0</v>
      </c>
      <c r="E23" s="202">
        <f>E21/(1+E22)</f>
        <v>0</v>
      </c>
      <c r="F23" s="202">
        <f>F21/(1+F22)</f>
        <v>0</v>
      </c>
      <c r="G23" s="550"/>
      <c r="I23" s="553" t="s">
        <v>120</v>
      </c>
      <c r="K23">
        <f t="shared" ref="K23:V23" si="9">K22-K22/(1+$J22%)</f>
        <v>0</v>
      </c>
      <c r="L23">
        <f t="shared" si="9"/>
        <v>0</v>
      </c>
      <c r="M23">
        <f t="shared" si="9"/>
        <v>0</v>
      </c>
      <c r="N23">
        <f t="shared" si="9"/>
        <v>0</v>
      </c>
      <c r="O23">
        <f t="shared" si="9"/>
        <v>0</v>
      </c>
      <c r="P23">
        <f t="shared" si="9"/>
        <v>0</v>
      </c>
      <c r="Q23">
        <f t="shared" si="9"/>
        <v>0</v>
      </c>
      <c r="R23">
        <f t="shared" si="9"/>
        <v>0</v>
      </c>
      <c r="S23">
        <f t="shared" si="9"/>
        <v>0</v>
      </c>
      <c r="T23">
        <f t="shared" si="9"/>
        <v>0</v>
      </c>
      <c r="U23">
        <f t="shared" si="9"/>
        <v>0</v>
      </c>
      <c r="V23">
        <f t="shared" si="9"/>
        <v>0</v>
      </c>
    </row>
    <row r="24" spans="1:22">
      <c r="A24" s="4"/>
      <c r="B24" s="200" t="s">
        <v>60</v>
      </c>
      <c r="C24" s="202">
        <f>C21-C23</f>
        <v>0</v>
      </c>
      <c r="D24" s="202">
        <f>D21-D23</f>
        <v>0</v>
      </c>
      <c r="E24" s="202">
        <f>E21-E23</f>
        <v>0</v>
      </c>
      <c r="F24" s="202">
        <f>F21-F23</f>
        <v>0</v>
      </c>
      <c r="G24" s="550"/>
      <c r="H24" s="40">
        <f>'10. T5 KASSABUDGET '!B33</f>
        <v>12</v>
      </c>
      <c r="I24" s="40" t="str">
        <f>'10. T5 KASSABUDGET '!C33</f>
        <v xml:space="preserve"> Övriga fasta kostnader inkl. Moms</v>
      </c>
      <c r="J24">
        <f>'10. T5 KASSABUDGET '!F33</f>
        <v>24</v>
      </c>
      <c r="K24">
        <f>'10. T5 KASSABUDGET '!G33</f>
        <v>2049.5226333333335</v>
      </c>
      <c r="L24">
        <f>'10. T5 KASSABUDGET '!H33</f>
        <v>2049.5226333333335</v>
      </c>
      <c r="M24">
        <f>'10. T5 KASSABUDGET '!I33</f>
        <v>2049.5226333333335</v>
      </c>
      <c r="N24">
        <f>'10. T5 KASSABUDGET '!J33</f>
        <v>2049.5226333333335</v>
      </c>
      <c r="O24">
        <f>'10. T5 KASSABUDGET '!K33</f>
        <v>2049.5226333333335</v>
      </c>
      <c r="P24">
        <f>'10. T5 KASSABUDGET '!L33</f>
        <v>2049.5226333333335</v>
      </c>
      <c r="Q24">
        <f>'10. T5 KASSABUDGET '!M33</f>
        <v>2049.5226333333335</v>
      </c>
      <c r="R24">
        <f>'10. T5 KASSABUDGET '!N33</f>
        <v>2049.5226333333335</v>
      </c>
      <c r="S24">
        <f>'10. T5 KASSABUDGET '!O33</f>
        <v>2049.5226333333335</v>
      </c>
      <c r="T24">
        <f>'10. T5 KASSABUDGET '!P33</f>
        <v>2049.5226333333335</v>
      </c>
      <c r="U24">
        <f>'10. T5 KASSABUDGET '!Q33</f>
        <v>2049.5226333333335</v>
      </c>
      <c r="V24">
        <f>'10. T5 KASSABUDGET '!R33</f>
        <v>2049.5226333333335</v>
      </c>
    </row>
    <row r="25" spans="1:22">
      <c r="A25" s="4" t="s">
        <v>0</v>
      </c>
      <c r="B25" s="200" t="str">
        <f>'1. T1 INVESTERINGSP. '!C29</f>
        <v xml:space="preserve"> - bidrags-%</v>
      </c>
      <c r="C25" s="201">
        <f>'1. T1 INVESTERINGSP. '!D29</f>
        <v>0</v>
      </c>
      <c r="D25" s="201">
        <f>'1. T1 INVESTERINGSP. '!E29</f>
        <v>0</v>
      </c>
      <c r="E25" s="201">
        <f>'1. T1 INVESTERINGSP. '!F29</f>
        <v>0</v>
      </c>
      <c r="F25" s="201">
        <f>'1. T1 INVESTERINGSP. '!G29</f>
        <v>0</v>
      </c>
      <c r="G25" s="549"/>
      <c r="H25" s="21"/>
      <c r="I25" s="553" t="s">
        <v>120</v>
      </c>
      <c r="K25">
        <f t="shared" ref="K25:V25" si="10">K24-K24/(1+$J24%)</f>
        <v>396.68180000000007</v>
      </c>
      <c r="L25">
        <f t="shared" si="10"/>
        <v>396.68180000000007</v>
      </c>
      <c r="M25">
        <f t="shared" si="10"/>
        <v>396.68180000000007</v>
      </c>
      <c r="N25">
        <f t="shared" si="10"/>
        <v>396.68180000000007</v>
      </c>
      <c r="O25">
        <f t="shared" si="10"/>
        <v>396.68180000000007</v>
      </c>
      <c r="P25">
        <f t="shared" si="10"/>
        <v>396.68180000000007</v>
      </c>
      <c r="Q25">
        <f t="shared" si="10"/>
        <v>396.68180000000007</v>
      </c>
      <c r="R25">
        <f t="shared" si="10"/>
        <v>396.68180000000007</v>
      </c>
      <c r="S25">
        <f t="shared" si="10"/>
        <v>396.68180000000007</v>
      </c>
      <c r="T25">
        <f t="shared" si="10"/>
        <v>396.68180000000007</v>
      </c>
      <c r="U25">
        <f t="shared" si="10"/>
        <v>396.68180000000007</v>
      </c>
      <c r="V25">
        <f t="shared" si="10"/>
        <v>396.68180000000007</v>
      </c>
    </row>
    <row r="26" spans="1:22">
      <c r="A26" s="4"/>
      <c r="B26" s="200" t="s">
        <v>545</v>
      </c>
      <c r="C26" s="202">
        <f>C23*C25</f>
        <v>0</v>
      </c>
      <c r="D26" s="202">
        <f>D23*D25</f>
        <v>0</v>
      </c>
      <c r="E26" s="202">
        <f>E23*E25</f>
        <v>0</v>
      </c>
      <c r="F26" s="202">
        <f>F23*F25</f>
        <v>0</v>
      </c>
      <c r="G26" s="550"/>
      <c r="H26" s="21"/>
      <c r="I26" s="556" t="s">
        <v>122</v>
      </c>
      <c r="J26" s="555"/>
      <c r="K26" s="555">
        <f>K11+K13+K15+K17+K19+K23+K25</f>
        <v>853.63099420584285</v>
      </c>
      <c r="L26" s="555">
        <f t="shared" ref="L26:V26" si="11">L11+L13+L15+L17+L19+L23+L25</f>
        <v>853.63099420584285</v>
      </c>
      <c r="M26" s="555">
        <f t="shared" si="11"/>
        <v>853.63099420584285</v>
      </c>
      <c r="N26" s="555">
        <f t="shared" si="11"/>
        <v>853.63099420584285</v>
      </c>
      <c r="O26" s="555">
        <f t="shared" si="11"/>
        <v>853.63099420584285</v>
      </c>
      <c r="P26" s="555">
        <f t="shared" si="11"/>
        <v>853.63099420584285</v>
      </c>
      <c r="Q26" s="555">
        <f t="shared" si="11"/>
        <v>853.63099420584285</v>
      </c>
      <c r="R26" s="555">
        <f t="shared" si="11"/>
        <v>853.63099420584285</v>
      </c>
      <c r="S26" s="555">
        <f t="shared" si="11"/>
        <v>853.63099420584285</v>
      </c>
      <c r="T26" s="555">
        <f t="shared" si="11"/>
        <v>853.63099420584285</v>
      </c>
      <c r="U26" s="555">
        <f t="shared" si="11"/>
        <v>853.63099420584285</v>
      </c>
      <c r="V26" s="555">
        <f t="shared" si="11"/>
        <v>868.40347420584271</v>
      </c>
    </row>
    <row r="27" spans="1:22">
      <c r="B27" s="200" t="s">
        <v>583</v>
      </c>
      <c r="C27" s="226">
        <f>C23-C26</f>
        <v>0</v>
      </c>
      <c r="D27" s="226">
        <f>D23-D26</f>
        <v>0</v>
      </c>
      <c r="E27" s="226">
        <f>E23-E26</f>
        <v>0</v>
      </c>
      <c r="F27" s="226">
        <f>F23-F26</f>
        <v>0</v>
      </c>
      <c r="G27" s="40"/>
      <c r="H27" s="27"/>
      <c r="I27" s="27" t="s">
        <v>123</v>
      </c>
      <c r="K27">
        <f>K9-K26</f>
        <v>2977.9810057941563</v>
      </c>
      <c r="L27">
        <f t="shared" ref="L27:V27" si="12">L9-L26</f>
        <v>2977.9810057941563</v>
      </c>
      <c r="M27">
        <f t="shared" si="12"/>
        <v>2977.9810057941563</v>
      </c>
      <c r="N27">
        <f t="shared" si="12"/>
        <v>2977.9810057941563</v>
      </c>
      <c r="O27">
        <f t="shared" si="12"/>
        <v>2977.9810057941563</v>
      </c>
      <c r="P27">
        <f t="shared" si="12"/>
        <v>2977.9810057941563</v>
      </c>
      <c r="Q27">
        <f t="shared" si="12"/>
        <v>2977.9810057941563</v>
      </c>
      <c r="R27">
        <f t="shared" si="12"/>
        <v>2977.9810057941563</v>
      </c>
      <c r="S27">
        <f t="shared" si="12"/>
        <v>2977.9810057941563</v>
      </c>
      <c r="T27">
        <f t="shared" si="12"/>
        <v>2977.9810057941563</v>
      </c>
      <c r="U27">
        <f t="shared" si="12"/>
        <v>2977.9810057941563</v>
      </c>
      <c r="V27">
        <f t="shared" si="12"/>
        <v>3147.8645257941571</v>
      </c>
    </row>
    <row r="28" spans="1:22">
      <c r="A28" s="4">
        <f>'1. T1 INVESTERINGSP. '!B30</f>
        <v>5</v>
      </c>
      <c r="B28" s="200" t="str">
        <f>'1. T1 INVESTERINGSP. '!C30</f>
        <v xml:space="preserve">Maskiner och anläggningar Moms 0 % </v>
      </c>
      <c r="C28" s="709">
        <f>'1. T1 INVESTERINGSP. '!D30</f>
        <v>30000</v>
      </c>
      <c r="D28" s="200">
        <f>'1. T1 INVESTERINGSP. '!E30</f>
        <v>0</v>
      </c>
      <c r="E28" s="200">
        <f>'1. T1 INVESTERINGSP. '!F30</f>
        <v>0</v>
      </c>
      <c r="F28" s="200">
        <f>'1. T1 INVESTERINGSP. '!G30</f>
        <v>0</v>
      </c>
      <c r="G28" s="4"/>
      <c r="H28" s="21"/>
      <c r="I28" s="21"/>
    </row>
    <row r="29" spans="1:22">
      <c r="A29" s="4"/>
      <c r="B29" s="200" t="s">
        <v>542</v>
      </c>
      <c r="C29" s="709">
        <f>'1. T1 INVESTERINGSP. '!D57</f>
        <v>0</v>
      </c>
      <c r="D29" s="709">
        <f>'1. T1 INVESTERINGSP. '!E57</f>
        <v>0</v>
      </c>
      <c r="E29" s="709">
        <f>'1. T1 INVESTERINGSP. '!F57</f>
        <v>0</v>
      </c>
      <c r="F29" s="709">
        <f>'1. T1 INVESTERINGSP. '!G57</f>
        <v>0</v>
      </c>
      <c r="H29" s="21"/>
      <c r="I29" s="21"/>
    </row>
    <row r="30" spans="1:22">
      <c r="A30" s="4"/>
      <c r="B30" s="200" t="s">
        <v>543</v>
      </c>
      <c r="C30" s="709">
        <f>C28-C29</f>
        <v>30000</v>
      </c>
      <c r="D30" s="709">
        <f>D28-D29</f>
        <v>0</v>
      </c>
      <c r="E30" s="709">
        <f>E28-E29</f>
        <v>0</v>
      </c>
      <c r="F30" s="709">
        <f>F28-F29</f>
        <v>0</v>
      </c>
      <c r="H30" s="21"/>
      <c r="I30" s="21"/>
    </row>
    <row r="31" spans="1:22">
      <c r="A31" s="4"/>
      <c r="B31" s="200" t="str">
        <f>'1. T1 INVESTERINGSP. '!C34</f>
        <v xml:space="preserve"> - bidrags-%</v>
      </c>
      <c r="C31" s="709">
        <f>'1. T1 INVESTERINGSP. '!D31</f>
        <v>0</v>
      </c>
      <c r="D31" s="709">
        <f>'1. T1 INVESTERINGSP. '!E31</f>
        <v>0</v>
      </c>
      <c r="E31" s="709">
        <f>'1. T1 INVESTERINGSP. '!F31</f>
        <v>0</v>
      </c>
      <c r="F31" s="709">
        <f>'1. T1 INVESTERINGSP. '!G31</f>
        <v>0</v>
      </c>
      <c r="H31" s="21"/>
      <c r="I31" s="21"/>
    </row>
    <row r="32" spans="1:22">
      <c r="A32" s="4"/>
      <c r="B32" s="200" t="s">
        <v>545</v>
      </c>
      <c r="C32" s="202">
        <f>C30*C31</f>
        <v>0</v>
      </c>
      <c r="D32" s="202">
        <f>D30*D31</f>
        <v>0</v>
      </c>
      <c r="E32" s="202">
        <f>E30*E31</f>
        <v>0</v>
      </c>
      <c r="F32" s="202">
        <f>F30*F31</f>
        <v>0</v>
      </c>
      <c r="H32" s="21"/>
      <c r="I32" s="21"/>
    </row>
    <row r="33" spans="1:11">
      <c r="B33" s="200" t="s">
        <v>583</v>
      </c>
      <c r="C33" s="226">
        <f>C30-C32</f>
        <v>30000</v>
      </c>
      <c r="D33" s="226">
        <f>D30-D32</f>
        <v>0</v>
      </c>
      <c r="E33" s="226">
        <f>E30-E32</f>
        <v>0</v>
      </c>
      <c r="F33" s="226">
        <f>F30-F32</f>
        <v>0</v>
      </c>
      <c r="H33" s="27"/>
      <c r="I33" s="27"/>
      <c r="K33">
        <v>0</v>
      </c>
    </row>
    <row r="34" spans="1:11">
      <c r="A34" s="4">
        <f>'1. T1 INVESTERINGSP. '!B32</f>
        <v>6</v>
      </c>
      <c r="B34" s="200" t="str">
        <f>'1. T1 INVESTERINGSP. '!C32</f>
        <v xml:space="preserve">Övriga materiella nyttigheter inkl. Moms </v>
      </c>
      <c r="C34" s="200">
        <f>'1. T1 INVESTERINGSP. '!D32</f>
        <v>0</v>
      </c>
      <c r="D34" s="200">
        <f>'1. T1 INVESTERINGSP. '!E32</f>
        <v>0</v>
      </c>
      <c r="E34" s="200">
        <f>'1. T1 INVESTERINGSP. '!F32</f>
        <v>0</v>
      </c>
      <c r="F34" s="200">
        <f>'1. T1 INVESTERINGSP. '!G32</f>
        <v>0</v>
      </c>
      <c r="G34" s="4"/>
      <c r="H34" s="40"/>
      <c r="I34" s="40"/>
    </row>
    <row r="35" spans="1:11">
      <c r="A35" s="4"/>
      <c r="B35" s="200" t="str">
        <f>'1. T1 INVESTERINGSP. '!C33</f>
        <v xml:space="preserve"> - Moms-%</v>
      </c>
      <c r="C35" s="201">
        <f>'1. T1 INVESTERINGSP. '!D33</f>
        <v>0.24</v>
      </c>
      <c r="D35" s="201">
        <f>'1. T1 INVESTERINGSP. '!E33</f>
        <v>0.24</v>
      </c>
      <c r="E35" s="201">
        <f>'1. T1 INVESTERINGSP. '!F33</f>
        <v>0.24</v>
      </c>
      <c r="F35" s="201">
        <f>'1. T1 INVESTERINGSP. '!G33</f>
        <v>0.24</v>
      </c>
      <c r="G35" s="549"/>
      <c r="H35" s="40"/>
      <c r="I35" s="40"/>
    </row>
    <row r="36" spans="1:11">
      <c r="A36" s="4"/>
      <c r="B36" s="200" t="s">
        <v>61</v>
      </c>
      <c r="C36" s="202">
        <f>C34/(1+C35)</f>
        <v>0</v>
      </c>
      <c r="D36" s="202">
        <f>D34/(1+D35)</f>
        <v>0</v>
      </c>
      <c r="E36" s="202">
        <f>E34/(1+E35)</f>
        <v>0</v>
      </c>
      <c r="F36" s="202">
        <f>F34/(1+F35)</f>
        <v>0</v>
      </c>
      <c r="G36" s="550"/>
      <c r="H36" s="40"/>
      <c r="I36" s="40"/>
    </row>
    <row r="37" spans="1:11">
      <c r="A37" s="4"/>
      <c r="B37" s="200" t="s">
        <v>60</v>
      </c>
      <c r="C37" s="202">
        <f>C34-C36</f>
        <v>0</v>
      </c>
      <c r="D37" s="202">
        <f>D34-D36</f>
        <v>0</v>
      </c>
      <c r="E37" s="202">
        <f>E34-E36</f>
        <v>0</v>
      </c>
      <c r="F37" s="202">
        <f>F34-F36</f>
        <v>0</v>
      </c>
      <c r="G37" s="550"/>
      <c r="H37" s="40"/>
      <c r="I37" s="40"/>
    </row>
    <row r="38" spans="1:11">
      <c r="A38" s="4"/>
      <c r="B38" s="200" t="str">
        <f>'1. T1 INVESTERINGSP. '!C34</f>
        <v xml:space="preserve"> - bidrags-%</v>
      </c>
      <c r="C38" s="201">
        <f>'1. T1 INVESTERINGSP. '!D34</f>
        <v>0</v>
      </c>
      <c r="D38" s="201">
        <f>'1. T1 INVESTERINGSP. '!E34</f>
        <v>0</v>
      </c>
      <c r="E38" s="201">
        <f>'1. T1 INVESTERINGSP. '!F34</f>
        <v>0</v>
      </c>
      <c r="F38" s="201">
        <f>'1. T1 INVESTERINGSP. '!G34</f>
        <v>0</v>
      </c>
      <c r="G38" s="549"/>
      <c r="H38" s="40"/>
      <c r="I38" s="40"/>
    </row>
    <row r="39" spans="1:11">
      <c r="A39" s="4"/>
      <c r="B39" s="200" t="s">
        <v>62</v>
      </c>
      <c r="C39" s="202">
        <f>C36*C38</f>
        <v>0</v>
      </c>
      <c r="D39" s="202">
        <f>D36*D38</f>
        <v>0</v>
      </c>
      <c r="E39" s="202">
        <f>E36*E38</f>
        <v>0</v>
      </c>
      <c r="F39" s="202">
        <f>F36*F38</f>
        <v>0</v>
      </c>
      <c r="G39" s="550"/>
      <c r="H39" s="40"/>
      <c r="I39" s="40"/>
    </row>
    <row r="40" spans="1:11">
      <c r="B40" s="200" t="s">
        <v>583</v>
      </c>
      <c r="C40" s="226">
        <f>C36-C39</f>
        <v>0</v>
      </c>
      <c r="D40" s="226">
        <f>D36-D39</f>
        <v>0</v>
      </c>
      <c r="E40" s="226">
        <f>E36-E39</f>
        <v>0</v>
      </c>
      <c r="F40" s="226">
        <f>F36-F39</f>
        <v>0</v>
      </c>
      <c r="G40" s="40"/>
      <c r="H40" s="27"/>
      <c r="I40" s="27"/>
    </row>
    <row r="41" spans="1:11">
      <c r="A41" s="4">
        <f>'1. T1 INVESTERINGSP. '!B35</f>
        <v>7</v>
      </c>
      <c r="B41" s="200" t="str">
        <f>'1. T1 INVESTERINGSP. '!C35</f>
        <v xml:space="preserve">Immateriella nyttigheter </v>
      </c>
      <c r="C41" s="200">
        <f>'1. T1 INVESTERINGSP. '!D35</f>
        <v>0</v>
      </c>
      <c r="D41" s="200">
        <f>'1. T1 INVESTERINGSP. '!E35</f>
        <v>0</v>
      </c>
      <c r="E41" s="200">
        <f>'1. T1 INVESTERINGSP. '!F35</f>
        <v>0</v>
      </c>
      <c r="F41" s="200">
        <f>'1. T1 INVESTERINGSP. '!G35</f>
        <v>0</v>
      </c>
      <c r="G41" s="4"/>
      <c r="H41" s="40"/>
      <c r="I41" s="40"/>
    </row>
    <row r="42" spans="1:11">
      <c r="A42" s="4"/>
      <c r="B42" s="200" t="str">
        <f>'1. T1 INVESTERINGSP. '!C36</f>
        <v xml:space="preserve"> - Moms-%</v>
      </c>
      <c r="C42" s="327">
        <f>'1. T1 INVESTERINGSP. '!D36</f>
        <v>0.24</v>
      </c>
      <c r="D42" s="327">
        <f>'1. T1 INVESTERINGSP. '!E36</f>
        <v>0.24</v>
      </c>
      <c r="E42" s="327">
        <f>'1. T1 INVESTERINGSP. '!F36</f>
        <v>0.24</v>
      </c>
      <c r="F42" s="327">
        <f>'1. T1 INVESTERINGSP. '!G36</f>
        <v>0.24</v>
      </c>
      <c r="G42" s="551"/>
      <c r="H42" s="40"/>
      <c r="I42" s="40"/>
    </row>
    <row r="43" spans="1:11">
      <c r="A43" s="4"/>
      <c r="B43" s="200" t="s">
        <v>61</v>
      </c>
      <c r="C43" s="202">
        <f>C41/(1+C42)</f>
        <v>0</v>
      </c>
      <c r="D43" s="202">
        <f>D41/(1+D42)</f>
        <v>0</v>
      </c>
      <c r="E43" s="202">
        <f>E41/(1+E42)</f>
        <v>0</v>
      </c>
      <c r="F43" s="202">
        <f>F41/(1+F42)</f>
        <v>0</v>
      </c>
      <c r="G43" s="550"/>
      <c r="H43" s="40"/>
      <c r="I43" s="40"/>
    </row>
    <row r="44" spans="1:11">
      <c r="A44" s="4"/>
      <c r="B44" s="200" t="s">
        <v>60</v>
      </c>
      <c r="C44" s="202">
        <f>C41-C43</f>
        <v>0</v>
      </c>
      <c r="D44" s="202">
        <f>D41-D43</f>
        <v>0</v>
      </c>
      <c r="E44" s="202">
        <f>E41-E43</f>
        <v>0</v>
      </c>
      <c r="F44" s="202">
        <f>F41-F43</f>
        <v>0</v>
      </c>
      <c r="G44" s="550"/>
      <c r="H44" s="40"/>
      <c r="I44" s="40"/>
    </row>
    <row r="45" spans="1:11">
      <c r="A45" s="4"/>
      <c r="B45" s="200" t="s">
        <v>59</v>
      </c>
      <c r="C45" s="201">
        <f>'1. T1 INVESTERINGSP. '!D37</f>
        <v>0</v>
      </c>
      <c r="D45" s="201">
        <f>'1. T1 INVESTERINGSP. '!E37</f>
        <v>0</v>
      </c>
      <c r="E45" s="201">
        <f>'1. T1 INVESTERINGSP. '!F37</f>
        <v>0</v>
      </c>
      <c r="F45" s="201">
        <f>'1. T1 INVESTERINGSP. '!G37</f>
        <v>0</v>
      </c>
      <c r="G45" s="549"/>
      <c r="H45" s="40"/>
      <c r="I45" s="40"/>
    </row>
    <row r="46" spans="1:11">
      <c r="A46" s="4"/>
      <c r="B46" s="200" t="s">
        <v>62</v>
      </c>
      <c r="C46" s="202">
        <f>C43*C45</f>
        <v>0</v>
      </c>
      <c r="D46" s="202">
        <f>D43*D45</f>
        <v>0</v>
      </c>
      <c r="E46" s="202">
        <f>E43*E45</f>
        <v>0</v>
      </c>
      <c r="F46" s="202">
        <f>F43*F45</f>
        <v>0</v>
      </c>
      <c r="G46" s="550"/>
      <c r="H46" s="40"/>
      <c r="I46" s="40"/>
    </row>
    <row r="47" spans="1:11">
      <c r="B47" s="200" t="s">
        <v>583</v>
      </c>
      <c r="C47" s="226">
        <f>C43-C46</f>
        <v>0</v>
      </c>
      <c r="D47" s="226">
        <f>D43-D46</f>
        <v>0</v>
      </c>
      <c r="E47" s="226">
        <f>E43-E46</f>
        <v>0</v>
      </c>
      <c r="F47" s="226">
        <f>F43-F46</f>
        <v>0</v>
      </c>
      <c r="G47" s="40"/>
      <c r="H47" s="27"/>
      <c r="I47" s="27"/>
    </row>
    <row r="48" spans="1:11">
      <c r="A48" s="4"/>
      <c r="B48" s="4"/>
      <c r="C48" s="4"/>
      <c r="D48" s="4"/>
      <c r="E48" s="4"/>
      <c r="F48" s="4"/>
      <c r="G48" s="4"/>
    </row>
    <row r="49" spans="1:7">
      <c r="A49" s="4"/>
      <c r="B49" s="4" t="s">
        <v>63</v>
      </c>
      <c r="C49" s="32">
        <f>C11+C24+C37+C44</f>
        <v>0</v>
      </c>
      <c r="D49" s="32">
        <f>D11+D24+D37+D44</f>
        <v>0</v>
      </c>
      <c r="E49" s="32">
        <f>E11+E24+E37+E44</f>
        <v>0</v>
      </c>
      <c r="F49" s="32">
        <f>F11+F24+F37+F44</f>
        <v>0</v>
      </c>
      <c r="G49" s="32"/>
    </row>
    <row r="50" spans="1:7">
      <c r="A50" s="4"/>
      <c r="B50" s="4" t="s">
        <v>64</v>
      </c>
      <c r="C50" s="32">
        <f>C6+C13+C17+C26+C39+C46+C32</f>
        <v>0</v>
      </c>
      <c r="D50" s="32">
        <f>D6+D13+D17+D26+D39+D46+D32</f>
        <v>0</v>
      </c>
      <c r="E50" s="32">
        <f>E6+E13+E17+E26+E39+E46+E32</f>
        <v>0</v>
      </c>
      <c r="F50" s="32">
        <f>F6+F13+F17+F26+F39+F46+F32</f>
        <v>0</v>
      </c>
      <c r="G50" s="32"/>
    </row>
    <row r="51" spans="1:7">
      <c r="A51" s="4"/>
      <c r="B51" s="4"/>
      <c r="C51" s="4"/>
      <c r="D51" s="4"/>
      <c r="E51" s="4"/>
      <c r="F51" s="1"/>
      <c r="G51" s="1"/>
    </row>
    <row r="52" spans="1:7">
      <c r="A52" s="4"/>
      <c r="B52" s="4" t="s">
        <v>0</v>
      </c>
      <c r="C52" s="4"/>
      <c r="D52" s="4"/>
      <c r="E52" s="4"/>
      <c r="F52" s="1"/>
      <c r="G52" s="1"/>
    </row>
    <row r="53" spans="1:7">
      <c r="A53" s="4"/>
      <c r="B53" s="4"/>
      <c r="C53" s="4"/>
      <c r="D53" s="4"/>
      <c r="E53" s="4"/>
      <c r="F53" s="1"/>
      <c r="G53" s="1"/>
    </row>
    <row r="54" spans="1:7">
      <c r="A54" s="4"/>
      <c r="B54" s="4"/>
      <c r="C54" s="4"/>
      <c r="D54" s="4"/>
      <c r="E54" s="4"/>
      <c r="F54" s="1"/>
      <c r="G54" s="1"/>
    </row>
    <row r="55" spans="1:7">
      <c r="A55" s="4"/>
      <c r="B55" s="4"/>
      <c r="C55" s="4"/>
      <c r="D55" s="4"/>
      <c r="E55" s="4"/>
      <c r="F55" s="1"/>
      <c r="G55" s="1"/>
    </row>
    <row r="56" spans="1:7">
      <c r="A56" s="1"/>
      <c r="B56" s="1"/>
      <c r="C56" s="1"/>
      <c r="D56" s="1"/>
      <c r="E56" s="1"/>
      <c r="F56" s="1"/>
      <c r="G56" s="1"/>
    </row>
  </sheetData>
  <sheetProtection password="9675" sheet="1" objects="1" scenarios="1" selectLockedCells="1" selectUnlockedCells="1"/>
  <mergeCells count="1">
    <mergeCell ref="B2:B3"/>
  </mergeCells>
  <pageMargins left="0.7" right="0.7" top="0.75" bottom="0.75" header="0.3" footer="0.3"/>
  <pageSetup paperSize="9" orientation="portrait" verticalDpi="4"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9"/>
  <dimension ref="A2:AM165"/>
  <sheetViews>
    <sheetView topLeftCell="A9" zoomScaleNormal="100" workbookViewId="0">
      <pane xSplit="6909" ySplit="1551" topLeftCell="A85" activePane="bottomRight"/>
      <selection activeCell="AM18" sqref="AM18"/>
      <selection pane="topRight" activeCell="P3" sqref="P2:U3"/>
      <selection pane="bottomLeft" activeCell="A83" sqref="A83"/>
      <selection pane="bottomRight" activeCell="H97" sqref="H97"/>
    </sheetView>
  </sheetViews>
  <sheetFormatPr defaultRowHeight="12.45"/>
  <cols>
    <col min="1" max="1" width="37.07421875" customWidth="1"/>
    <col min="2" max="2" width="10" customWidth="1"/>
    <col min="3" max="3" width="12.69140625" style="94" customWidth="1"/>
    <col min="4" max="4" width="11.69140625" customWidth="1"/>
    <col min="5" max="5" width="8.69140625" customWidth="1"/>
    <col min="6" max="6" width="8.84375" customWidth="1"/>
    <col min="7" max="8" width="10" customWidth="1"/>
    <col min="9" max="9" width="8.84375" customWidth="1"/>
    <col min="10" max="10" width="11.4609375" customWidth="1"/>
    <col min="11" max="11" width="9.4609375" customWidth="1"/>
    <col min="12" max="12" width="10.07421875" customWidth="1"/>
    <col min="13" max="13" width="11.07421875" customWidth="1"/>
    <col min="14" max="14" width="9.53515625" customWidth="1"/>
    <col min="15" max="15" width="9" customWidth="1"/>
    <col min="16" max="16" width="7.53515625" customWidth="1"/>
    <col min="18" max="18" width="9.84375" customWidth="1"/>
    <col min="19" max="19" width="8.3046875" customWidth="1"/>
    <col min="20" max="20" width="10.3046875" customWidth="1"/>
    <col min="21" max="22" width="8.4609375" customWidth="1"/>
    <col min="23" max="23" width="9.07421875" customWidth="1"/>
    <col min="24" max="24" width="10.84375" customWidth="1"/>
    <col min="25" max="25" width="11" customWidth="1"/>
    <col min="26" max="26" width="10.3046875" customWidth="1"/>
    <col min="27" max="27" width="9.07421875" customWidth="1"/>
    <col min="30" max="30" width="11.07421875" bestFit="1" customWidth="1"/>
  </cols>
  <sheetData>
    <row r="2" spans="1:39" ht="12.9" thickBot="1"/>
    <row r="3" spans="1:39">
      <c r="E3" s="2555"/>
      <c r="F3" s="2556"/>
      <c r="G3" s="2556"/>
      <c r="H3" s="2556"/>
      <c r="I3" s="2557"/>
      <c r="J3" s="2555" t="str">
        <f>'4. T7 LÅN '!F22</f>
        <v>Prognos 1</v>
      </c>
      <c r="K3" s="2556"/>
      <c r="L3" s="2556"/>
      <c r="M3" s="2556"/>
      <c r="N3" s="2556"/>
      <c r="O3" s="2557"/>
      <c r="P3" s="2555" t="str">
        <f>'4. T7 LÅN '!I22</f>
        <v>Prognos 2</v>
      </c>
      <c r="Q3" s="2556"/>
      <c r="R3" s="2556"/>
      <c r="S3" s="2556"/>
      <c r="T3" s="2556"/>
      <c r="U3" s="2557"/>
      <c r="V3" s="2555" t="str">
        <f>'4. T7 LÅN '!L22</f>
        <v>Prognos 3</v>
      </c>
      <c r="W3" s="2556"/>
      <c r="X3" s="2556"/>
      <c r="Y3" s="2556"/>
      <c r="Z3" s="2556"/>
      <c r="AA3" s="2557"/>
      <c r="AB3" s="2555" t="s">
        <v>81</v>
      </c>
      <c r="AC3" s="2556"/>
      <c r="AD3" s="2556"/>
      <c r="AE3" s="2556"/>
      <c r="AF3" s="2556"/>
      <c r="AG3" s="2557"/>
      <c r="AH3" s="2555" t="s">
        <v>118</v>
      </c>
      <c r="AI3" s="2556"/>
      <c r="AJ3" s="2556"/>
      <c r="AK3" s="2556"/>
      <c r="AL3" s="2556"/>
      <c r="AM3" s="2557"/>
    </row>
    <row r="4" spans="1:39">
      <c r="E4" s="2548"/>
      <c r="F4" s="2549"/>
      <c r="G4" s="2549"/>
      <c r="H4" s="2549"/>
      <c r="I4" s="2550"/>
      <c r="J4" s="2548">
        <f>'4. T7 LÅN '!F23</f>
        <v>2023</v>
      </c>
      <c r="K4" s="2549"/>
      <c r="L4" s="2549"/>
      <c r="M4" s="2549"/>
      <c r="N4" s="2549"/>
      <c r="O4" s="2550"/>
      <c r="P4" s="2548">
        <f>'4. T7 LÅN '!I23</f>
        <v>2024</v>
      </c>
      <c r="Q4" s="2549"/>
      <c r="R4" s="2549"/>
      <c r="S4" s="2549"/>
      <c r="T4" s="2549"/>
      <c r="U4" s="2550"/>
      <c r="V4" s="2548">
        <f>'4. T7 LÅN '!L23</f>
        <v>2025</v>
      </c>
      <c r="W4" s="2549"/>
      <c r="X4" s="2549"/>
      <c r="Y4" s="2549"/>
      <c r="Z4" s="2549"/>
      <c r="AA4" s="2550"/>
      <c r="AB4" s="2548">
        <f>'4. T7 LÅN '!O23</f>
        <v>2026</v>
      </c>
      <c r="AC4" s="2549"/>
      <c r="AD4" s="2549"/>
      <c r="AE4" s="2549"/>
      <c r="AF4" s="2549"/>
      <c r="AG4" s="2550"/>
      <c r="AH4" s="2548">
        <f>'4. T7 LÅN '!O23+1</f>
        <v>2027</v>
      </c>
      <c r="AI4" s="2549"/>
      <c r="AJ4" s="2549"/>
      <c r="AK4" s="2549"/>
      <c r="AL4" s="2549"/>
      <c r="AM4" s="2550"/>
    </row>
    <row r="5" spans="1:39">
      <c r="B5" s="2"/>
      <c r="C5" s="6" t="s">
        <v>33</v>
      </c>
      <c r="D5" s="2"/>
      <c r="E5" s="355"/>
      <c r="F5" s="356"/>
      <c r="G5" s="356"/>
      <c r="H5" s="356"/>
      <c r="I5" s="357"/>
      <c r="J5" s="355"/>
      <c r="K5" s="356" t="s">
        <v>33</v>
      </c>
      <c r="L5" s="356"/>
      <c r="M5" s="356"/>
      <c r="N5" s="356"/>
      <c r="O5" s="357"/>
      <c r="P5" s="355"/>
      <c r="Q5" s="356" t="s">
        <v>33</v>
      </c>
      <c r="R5" s="356"/>
      <c r="S5" s="356"/>
      <c r="T5" s="356"/>
      <c r="U5" s="357"/>
      <c r="V5" s="355"/>
      <c r="W5" s="356" t="s">
        <v>33</v>
      </c>
      <c r="X5" s="356"/>
      <c r="Y5" s="356"/>
      <c r="Z5" s="356"/>
      <c r="AA5" s="357"/>
      <c r="AB5" s="355"/>
      <c r="AC5" s="356" t="s">
        <v>33</v>
      </c>
      <c r="AD5" s="356"/>
      <c r="AE5" s="356"/>
      <c r="AF5" s="356"/>
      <c r="AG5" s="357"/>
      <c r="AH5" s="355"/>
      <c r="AI5" s="356" t="s">
        <v>33</v>
      </c>
      <c r="AJ5" s="356"/>
      <c r="AK5" s="356"/>
      <c r="AL5" s="356"/>
      <c r="AM5" s="357"/>
    </row>
    <row r="6" spans="1:39">
      <c r="A6" s="1" t="s">
        <v>82</v>
      </c>
      <c r="B6" s="6" t="s">
        <v>27</v>
      </c>
      <c r="C6" s="6" t="s">
        <v>32</v>
      </c>
      <c r="D6" s="6" t="s">
        <v>25</v>
      </c>
      <c r="E6" s="103" t="s">
        <v>28</v>
      </c>
      <c r="F6" s="99" t="s">
        <v>24</v>
      </c>
      <c r="G6" s="99" t="s">
        <v>34</v>
      </c>
      <c r="H6" s="99" t="s">
        <v>29</v>
      </c>
      <c r="I6" s="104" t="s">
        <v>25</v>
      </c>
      <c r="J6" s="103" t="s">
        <v>28</v>
      </c>
      <c r="K6" s="102" t="s">
        <v>117</v>
      </c>
      <c r="L6" s="99" t="s">
        <v>31</v>
      </c>
      <c r="M6" s="99" t="s">
        <v>34</v>
      </c>
      <c r="N6" s="99" t="s">
        <v>29</v>
      </c>
      <c r="O6" s="104" t="s">
        <v>25</v>
      </c>
      <c r="P6" s="103" t="s">
        <v>28</v>
      </c>
      <c r="Q6" s="102" t="s">
        <v>117</v>
      </c>
      <c r="R6" s="99" t="s">
        <v>31</v>
      </c>
      <c r="S6" s="99" t="s">
        <v>34</v>
      </c>
      <c r="T6" s="99" t="s">
        <v>29</v>
      </c>
      <c r="U6" s="104" t="s">
        <v>25</v>
      </c>
      <c r="V6" s="103" t="s">
        <v>28</v>
      </c>
      <c r="W6" s="102" t="s">
        <v>117</v>
      </c>
      <c r="X6" s="99" t="s">
        <v>31</v>
      </c>
      <c r="Y6" s="99" t="s">
        <v>34</v>
      </c>
      <c r="Z6" s="99" t="s">
        <v>29</v>
      </c>
      <c r="AA6" s="104" t="s">
        <v>25</v>
      </c>
      <c r="AB6" s="103" t="s">
        <v>28</v>
      </c>
      <c r="AC6" s="102" t="s">
        <v>117</v>
      </c>
      <c r="AD6" s="99" t="s">
        <v>31</v>
      </c>
      <c r="AE6" s="99" t="s">
        <v>34</v>
      </c>
      <c r="AF6" s="99" t="s">
        <v>29</v>
      </c>
      <c r="AG6" s="104" t="s">
        <v>25</v>
      </c>
      <c r="AH6" s="103" t="s">
        <v>28</v>
      </c>
      <c r="AI6" s="102" t="s">
        <v>117</v>
      </c>
      <c r="AJ6" s="99" t="s">
        <v>31</v>
      </c>
      <c r="AK6" s="99" t="s">
        <v>34</v>
      </c>
      <c r="AL6" s="99" t="s">
        <v>29</v>
      </c>
      <c r="AM6" s="104" t="s">
        <v>25</v>
      </c>
    </row>
    <row r="7" spans="1:39">
      <c r="A7" s="1" t="str">
        <f>'4. T7 LÅN '!B11</f>
        <v xml:space="preserve"> Långivaren/avsedd användning</v>
      </c>
      <c r="B7" s="235">
        <f>'4. T7 LÅN '!C11</f>
        <v>0</v>
      </c>
      <c r="C7" s="88">
        <f>'4. T7 LÅN '!D11</f>
        <v>0</v>
      </c>
      <c r="D7" s="236">
        <f>'4. T7 LÅN '!E11</f>
        <v>0</v>
      </c>
      <c r="E7" s="488"/>
      <c r="F7" s="489"/>
      <c r="G7" s="490"/>
      <c r="H7" s="490"/>
      <c r="I7" s="491"/>
      <c r="J7" s="237"/>
      <c r="K7" s="240"/>
      <c r="L7" s="238">
        <f>'4. T7 LÅN '!F11</f>
        <v>0</v>
      </c>
      <c r="M7" s="238">
        <f t="shared" ref="M7:M12" si="0">N7+L7/2</f>
        <v>0</v>
      </c>
      <c r="N7" s="238">
        <f t="shared" ref="N7:N12" si="1">B7</f>
        <v>0</v>
      </c>
      <c r="O7" s="239">
        <f>'4. T7 LÅN '!H11</f>
        <v>0</v>
      </c>
      <c r="P7" s="237"/>
      <c r="Q7" s="240"/>
      <c r="R7" s="238">
        <f>'4. T7 LÅN '!I11</f>
        <v>0</v>
      </c>
      <c r="S7" s="238">
        <f t="shared" ref="S7:S12" si="2">N7-R7/4</f>
        <v>0</v>
      </c>
      <c r="T7" s="238">
        <f t="shared" ref="T7:T12" si="3">N7-R7</f>
        <v>0</v>
      </c>
      <c r="U7" s="239">
        <f>'4. T7 LÅN '!K11</f>
        <v>0</v>
      </c>
      <c r="V7" s="237"/>
      <c r="W7" s="240"/>
      <c r="X7" s="238">
        <f>'4. T7 LÅN '!L11</f>
        <v>0</v>
      </c>
      <c r="Y7" s="238">
        <f t="shared" ref="Y7:Y12" si="4">T7-X7/4</f>
        <v>0</v>
      </c>
      <c r="Z7" s="238">
        <f t="shared" ref="Z7:Z12" si="5">T7-X7</f>
        <v>0</v>
      </c>
      <c r="AA7" s="239">
        <f>'4. T7 LÅN '!N11</f>
        <v>0</v>
      </c>
      <c r="AB7" s="237"/>
      <c r="AC7" s="240"/>
      <c r="AD7" s="238">
        <f>'4. T7 LÅN '!O11</f>
        <v>0</v>
      </c>
      <c r="AE7" s="238">
        <f t="shared" ref="AE7:AE12" si="6">Z7-AD7/4</f>
        <v>0</v>
      </c>
      <c r="AF7" s="238">
        <f t="shared" ref="AF7:AF12" si="7">Z7-AD7</f>
        <v>0</v>
      </c>
      <c r="AG7" s="239">
        <f>'4. T7 LÅN '!Q11</f>
        <v>0</v>
      </c>
      <c r="AH7" s="237"/>
      <c r="AI7" s="240"/>
      <c r="AJ7" s="238">
        <f>IF(C7=0,0,IF(B7-R7-X7-AD7&lt;AD7,AF7,'AT2 Lainat, sotum, alv-osto'!AD7))</f>
        <v>0</v>
      </c>
      <c r="AK7" s="238">
        <f t="shared" ref="AK7:AK12" si="8">AF7-AJ7/4</f>
        <v>0</v>
      </c>
      <c r="AL7" s="238">
        <f t="shared" ref="AL7:AL12" si="9">AF7-AJ7</f>
        <v>0</v>
      </c>
      <c r="AM7" s="239"/>
    </row>
    <row r="8" spans="1:39">
      <c r="A8" s="1" t="str">
        <f>'4. T7 LÅN '!B12</f>
        <v xml:space="preserve"> XX Bank/ Lån</v>
      </c>
      <c r="B8" s="235">
        <f>'4. T7 LÅN '!C12</f>
        <v>745</v>
      </c>
      <c r="C8" s="88">
        <f>'4. T7 LÅN '!D12</f>
        <v>2</v>
      </c>
      <c r="D8" s="236">
        <f>'4. T7 LÅN '!E12</f>
        <v>4.2999999999999997E-2</v>
      </c>
      <c r="E8" s="488"/>
      <c r="F8" s="489"/>
      <c r="G8" s="490"/>
      <c r="H8" s="490"/>
      <c r="I8" s="491"/>
      <c r="J8" s="237"/>
      <c r="K8" s="240"/>
      <c r="L8" s="238">
        <f>'4. T7 LÅN '!F12</f>
        <v>8936</v>
      </c>
      <c r="M8" s="238">
        <f t="shared" si="0"/>
        <v>5213</v>
      </c>
      <c r="N8" s="238">
        <f t="shared" si="1"/>
        <v>745</v>
      </c>
      <c r="O8" s="239">
        <f>'4. T7 LÅN '!H12</f>
        <v>128.09699999999998</v>
      </c>
      <c r="P8" s="237"/>
      <c r="Q8" s="240"/>
      <c r="R8" s="238">
        <f>'4. T7 LÅN '!I12</f>
        <v>745</v>
      </c>
      <c r="S8" s="238">
        <f t="shared" si="2"/>
        <v>558.75</v>
      </c>
      <c r="T8" s="238">
        <f t="shared" si="3"/>
        <v>0</v>
      </c>
      <c r="U8" s="239">
        <f>'4. T7 LÅN '!K12</f>
        <v>24.026249999999997</v>
      </c>
      <c r="V8" s="237"/>
      <c r="W8" s="240"/>
      <c r="X8" s="238">
        <f>'4. T7 LÅN '!L12</f>
        <v>0</v>
      </c>
      <c r="Y8" s="238">
        <f t="shared" si="4"/>
        <v>0</v>
      </c>
      <c r="Z8" s="238">
        <f t="shared" si="5"/>
        <v>0</v>
      </c>
      <c r="AA8" s="239">
        <f>'4. T7 LÅN '!N12</f>
        <v>0</v>
      </c>
      <c r="AB8" s="237"/>
      <c r="AC8" s="240"/>
      <c r="AD8" s="238">
        <f>'4. T7 LÅN '!O12</f>
        <v>0</v>
      </c>
      <c r="AE8" s="238">
        <f t="shared" si="6"/>
        <v>0</v>
      </c>
      <c r="AF8" s="238">
        <f t="shared" si="7"/>
        <v>0</v>
      </c>
      <c r="AG8" s="239">
        <f>'4. T7 LÅN '!Q12</f>
        <v>0</v>
      </c>
      <c r="AH8" s="237"/>
      <c r="AI8" s="240"/>
      <c r="AJ8" s="238">
        <f>IF(C8=0,0,IF(B8-R8-X8-AD8&lt;AD8,AF8,'AT2 Lainat, sotum, alv-osto'!AD8))</f>
        <v>0</v>
      </c>
      <c r="AK8" s="238">
        <f t="shared" si="8"/>
        <v>0</v>
      </c>
      <c r="AL8" s="238">
        <f t="shared" si="9"/>
        <v>0</v>
      </c>
      <c r="AM8" s="239"/>
    </row>
    <row r="9" spans="1:39">
      <c r="A9" s="1">
        <f>'4. T7 LÅN '!B13</f>
        <v>0</v>
      </c>
      <c r="B9" s="235">
        <f>'4. T7 LÅN '!C13</f>
        <v>0</v>
      </c>
      <c r="C9" s="88">
        <f>'4. T7 LÅN '!D13</f>
        <v>0</v>
      </c>
      <c r="D9" s="236">
        <f>'4. T7 LÅN '!E13</f>
        <v>0</v>
      </c>
      <c r="E9" s="488"/>
      <c r="F9" s="489"/>
      <c r="G9" s="490"/>
      <c r="H9" s="490"/>
      <c r="I9" s="491"/>
      <c r="J9" s="237"/>
      <c r="K9" s="240"/>
      <c r="L9" s="238">
        <f>'4. T7 LÅN '!F13</f>
        <v>0</v>
      </c>
      <c r="M9" s="238">
        <f t="shared" si="0"/>
        <v>0</v>
      </c>
      <c r="N9" s="238">
        <f t="shared" si="1"/>
        <v>0</v>
      </c>
      <c r="O9" s="239">
        <f>'4. T7 LÅN '!H13</f>
        <v>0</v>
      </c>
      <c r="P9" s="237"/>
      <c r="Q9" s="240"/>
      <c r="R9" s="238">
        <f>'4. T7 LÅN '!I13</f>
        <v>0</v>
      </c>
      <c r="S9" s="238">
        <f t="shared" si="2"/>
        <v>0</v>
      </c>
      <c r="T9" s="238">
        <f t="shared" si="3"/>
        <v>0</v>
      </c>
      <c r="U9" s="239">
        <f>'4. T7 LÅN '!K13</f>
        <v>0</v>
      </c>
      <c r="V9" s="237"/>
      <c r="W9" s="240"/>
      <c r="X9" s="238">
        <f>'4. T7 LÅN '!L13</f>
        <v>0</v>
      </c>
      <c r="Y9" s="238">
        <f t="shared" si="4"/>
        <v>0</v>
      </c>
      <c r="Z9" s="238">
        <f t="shared" si="5"/>
        <v>0</v>
      </c>
      <c r="AA9" s="239">
        <f>'4. T7 LÅN '!N13</f>
        <v>0</v>
      </c>
      <c r="AB9" s="237"/>
      <c r="AC9" s="240"/>
      <c r="AD9" s="238">
        <f>'4. T7 LÅN '!O13</f>
        <v>0</v>
      </c>
      <c r="AE9" s="238">
        <f t="shared" si="6"/>
        <v>0</v>
      </c>
      <c r="AF9" s="238">
        <f t="shared" si="7"/>
        <v>0</v>
      </c>
      <c r="AG9" s="239">
        <f>'4. T7 LÅN '!Q13</f>
        <v>0</v>
      </c>
      <c r="AH9" s="237"/>
      <c r="AI9" s="240"/>
      <c r="AJ9" s="238">
        <f>IF(C9=0,0,IF(B9-R9-X9-AD9&lt;AD9,AF9,'AT2 Lainat, sotum, alv-osto'!AD9))</f>
        <v>0</v>
      </c>
      <c r="AK9" s="238">
        <f t="shared" si="8"/>
        <v>0</v>
      </c>
      <c r="AL9" s="238">
        <f t="shared" si="9"/>
        <v>0</v>
      </c>
      <c r="AM9" s="239"/>
    </row>
    <row r="10" spans="1:39">
      <c r="A10" s="1" t="str">
        <f>'4. T7 LÅN '!B14</f>
        <v xml:space="preserve"> </v>
      </c>
      <c r="B10" s="235">
        <f>'4. T7 LÅN '!C14</f>
        <v>0</v>
      </c>
      <c r="C10" s="88">
        <f>'4. T7 LÅN '!D14</f>
        <v>0</v>
      </c>
      <c r="D10" s="236">
        <f>'4. T7 LÅN '!E14</f>
        <v>0</v>
      </c>
      <c r="E10" s="488"/>
      <c r="F10" s="489"/>
      <c r="G10" s="490"/>
      <c r="H10" s="490"/>
      <c r="I10" s="491"/>
      <c r="J10" s="237"/>
      <c r="K10" s="240"/>
      <c r="L10" s="238">
        <f>'4. T7 LÅN '!F14</f>
        <v>0</v>
      </c>
      <c r="M10" s="238">
        <f t="shared" si="0"/>
        <v>0</v>
      </c>
      <c r="N10" s="238">
        <f t="shared" si="1"/>
        <v>0</v>
      </c>
      <c r="O10" s="239">
        <f>'4. T7 LÅN '!H14</f>
        <v>0</v>
      </c>
      <c r="P10" s="237"/>
      <c r="Q10" s="240"/>
      <c r="R10" s="238">
        <f>'4. T7 LÅN '!I14</f>
        <v>0</v>
      </c>
      <c r="S10" s="238">
        <f t="shared" si="2"/>
        <v>0</v>
      </c>
      <c r="T10" s="238">
        <f t="shared" si="3"/>
        <v>0</v>
      </c>
      <c r="U10" s="239">
        <f>'4. T7 LÅN '!K14</f>
        <v>0</v>
      </c>
      <c r="V10" s="237"/>
      <c r="W10" s="240"/>
      <c r="X10" s="238">
        <f>'4. T7 LÅN '!L14</f>
        <v>0</v>
      </c>
      <c r="Y10" s="238">
        <f t="shared" si="4"/>
        <v>0</v>
      </c>
      <c r="Z10" s="238">
        <f t="shared" si="5"/>
        <v>0</v>
      </c>
      <c r="AA10" s="239">
        <f>'4. T7 LÅN '!N14</f>
        <v>0</v>
      </c>
      <c r="AB10" s="237"/>
      <c r="AC10" s="240"/>
      <c r="AD10" s="238">
        <f>'4. T7 LÅN '!O14</f>
        <v>0</v>
      </c>
      <c r="AE10" s="238">
        <f t="shared" si="6"/>
        <v>0</v>
      </c>
      <c r="AF10" s="238">
        <f t="shared" si="7"/>
        <v>0</v>
      </c>
      <c r="AG10" s="239">
        <f>'4. T7 LÅN '!Q14</f>
        <v>0</v>
      </c>
      <c r="AH10" s="237"/>
      <c r="AI10" s="240"/>
      <c r="AJ10" s="238">
        <f>IF(C10=0,0,IF(B10-R10-X10-AD10&lt;AD10,AF10,'AT2 Lainat, sotum, alv-osto'!AD10))</f>
        <v>0</v>
      </c>
      <c r="AK10" s="238">
        <f t="shared" si="8"/>
        <v>0</v>
      </c>
      <c r="AL10" s="238">
        <f t="shared" si="9"/>
        <v>0</v>
      </c>
      <c r="AM10" s="239"/>
    </row>
    <row r="11" spans="1:39">
      <c r="A11" s="1">
        <f>'4. T7 LÅN '!B15</f>
        <v>0</v>
      </c>
      <c r="B11" s="235">
        <f>'4. T7 LÅN '!C15</f>
        <v>0</v>
      </c>
      <c r="C11" s="88">
        <f>'4. T7 LÅN '!D15</f>
        <v>0</v>
      </c>
      <c r="D11" s="236">
        <f>'4. T7 LÅN '!E15</f>
        <v>0</v>
      </c>
      <c r="E11" s="488"/>
      <c r="F11" s="489"/>
      <c r="G11" s="490"/>
      <c r="H11" s="490"/>
      <c r="I11" s="491"/>
      <c r="J11" s="237"/>
      <c r="K11" s="240"/>
      <c r="L11" s="238">
        <f>'4. T7 LÅN '!F15</f>
        <v>0</v>
      </c>
      <c r="M11" s="238">
        <f t="shared" si="0"/>
        <v>0</v>
      </c>
      <c r="N11" s="238">
        <f t="shared" si="1"/>
        <v>0</v>
      </c>
      <c r="O11" s="239">
        <f>'4. T7 LÅN '!H15</f>
        <v>0</v>
      </c>
      <c r="P11" s="237"/>
      <c r="Q11" s="240"/>
      <c r="R11" s="238">
        <f>'4. T7 LÅN '!I15</f>
        <v>0</v>
      </c>
      <c r="S11" s="238">
        <f t="shared" si="2"/>
        <v>0</v>
      </c>
      <c r="T11" s="238">
        <f t="shared" si="3"/>
        <v>0</v>
      </c>
      <c r="U11" s="239">
        <f>'4. T7 LÅN '!K15</f>
        <v>0</v>
      </c>
      <c r="V11" s="237"/>
      <c r="W11" s="240"/>
      <c r="X11" s="238">
        <f>'4. T7 LÅN '!L15</f>
        <v>0</v>
      </c>
      <c r="Y11" s="238">
        <f t="shared" si="4"/>
        <v>0</v>
      </c>
      <c r="Z11" s="238">
        <f t="shared" si="5"/>
        <v>0</v>
      </c>
      <c r="AA11" s="239">
        <f>'4. T7 LÅN '!N15</f>
        <v>0</v>
      </c>
      <c r="AB11" s="237"/>
      <c r="AC11" s="240"/>
      <c r="AD11" s="238">
        <f>'4. T7 LÅN '!O15</f>
        <v>0</v>
      </c>
      <c r="AE11" s="238">
        <f t="shared" si="6"/>
        <v>0</v>
      </c>
      <c r="AF11" s="238">
        <f t="shared" si="7"/>
        <v>0</v>
      </c>
      <c r="AG11" s="239">
        <f>'4. T7 LÅN '!Q15</f>
        <v>0</v>
      </c>
      <c r="AH11" s="237"/>
      <c r="AI11" s="240"/>
      <c r="AJ11" s="238">
        <f>IF(C11=0,0,IF(B11-R11-X11-AD11&lt;AD11,AF11,'AT2 Lainat, sotum, alv-osto'!AD11))</f>
        <v>0</v>
      </c>
      <c r="AK11" s="238">
        <f t="shared" si="8"/>
        <v>0</v>
      </c>
      <c r="AL11" s="238">
        <f t="shared" si="9"/>
        <v>0</v>
      </c>
      <c r="AM11" s="239"/>
    </row>
    <row r="12" spans="1:39">
      <c r="A12" s="1" t="str">
        <f>'4. T7 LÅN '!B17</f>
        <v xml:space="preserve"> Limitkredit</v>
      </c>
      <c r="B12" s="235">
        <f>'4. T7 LÅN '!C17</f>
        <v>0</v>
      </c>
      <c r="C12" s="88">
        <f>'4. T7 LÅN '!D17</f>
        <v>0</v>
      </c>
      <c r="D12" s="236">
        <f>'4. T7 LÅN '!E17</f>
        <v>0</v>
      </c>
      <c r="E12" s="488"/>
      <c r="F12" s="489"/>
      <c r="G12" s="490"/>
      <c r="H12" s="490"/>
      <c r="I12" s="491"/>
      <c r="J12" s="237"/>
      <c r="K12" s="240"/>
      <c r="L12" s="238">
        <f>'4. T7 LÅN '!F17</f>
        <v>0</v>
      </c>
      <c r="M12" s="238">
        <f t="shared" si="0"/>
        <v>0</v>
      </c>
      <c r="N12" s="238">
        <f t="shared" si="1"/>
        <v>0</v>
      </c>
      <c r="O12" s="239">
        <f>'4. T7 LÅN '!H17</f>
        <v>0</v>
      </c>
      <c r="P12" s="237"/>
      <c r="Q12" s="240"/>
      <c r="R12" s="238">
        <f>'4. T7 LÅN '!I17</f>
        <v>0</v>
      </c>
      <c r="S12" s="238">
        <f t="shared" si="2"/>
        <v>0</v>
      </c>
      <c r="T12" s="238">
        <f t="shared" si="3"/>
        <v>0</v>
      </c>
      <c r="U12" s="239">
        <f>'4. T7 LÅN '!K17</f>
        <v>0</v>
      </c>
      <c r="V12" s="237"/>
      <c r="W12" s="240"/>
      <c r="X12" s="238">
        <f>'4. T7 LÅN '!L17</f>
        <v>0</v>
      </c>
      <c r="Y12" s="238">
        <f t="shared" si="4"/>
        <v>0</v>
      </c>
      <c r="Z12" s="238">
        <f t="shared" si="5"/>
        <v>0</v>
      </c>
      <c r="AA12" s="239">
        <f>'4. T7 LÅN '!N17</f>
        <v>0</v>
      </c>
      <c r="AB12" s="237"/>
      <c r="AC12" s="240"/>
      <c r="AD12" s="238">
        <f>'4. T7 LÅN '!O17</f>
        <v>0</v>
      </c>
      <c r="AE12" s="238">
        <f t="shared" si="6"/>
        <v>0</v>
      </c>
      <c r="AF12" s="238">
        <f t="shared" si="7"/>
        <v>0</v>
      </c>
      <c r="AG12" s="239">
        <f>'4. T7 LÅN '!Q17</f>
        <v>0</v>
      </c>
      <c r="AH12" s="237"/>
      <c r="AI12" s="240"/>
      <c r="AJ12" s="238">
        <f>IF(C12=0,0,IF(B12-R12-X12-AD12&lt;AD12,AF12,'AT2 Lainat, sotum, alv-osto'!AD12))</f>
        <v>0</v>
      </c>
      <c r="AK12" s="238">
        <f t="shared" si="8"/>
        <v>0</v>
      </c>
      <c r="AL12" s="238">
        <f t="shared" si="9"/>
        <v>0</v>
      </c>
      <c r="AM12" s="239"/>
    </row>
    <row r="13" spans="1:39" s="2" customFormat="1">
      <c r="A13" s="2" t="s">
        <v>105</v>
      </c>
      <c r="B13" s="351">
        <f>SUM(B7:B12)</f>
        <v>745</v>
      </c>
      <c r="C13" s="702"/>
      <c r="D13" s="352"/>
      <c r="E13" s="860"/>
      <c r="F13" s="861" t="s">
        <v>0</v>
      </c>
      <c r="G13" s="862"/>
      <c r="H13" s="861">
        <v>0</v>
      </c>
      <c r="I13" s="863"/>
      <c r="J13" s="237"/>
      <c r="K13" s="240"/>
      <c r="L13" s="351">
        <f>SUM(L7:L12)</f>
        <v>8936</v>
      </c>
      <c r="M13" s="351">
        <f>SUM(M7:M12)</f>
        <v>5213</v>
      </c>
      <c r="N13" s="351">
        <f>SUM(N7:N12)</f>
        <v>745</v>
      </c>
      <c r="O13" s="351">
        <f>SUM(O7:O12)</f>
        <v>128.09699999999998</v>
      </c>
      <c r="P13" s="351">
        <f>SUM(P7:P12)</f>
        <v>0</v>
      </c>
      <c r="Q13" s="240"/>
      <c r="R13" s="351">
        <f>SUM(R7:R12)</f>
        <v>745</v>
      </c>
      <c r="S13" s="351">
        <f>SUM(S7:S12)</f>
        <v>558.75</v>
      </c>
      <c r="T13" s="351">
        <f>SUM(T7:T12)</f>
        <v>0</v>
      </c>
      <c r="U13" s="351">
        <f>SUM(U7:U12)</f>
        <v>24.026249999999997</v>
      </c>
      <c r="V13" s="351">
        <f>SUM(V7:V12)</f>
        <v>0</v>
      </c>
      <c r="W13" s="240"/>
      <c r="X13" s="351">
        <f t="shared" ref="X13:AM13" si="10">SUM(X7:X12)</f>
        <v>0</v>
      </c>
      <c r="Y13" s="351">
        <f t="shared" si="10"/>
        <v>0</v>
      </c>
      <c r="Z13" s="351">
        <f t="shared" si="10"/>
        <v>0</v>
      </c>
      <c r="AA13" s="351">
        <f t="shared" si="10"/>
        <v>0</v>
      </c>
      <c r="AB13" s="351">
        <f t="shared" si="10"/>
        <v>0</v>
      </c>
      <c r="AC13" s="351">
        <f t="shared" si="10"/>
        <v>0</v>
      </c>
      <c r="AD13" s="351">
        <f t="shared" si="10"/>
        <v>0</v>
      </c>
      <c r="AE13" s="351">
        <f t="shared" si="10"/>
        <v>0</v>
      </c>
      <c r="AF13" s="351">
        <f t="shared" si="10"/>
        <v>0</v>
      </c>
      <c r="AG13" s="351">
        <f t="shared" si="10"/>
        <v>0</v>
      </c>
      <c r="AH13" s="351">
        <f t="shared" si="10"/>
        <v>0</v>
      </c>
      <c r="AI13" s="351">
        <f t="shared" si="10"/>
        <v>0</v>
      </c>
      <c r="AJ13" s="351">
        <f t="shared" si="10"/>
        <v>0</v>
      </c>
      <c r="AK13" s="351">
        <f t="shared" si="10"/>
        <v>0</v>
      </c>
      <c r="AL13" s="351">
        <f t="shared" si="10"/>
        <v>0</v>
      </c>
      <c r="AM13" s="351">
        <f t="shared" si="10"/>
        <v>0</v>
      </c>
    </row>
    <row r="14" spans="1:39">
      <c r="A14" s="1" t="s">
        <v>26</v>
      </c>
      <c r="B14" s="43"/>
      <c r="C14" s="88"/>
      <c r="D14" s="43"/>
      <c r="E14" s="864"/>
      <c r="F14" s="865"/>
      <c r="G14" s="865"/>
      <c r="H14" s="865"/>
      <c r="I14" s="866"/>
      <c r="J14" s="103"/>
      <c r="K14" s="102"/>
      <c r="L14" s="99"/>
      <c r="M14" s="99"/>
      <c r="N14" s="99"/>
      <c r="O14" s="104"/>
      <c r="P14" s="103"/>
      <c r="Q14" s="102"/>
      <c r="R14" s="99"/>
      <c r="S14" s="99"/>
      <c r="T14" s="99"/>
      <c r="U14" s="104"/>
      <c r="V14" s="103"/>
      <c r="W14" s="102"/>
      <c r="X14" s="99"/>
      <c r="Y14" s="99"/>
      <c r="Z14" s="99"/>
      <c r="AA14" s="104"/>
      <c r="AB14" s="103"/>
      <c r="AC14" s="102"/>
      <c r="AD14" s="238" t="s">
        <v>0</v>
      </c>
      <c r="AE14" s="99"/>
      <c r="AF14" s="99"/>
      <c r="AG14" s="104"/>
      <c r="AH14" s="103"/>
      <c r="AI14" s="102"/>
      <c r="AJ14" s="238" t="s">
        <v>0</v>
      </c>
      <c r="AK14" s="99"/>
      <c r="AL14" s="99"/>
      <c r="AM14" s="104"/>
    </row>
    <row r="15" spans="1:39">
      <c r="A15" s="92" t="str">
        <f>'4. T7 LÅN '!B26</f>
        <v xml:space="preserve"> Finnvera/ Dagishus</v>
      </c>
      <c r="B15" s="100">
        <f>'4. T7 LÅN '!C26</f>
        <v>80000</v>
      </c>
      <c r="C15" s="703">
        <f>'4. T7 LÅN '!D26</f>
        <v>7</v>
      </c>
      <c r="D15" s="101">
        <f>'4. T7 LÅN '!E26</f>
        <v>0.05</v>
      </c>
      <c r="E15" s="867"/>
      <c r="F15" s="868"/>
      <c r="G15" s="868"/>
      <c r="H15" s="868"/>
      <c r="I15" s="869"/>
      <c r="J15" s="249">
        <f>'4. T7 LÅN '!F26</f>
        <v>80000</v>
      </c>
      <c r="K15" s="250">
        <f>IF(H15&gt;0,IF(C15-1&gt;0,C15-1,C15),C15)</f>
        <v>7</v>
      </c>
      <c r="L15" s="226">
        <f>'4. T7 LÅN '!G26</f>
        <v>8000</v>
      </c>
      <c r="M15" s="226">
        <f>E15-F15+J15-L15/4</f>
        <v>78000</v>
      </c>
      <c r="N15" s="226">
        <f>J15-L15</f>
        <v>72000</v>
      </c>
      <c r="O15" s="194">
        <f>IF($D15*M15&lt;0,0,M15*$D15)</f>
        <v>3900</v>
      </c>
      <c r="P15" s="195">
        <f>'4. T7 LÅN '!I26</f>
        <v>0</v>
      </c>
      <c r="Q15" s="250">
        <f t="shared" ref="Q15:Q20" si="11">IF(E15=0,IF(J15=0,K15,$C15-1),$C15-2)</f>
        <v>6</v>
      </c>
      <c r="R15" s="226">
        <f>'4. T7 LÅN '!J26</f>
        <v>8000</v>
      </c>
      <c r="S15" s="226">
        <f t="shared" ref="S15:S20" si="12">N15+P15-R15/4</f>
        <v>70000</v>
      </c>
      <c r="T15" s="226">
        <f t="shared" ref="T15:T20" si="13">N15+P15-R15</f>
        <v>64000</v>
      </c>
      <c r="U15" s="194">
        <f t="shared" ref="U15:U20" si="14">IF($D15*S15&lt;0,0,S15*$D15)</f>
        <v>3500</v>
      </c>
      <c r="V15" s="195">
        <f>'4. T7 LÅN '!L26</f>
        <v>0</v>
      </c>
      <c r="W15" s="250">
        <f>IF(Q15-1&gt;0,Q15-1,0)</f>
        <v>5</v>
      </c>
      <c r="X15" s="226">
        <f>'4. T7 LÅN '!M26</f>
        <v>8000</v>
      </c>
      <c r="Y15" s="226">
        <f>(T15+V15-X15/4)</f>
        <v>62000</v>
      </c>
      <c r="Z15" s="226">
        <f>T15+V15-X15</f>
        <v>56000</v>
      </c>
      <c r="AA15" s="194">
        <f>IF($D15*Y15&lt;0,0,Y15*$D15)</f>
        <v>3100</v>
      </c>
      <c r="AB15" s="195">
        <f>'4. T7 LÅN '!O26</f>
        <v>0</v>
      </c>
      <c r="AC15" s="250">
        <f>IF(W15-1&gt;0,W15-1,0)</f>
        <v>4</v>
      </c>
      <c r="AD15" s="238">
        <f>'4. T7 LÅN '!P26</f>
        <v>8000</v>
      </c>
      <c r="AE15" s="226">
        <f>(Z15+AB15-AD15/4)</f>
        <v>54000</v>
      </c>
      <c r="AF15" s="226">
        <f>Z15+AB15-AD15</f>
        <v>48000</v>
      </c>
      <c r="AG15" s="194">
        <f>IF($D15*AE15&lt;0,0,AE15*$D15)</f>
        <v>2700</v>
      </c>
      <c r="AH15" s="195">
        <v>0</v>
      </c>
      <c r="AI15" s="250">
        <f>IF(AC15-1&gt;0,AC15-1,0)</f>
        <v>3</v>
      </c>
      <c r="AJ15" s="238">
        <f>IF(C15=0,0,IF(B15-R15-X15-AD15-L15&lt;=0,0,IF(AF15&lt;AD15,AF15,'AT2 Lainat, sotum, alv-osto'!AD15)))</f>
        <v>8000</v>
      </c>
      <c r="AK15" s="226">
        <f>(AF15+AH15-AJ15/4)</f>
        <v>46000</v>
      </c>
      <c r="AL15" s="226">
        <f>AF15+AH15-AJ15</f>
        <v>40000</v>
      </c>
      <c r="AM15" s="194">
        <f>IF($D15*AK15&lt;0,0,AK15*$D15)</f>
        <v>2300</v>
      </c>
    </row>
    <row r="16" spans="1:39">
      <c r="A16" s="92" t="str">
        <f>'4. T7 LÅN '!B27</f>
        <v xml:space="preserve"> Banklån/ Dagishus</v>
      </c>
      <c r="B16" s="100">
        <f>'4. T7 LÅN '!C27</f>
        <v>150000</v>
      </c>
      <c r="C16" s="703">
        <f>'4. T7 LÅN '!D27</f>
        <v>10</v>
      </c>
      <c r="D16" s="101">
        <f>'4. T7 LÅN '!E27</f>
        <v>3.2000000000000001E-2</v>
      </c>
      <c r="E16" s="867"/>
      <c r="F16" s="868"/>
      <c r="G16" s="868"/>
      <c r="H16" s="868"/>
      <c r="I16" s="869"/>
      <c r="J16" s="249">
        <f>'4. T7 LÅN '!F27</f>
        <v>150000</v>
      </c>
      <c r="K16" s="250">
        <f>IF(H16&gt;0,IF(C16-1&gt;0,C16-1,C16),C16)</f>
        <v>10</v>
      </c>
      <c r="L16" s="226">
        <f>'4. T7 LÅN '!G27</f>
        <v>0</v>
      </c>
      <c r="M16" s="226">
        <f>E16-F16+J16-L16/4</f>
        <v>150000</v>
      </c>
      <c r="N16" s="226">
        <f>J16-L16</f>
        <v>150000</v>
      </c>
      <c r="O16" s="194">
        <f>IF($D16*M16&lt;0,0,M16*$D16)</f>
        <v>4800</v>
      </c>
      <c r="P16" s="195">
        <f>'4. T7 LÅN '!I27</f>
        <v>0</v>
      </c>
      <c r="Q16" s="250">
        <f t="shared" si="11"/>
        <v>9</v>
      </c>
      <c r="R16" s="226">
        <f>'4. T7 LÅN '!J27</f>
        <v>16670</v>
      </c>
      <c r="S16" s="226">
        <f t="shared" si="12"/>
        <v>145832.5</v>
      </c>
      <c r="T16" s="226">
        <f t="shared" si="13"/>
        <v>133330</v>
      </c>
      <c r="U16" s="194">
        <f t="shared" si="14"/>
        <v>4666.6400000000003</v>
      </c>
      <c r="V16" s="195">
        <f>'4. T7 LÅN '!L27</f>
        <v>0</v>
      </c>
      <c r="W16" s="250">
        <f>IF(Q16-1&gt;0,Q16-1,0)</f>
        <v>8</v>
      </c>
      <c r="X16" s="226">
        <f>'4. T7 LÅN '!M27</f>
        <v>16670</v>
      </c>
      <c r="Y16" s="226">
        <f t="shared" ref="Y16:Y24" si="15">(T16+V16-X16/4)</f>
        <v>129162.5</v>
      </c>
      <c r="Z16" s="226">
        <f>T16+V16-X16</f>
        <v>116660</v>
      </c>
      <c r="AA16" s="194">
        <f>IF($D16*Y16&lt;0,0,Y16*$D16)</f>
        <v>4133.2</v>
      </c>
      <c r="AB16" s="195">
        <f>'4. T7 LÅN '!O27</f>
        <v>0</v>
      </c>
      <c r="AC16" s="250">
        <f>IF(W16-1&gt;0,W16-1,0)</f>
        <v>7</v>
      </c>
      <c r="AD16" s="238">
        <f>'4. T7 LÅN '!P27</f>
        <v>16670</v>
      </c>
      <c r="AE16" s="226">
        <f t="shared" ref="AE16:AE26" si="16">(Z16+AB16-AD16/4)</f>
        <v>112492.5</v>
      </c>
      <c r="AF16" s="226">
        <f>Z16+AB16-AD16</f>
        <v>99990</v>
      </c>
      <c r="AG16" s="194">
        <f>IF($D16*AE16&lt;0,0,AE16*$D16)</f>
        <v>3599.76</v>
      </c>
      <c r="AH16" s="195">
        <v>0</v>
      </c>
      <c r="AI16" s="250">
        <f>IF(AC16-1&gt;0,AC16-1,0)</f>
        <v>6</v>
      </c>
      <c r="AJ16" s="238">
        <f>IF(C16=0,0,IF(B16-R16-X16-AD16-L16&lt;=0,0,IF(AF16&lt;AD16,AF16,'AT2 Lainat, sotum, alv-osto'!AD16)))</f>
        <v>16670</v>
      </c>
      <c r="AK16" s="226">
        <f t="shared" ref="AK16:AK26" si="17">(AF16+AH16-AJ16/4)</f>
        <v>95822.5</v>
      </c>
      <c r="AL16" s="226">
        <f>AF16+AH16-AJ16</f>
        <v>83320</v>
      </c>
      <c r="AM16" s="194">
        <f>IF($D16*AK16&lt;0,0,AK16*$D16)</f>
        <v>3066.32</v>
      </c>
    </row>
    <row r="17" spans="1:39">
      <c r="A17" s="92">
        <f>'4. T7 LÅN '!B28</f>
        <v>0</v>
      </c>
      <c r="B17" s="100">
        <f>'4. T7 LÅN '!C28</f>
        <v>0</v>
      </c>
      <c r="C17" s="703">
        <f>'4. T7 LÅN '!D28</f>
        <v>0</v>
      </c>
      <c r="D17" s="101">
        <f>'4. T7 LÅN '!E28</f>
        <v>0</v>
      </c>
      <c r="E17" s="867"/>
      <c r="F17" s="868"/>
      <c r="G17" s="868"/>
      <c r="H17" s="868"/>
      <c r="I17" s="869"/>
      <c r="J17" s="249">
        <f>'4. T7 LÅN '!F28</f>
        <v>0</v>
      </c>
      <c r="K17" s="250">
        <f>IF(H17&gt;0,IF(C17-1&gt;0,C17-1,C17),C17)</f>
        <v>0</v>
      </c>
      <c r="L17" s="226">
        <f>'4. T7 LÅN '!G28</f>
        <v>0</v>
      </c>
      <c r="M17" s="226">
        <f>E17-F17+J17-L17/4</f>
        <v>0</v>
      </c>
      <c r="N17" s="226">
        <f>J17-L17</f>
        <v>0</v>
      </c>
      <c r="O17" s="194">
        <f>IF($D17*M17&lt;0,0,M17*$D17)</f>
        <v>0</v>
      </c>
      <c r="P17" s="195">
        <f>'4. T7 LÅN '!I28</f>
        <v>0</v>
      </c>
      <c r="Q17" s="250">
        <f t="shared" si="11"/>
        <v>0</v>
      </c>
      <c r="R17" s="226">
        <f>'4. T7 LÅN '!J28</f>
        <v>0</v>
      </c>
      <c r="S17" s="226">
        <f t="shared" si="12"/>
        <v>0</v>
      </c>
      <c r="T17" s="226">
        <f t="shared" si="13"/>
        <v>0</v>
      </c>
      <c r="U17" s="194">
        <f t="shared" si="14"/>
        <v>0</v>
      </c>
      <c r="V17" s="195">
        <f>'4. T7 LÅN '!L28</f>
        <v>0</v>
      </c>
      <c r="W17" s="250">
        <f t="shared" ref="W17:W23" si="18">IF(Q17-1&gt;0,Q17-1,0)</f>
        <v>0</v>
      </c>
      <c r="X17" s="226">
        <f>'4. T7 LÅN '!M28</f>
        <v>0</v>
      </c>
      <c r="Y17" s="226">
        <f t="shared" si="15"/>
        <v>0</v>
      </c>
      <c r="Z17" s="226">
        <f t="shared" ref="Z17:Z23" si="19">T17+V17-X17</f>
        <v>0</v>
      </c>
      <c r="AA17" s="194">
        <f t="shared" ref="AA17:AA23" si="20">IF($D17*Y17&lt;0,0,Y17*$D17)</f>
        <v>0</v>
      </c>
      <c r="AB17" s="195">
        <f>'4. T7 LÅN '!O28</f>
        <v>0</v>
      </c>
      <c r="AC17" s="250">
        <f t="shared" ref="AC17:AC26" si="21">IF(W17-1&gt;0,W17-1,0)</f>
        <v>0</v>
      </c>
      <c r="AD17" s="238">
        <f>'4. T7 LÅN '!P28</f>
        <v>0</v>
      </c>
      <c r="AE17" s="226">
        <f t="shared" si="16"/>
        <v>0</v>
      </c>
      <c r="AF17" s="226">
        <f t="shared" ref="AF17:AF26" si="22">Z17+AB17-AD17</f>
        <v>0</v>
      </c>
      <c r="AG17" s="194">
        <f t="shared" ref="AG17:AG26" si="23">IF($D17*AE17&lt;0,0,AE17*$D17)</f>
        <v>0</v>
      </c>
      <c r="AH17" s="195">
        <v>0</v>
      </c>
      <c r="AI17" s="250">
        <f t="shared" ref="AI17:AI26" si="24">IF(AC17-1&gt;0,AC17-1,0)</f>
        <v>0</v>
      </c>
      <c r="AJ17" s="238">
        <f>IF(C17=0,0,IF(B17-R17-X17-AD17-L17&lt;=0,0,IF(AF17&lt;AD17,AF17,'AT2 Lainat, sotum, alv-osto'!AD17)))</f>
        <v>0</v>
      </c>
      <c r="AK17" s="226">
        <f t="shared" si="17"/>
        <v>0</v>
      </c>
      <c r="AL17" s="226">
        <f t="shared" ref="AL17:AL26" si="25">AF17+AH17-AJ17</f>
        <v>0</v>
      </c>
      <c r="AM17" s="194">
        <f t="shared" ref="AM17:AM26" si="26">IF($D17*AK17&lt;0,0,AK17*$D17)</f>
        <v>0</v>
      </c>
    </row>
    <row r="18" spans="1:39">
      <c r="A18" s="92" t="str">
        <f>'4. T7 LÅN '!B30</f>
        <v xml:space="preserve"> Långivaren/avsedd användning</v>
      </c>
      <c r="B18" s="100">
        <f>'4. T7 LÅN '!C30</f>
        <v>0</v>
      </c>
      <c r="C18" s="703">
        <f>'4. T7 LÅN '!D30</f>
        <v>0</v>
      </c>
      <c r="D18" s="101">
        <f>'4. T7 LÅN '!E30</f>
        <v>0</v>
      </c>
      <c r="E18" s="867"/>
      <c r="F18" s="868"/>
      <c r="G18" s="868"/>
      <c r="H18" s="868"/>
      <c r="I18" s="869"/>
      <c r="J18" s="249"/>
      <c r="K18" s="250"/>
      <c r="L18" s="226"/>
      <c r="M18" s="226"/>
      <c r="N18" s="226"/>
      <c r="O18" s="194"/>
      <c r="P18" s="195">
        <f>'4. T7 LÅN '!I30</f>
        <v>0</v>
      </c>
      <c r="Q18" s="250">
        <f t="shared" si="11"/>
        <v>0</v>
      </c>
      <c r="R18" s="226">
        <f>'4. T7 LÅN '!J30</f>
        <v>0</v>
      </c>
      <c r="S18" s="226">
        <f t="shared" si="12"/>
        <v>0</v>
      </c>
      <c r="T18" s="226">
        <f t="shared" si="13"/>
        <v>0</v>
      </c>
      <c r="U18" s="194">
        <f t="shared" si="14"/>
        <v>0</v>
      </c>
      <c r="V18" s="195">
        <f>'4. T7 LÅN '!L30</f>
        <v>0</v>
      </c>
      <c r="W18" s="250">
        <f t="shared" si="18"/>
        <v>0</v>
      </c>
      <c r="X18" s="226">
        <f>'4. T7 LÅN '!M30</f>
        <v>0</v>
      </c>
      <c r="Y18" s="226">
        <f t="shared" si="15"/>
        <v>0</v>
      </c>
      <c r="Z18" s="226">
        <f t="shared" si="19"/>
        <v>0</v>
      </c>
      <c r="AA18" s="194">
        <f t="shared" si="20"/>
        <v>0</v>
      </c>
      <c r="AB18" s="195">
        <f>'4. T7 LÅN '!O30</f>
        <v>0</v>
      </c>
      <c r="AC18" s="250">
        <f t="shared" si="21"/>
        <v>0</v>
      </c>
      <c r="AD18" s="238">
        <f>'4. T7 LÅN '!P30</f>
        <v>0</v>
      </c>
      <c r="AE18" s="226">
        <f t="shared" si="16"/>
        <v>0</v>
      </c>
      <c r="AF18" s="226">
        <f t="shared" si="22"/>
        <v>0</v>
      </c>
      <c r="AG18" s="194">
        <f t="shared" si="23"/>
        <v>0</v>
      </c>
      <c r="AH18" s="195">
        <v>0</v>
      </c>
      <c r="AI18" s="250">
        <f t="shared" si="24"/>
        <v>0</v>
      </c>
      <c r="AJ18" s="238">
        <f>IF(C18=0,0,IF(B18-R18-X18-AD18-L18&lt;=0,0,IF(AF18&lt;AD18,AF18,'AT2 Lainat, sotum, alv-osto'!AD18)))</f>
        <v>0</v>
      </c>
      <c r="AK18" s="226">
        <f t="shared" si="17"/>
        <v>0</v>
      </c>
      <c r="AL18" s="226">
        <f t="shared" si="25"/>
        <v>0</v>
      </c>
      <c r="AM18" s="194">
        <f t="shared" si="26"/>
        <v>0</v>
      </c>
    </row>
    <row r="19" spans="1:39">
      <c r="A19" s="92">
        <f>'4. T7 LÅN '!B31</f>
        <v>0</v>
      </c>
      <c r="B19" s="100">
        <f>'4. T7 LÅN '!C31</f>
        <v>0</v>
      </c>
      <c r="C19" s="703">
        <f>'4. T7 LÅN '!D31</f>
        <v>0</v>
      </c>
      <c r="D19" s="101">
        <f>'4. T7 LÅN '!E31</f>
        <v>0</v>
      </c>
      <c r="E19" s="867"/>
      <c r="F19" s="868"/>
      <c r="G19" s="868"/>
      <c r="H19" s="868"/>
      <c r="I19" s="869"/>
      <c r="J19" s="249"/>
      <c r="K19" s="250"/>
      <c r="L19" s="226"/>
      <c r="M19" s="226"/>
      <c r="N19" s="226"/>
      <c r="O19" s="194"/>
      <c r="P19" s="195">
        <f>'4. T7 LÅN '!I31</f>
        <v>0</v>
      </c>
      <c r="Q19" s="250">
        <f t="shared" si="11"/>
        <v>0</v>
      </c>
      <c r="R19" s="226">
        <f>'4. T7 LÅN '!J31</f>
        <v>0</v>
      </c>
      <c r="S19" s="226">
        <f t="shared" si="12"/>
        <v>0</v>
      </c>
      <c r="T19" s="226">
        <f t="shared" si="13"/>
        <v>0</v>
      </c>
      <c r="U19" s="194">
        <f t="shared" si="14"/>
        <v>0</v>
      </c>
      <c r="V19" s="195">
        <f>'4. T7 LÅN '!L31</f>
        <v>0</v>
      </c>
      <c r="W19" s="250">
        <f>IF(Q19-1&gt;0,Q19-1,0)</f>
        <v>0</v>
      </c>
      <c r="X19" s="226">
        <f>'4. T7 LÅN '!M31</f>
        <v>0</v>
      </c>
      <c r="Y19" s="226">
        <f t="shared" si="15"/>
        <v>0</v>
      </c>
      <c r="Z19" s="226">
        <f>T19+V19-X19</f>
        <v>0</v>
      </c>
      <c r="AA19" s="194">
        <f>IF($D19*Y19&lt;0,0,Y19*$D19)</f>
        <v>0</v>
      </c>
      <c r="AB19" s="195">
        <f>'4. T7 LÅN '!O31</f>
        <v>0</v>
      </c>
      <c r="AC19" s="250">
        <f>IF(W19-1&gt;0,W19-1,0)</f>
        <v>0</v>
      </c>
      <c r="AD19" s="238">
        <f>'4. T7 LÅN '!P31</f>
        <v>0</v>
      </c>
      <c r="AE19" s="226">
        <f t="shared" si="16"/>
        <v>0</v>
      </c>
      <c r="AF19" s="226">
        <f>Z19+AB19-AD19</f>
        <v>0</v>
      </c>
      <c r="AG19" s="194">
        <f>IF($D19*AE19&lt;0,0,AE19*$D19)</f>
        <v>0</v>
      </c>
      <c r="AH19" s="195">
        <v>0</v>
      </c>
      <c r="AI19" s="250">
        <f>IF(AC19-1&gt;0,AC19-1,0)</f>
        <v>0</v>
      </c>
      <c r="AJ19" s="238">
        <f>IF(C19=0,0,IF(B19-R19-X19-AD19-L19&lt;=0,0,IF(AF19&lt;AD19,AF19,'AT2 Lainat, sotum, alv-osto'!AD19)))</f>
        <v>0</v>
      </c>
      <c r="AK19" s="226">
        <f t="shared" si="17"/>
        <v>0</v>
      </c>
      <c r="AL19" s="226">
        <f>AF19+AH19-AJ19</f>
        <v>0</v>
      </c>
      <c r="AM19" s="194">
        <f>IF($D19*AK19&lt;0,0,AK19*$D19)</f>
        <v>0</v>
      </c>
    </row>
    <row r="20" spans="1:39">
      <c r="A20" s="92">
        <f>'4. T7 LÅN '!B32</f>
        <v>0</v>
      </c>
      <c r="B20" s="100">
        <f>'4. T7 LÅN '!C32</f>
        <v>0</v>
      </c>
      <c r="C20" s="703">
        <f>'4. T7 LÅN '!D32</f>
        <v>0</v>
      </c>
      <c r="D20" s="101">
        <f>'4. T7 LÅN '!E32</f>
        <v>0</v>
      </c>
      <c r="E20" s="867"/>
      <c r="F20" s="868"/>
      <c r="G20" s="868"/>
      <c r="H20" s="868"/>
      <c r="I20" s="869"/>
      <c r="J20" s="249"/>
      <c r="K20" s="250"/>
      <c r="L20" s="226"/>
      <c r="M20" s="226"/>
      <c r="N20" s="226"/>
      <c r="O20" s="194"/>
      <c r="P20" s="195">
        <f>'4. T7 LÅN '!I32</f>
        <v>0</v>
      </c>
      <c r="Q20" s="250">
        <f t="shared" si="11"/>
        <v>0</v>
      </c>
      <c r="R20" s="226">
        <f>'4. T7 LÅN '!J32</f>
        <v>0</v>
      </c>
      <c r="S20" s="226">
        <f t="shared" si="12"/>
        <v>0</v>
      </c>
      <c r="T20" s="226">
        <f t="shared" si="13"/>
        <v>0</v>
      </c>
      <c r="U20" s="194">
        <f t="shared" si="14"/>
        <v>0</v>
      </c>
      <c r="V20" s="195">
        <f>'4. T7 LÅN '!L32</f>
        <v>0</v>
      </c>
      <c r="W20" s="250">
        <f t="shared" si="18"/>
        <v>0</v>
      </c>
      <c r="X20" s="226">
        <f>'4. T7 LÅN '!M32</f>
        <v>0</v>
      </c>
      <c r="Y20" s="226">
        <f t="shared" si="15"/>
        <v>0</v>
      </c>
      <c r="Z20" s="226">
        <f t="shared" si="19"/>
        <v>0</v>
      </c>
      <c r="AA20" s="194">
        <f t="shared" si="20"/>
        <v>0</v>
      </c>
      <c r="AB20" s="195">
        <f>'4. T7 LÅN '!O32</f>
        <v>0</v>
      </c>
      <c r="AC20" s="250">
        <f t="shared" si="21"/>
        <v>0</v>
      </c>
      <c r="AD20" s="238">
        <f>'4. T7 LÅN '!P32</f>
        <v>0</v>
      </c>
      <c r="AE20" s="226">
        <f t="shared" si="16"/>
        <v>0</v>
      </c>
      <c r="AF20" s="226">
        <f t="shared" si="22"/>
        <v>0</v>
      </c>
      <c r="AG20" s="194">
        <f t="shared" si="23"/>
        <v>0</v>
      </c>
      <c r="AH20" s="195">
        <v>0</v>
      </c>
      <c r="AI20" s="250">
        <f t="shared" si="24"/>
        <v>0</v>
      </c>
      <c r="AJ20" s="238">
        <f>IF(C20=0,0,IF(B20-R20-X20-AD20-L20&lt;=0,0,IF(AF20&lt;AD20,AF20,'AT2 Lainat, sotum, alv-osto'!AD20)))</f>
        <v>0</v>
      </c>
      <c r="AK20" s="226">
        <f t="shared" si="17"/>
        <v>0</v>
      </c>
      <c r="AL20" s="226">
        <f t="shared" si="25"/>
        <v>0</v>
      </c>
      <c r="AM20" s="194">
        <f t="shared" si="26"/>
        <v>0</v>
      </c>
    </row>
    <row r="21" spans="1:39">
      <c r="A21" s="92" t="str">
        <f>'4. T7 LÅN '!B34</f>
        <v xml:space="preserve"> Långivaren/avsedd användning</v>
      </c>
      <c r="B21" s="100">
        <f>'4. T7 LÅN '!C34</f>
        <v>0</v>
      </c>
      <c r="C21" s="703">
        <f>'4. T7 LÅN '!D34</f>
        <v>0</v>
      </c>
      <c r="D21" s="101">
        <f>'4. T7 LÅN '!E34</f>
        <v>0</v>
      </c>
      <c r="E21" s="867"/>
      <c r="F21" s="868"/>
      <c r="G21" s="868"/>
      <c r="H21" s="868"/>
      <c r="I21" s="869"/>
      <c r="J21" s="249"/>
      <c r="K21" s="250"/>
      <c r="L21" s="226"/>
      <c r="M21" s="226"/>
      <c r="N21" s="226"/>
      <c r="O21" s="194"/>
      <c r="P21" s="195"/>
      <c r="Q21" s="250"/>
      <c r="R21" s="226"/>
      <c r="S21" s="226"/>
      <c r="T21" s="226"/>
      <c r="U21" s="194"/>
      <c r="V21" s="195">
        <f>'4. T7 LÅN '!L34</f>
        <v>0</v>
      </c>
      <c r="W21" s="250">
        <f t="shared" si="18"/>
        <v>0</v>
      </c>
      <c r="X21" s="226">
        <f>'4. T7 LÅN '!M34</f>
        <v>0</v>
      </c>
      <c r="Y21" s="226">
        <f t="shared" si="15"/>
        <v>0</v>
      </c>
      <c r="Z21" s="226">
        <f t="shared" si="19"/>
        <v>0</v>
      </c>
      <c r="AA21" s="194">
        <f t="shared" si="20"/>
        <v>0</v>
      </c>
      <c r="AB21" s="195">
        <f>'4. T7 LÅN '!O34</f>
        <v>0</v>
      </c>
      <c r="AC21" s="250">
        <f t="shared" si="21"/>
        <v>0</v>
      </c>
      <c r="AD21" s="238">
        <f>'4. T7 LÅN '!P34</f>
        <v>0</v>
      </c>
      <c r="AE21" s="226">
        <f t="shared" si="16"/>
        <v>0</v>
      </c>
      <c r="AF21" s="226">
        <f t="shared" si="22"/>
        <v>0</v>
      </c>
      <c r="AG21" s="194">
        <f t="shared" si="23"/>
        <v>0</v>
      </c>
      <c r="AH21" s="195">
        <v>0</v>
      </c>
      <c r="AI21" s="250">
        <f t="shared" si="24"/>
        <v>0</v>
      </c>
      <c r="AJ21" s="238">
        <f>IF(C21=0,0,IF(B21-R21-X21-AD21-L21&lt;=0,0,IF(AF21&lt;AD21,AF21,'AT2 Lainat, sotum, alv-osto'!AD21)))</f>
        <v>0</v>
      </c>
      <c r="AK21" s="226">
        <f t="shared" si="17"/>
        <v>0</v>
      </c>
      <c r="AL21" s="226">
        <f t="shared" si="25"/>
        <v>0</v>
      </c>
      <c r="AM21" s="194">
        <f t="shared" si="26"/>
        <v>0</v>
      </c>
    </row>
    <row r="22" spans="1:39">
      <c r="A22" s="92">
        <f>'4. T7 LÅN '!B35</f>
        <v>0</v>
      </c>
      <c r="B22" s="100">
        <f>'4. T7 LÅN '!C35</f>
        <v>0</v>
      </c>
      <c r="C22" s="703">
        <f>'4. T7 LÅN '!D35</f>
        <v>0</v>
      </c>
      <c r="D22" s="101">
        <f>'4. T7 LÅN '!E35</f>
        <v>0</v>
      </c>
      <c r="E22" s="867"/>
      <c r="F22" s="868"/>
      <c r="G22" s="868"/>
      <c r="H22" s="868"/>
      <c r="I22" s="869"/>
      <c r="J22" s="249"/>
      <c r="K22" s="250"/>
      <c r="L22" s="226"/>
      <c r="M22" s="226"/>
      <c r="N22" s="226"/>
      <c r="O22" s="194"/>
      <c r="P22" s="195"/>
      <c r="Q22" s="250"/>
      <c r="R22" s="226"/>
      <c r="S22" s="226"/>
      <c r="T22" s="226"/>
      <c r="U22" s="194"/>
      <c r="V22" s="195">
        <f>'4. T7 LÅN '!L35</f>
        <v>0</v>
      </c>
      <c r="W22" s="250">
        <f>IF(Q22-1&gt;0,Q22-1,0)</f>
        <v>0</v>
      </c>
      <c r="X22" s="226">
        <f>'4. T7 LÅN '!M35</f>
        <v>0</v>
      </c>
      <c r="Y22" s="226">
        <f t="shared" si="15"/>
        <v>0</v>
      </c>
      <c r="Z22" s="226">
        <f>T22+V22-X22</f>
        <v>0</v>
      </c>
      <c r="AA22" s="194">
        <f>IF($D22*Y22&lt;0,0,Y22*$D22)</f>
        <v>0</v>
      </c>
      <c r="AB22" s="195">
        <f>'4. T7 LÅN '!O35</f>
        <v>0</v>
      </c>
      <c r="AC22" s="250">
        <f>IF(W22-1&gt;0,W22-1,0)</f>
        <v>0</v>
      </c>
      <c r="AD22" s="238">
        <f>'4. T7 LÅN '!P35</f>
        <v>0</v>
      </c>
      <c r="AE22" s="226">
        <f t="shared" si="16"/>
        <v>0</v>
      </c>
      <c r="AF22" s="226">
        <f>Z22+AB22-AD22</f>
        <v>0</v>
      </c>
      <c r="AG22" s="194">
        <f>IF($D22*AE22&lt;0,0,AE22*$D22)</f>
        <v>0</v>
      </c>
      <c r="AH22" s="195">
        <v>0</v>
      </c>
      <c r="AI22" s="250">
        <f>IF(AC22-1&gt;0,AC22-1,0)</f>
        <v>0</v>
      </c>
      <c r="AJ22" s="238">
        <f>IF(C22=0,0,IF(B22-R22-X22-AD22-L22&lt;=0,0,IF(AF22&lt;AD22,AF22,'AT2 Lainat, sotum, alv-osto'!AD22)))</f>
        <v>0</v>
      </c>
      <c r="AK22" s="226">
        <f t="shared" si="17"/>
        <v>0</v>
      </c>
      <c r="AL22" s="226">
        <f>AF22+AH22-AJ22</f>
        <v>0</v>
      </c>
      <c r="AM22" s="194">
        <f>IF($D22*AK22&lt;0,0,AK22*$D22)</f>
        <v>0</v>
      </c>
    </row>
    <row r="23" spans="1:39">
      <c r="A23" s="92">
        <f>'4. T7 LÅN '!B36</f>
        <v>0</v>
      </c>
      <c r="B23" s="100">
        <f>'4. T7 LÅN '!C36</f>
        <v>0</v>
      </c>
      <c r="C23" s="703">
        <f>'4. T7 LÅN '!D36</f>
        <v>0</v>
      </c>
      <c r="D23" s="101">
        <f>'4. T7 LÅN '!E36</f>
        <v>0</v>
      </c>
      <c r="E23" s="867"/>
      <c r="F23" s="868"/>
      <c r="G23" s="868"/>
      <c r="H23" s="868"/>
      <c r="I23" s="869"/>
      <c r="J23" s="249">
        <f>'4. T7 LÅN '!F36</f>
        <v>0</v>
      </c>
      <c r="K23" s="250">
        <f>IF(H23&gt;0,IF(C23-1&gt;0,C23-1,C23),C23)</f>
        <v>0</v>
      </c>
      <c r="L23" s="226">
        <f>'4. T7 LÅN '!G36</f>
        <v>0</v>
      </c>
      <c r="M23" s="226">
        <f>E23-F23+J23-L23/2</f>
        <v>0</v>
      </c>
      <c r="N23" s="226">
        <f>J23-L23</f>
        <v>0</v>
      </c>
      <c r="O23" s="194">
        <f>IF($D23*M23&lt;0,0,M23*$D23)</f>
        <v>0</v>
      </c>
      <c r="P23" s="195">
        <f>'4. T7 LÅN '!I36</f>
        <v>0</v>
      </c>
      <c r="Q23" s="250">
        <f>IF(E23=0,IF(J23=0,K23,$C23-1),$C23-2)</f>
        <v>0</v>
      </c>
      <c r="R23" s="226">
        <f>'4. T7 LÅN '!J36</f>
        <v>0</v>
      </c>
      <c r="S23" s="226">
        <f>N23+P23-R23/2</f>
        <v>0</v>
      </c>
      <c r="T23" s="226">
        <f>N23+P23-R23</f>
        <v>0</v>
      </c>
      <c r="U23" s="194">
        <f>IF($D23*S23&lt;0,0,S23*$D23)</f>
        <v>0</v>
      </c>
      <c r="V23" s="195">
        <f>'4. T7 LÅN '!L36</f>
        <v>0</v>
      </c>
      <c r="W23" s="250">
        <f t="shared" si="18"/>
        <v>0</v>
      </c>
      <c r="X23" s="226">
        <f>'4. T7 LÅN '!M36</f>
        <v>0</v>
      </c>
      <c r="Y23" s="226">
        <f t="shared" si="15"/>
        <v>0</v>
      </c>
      <c r="Z23" s="226">
        <f t="shared" si="19"/>
        <v>0</v>
      </c>
      <c r="AA23" s="194">
        <f t="shared" si="20"/>
        <v>0</v>
      </c>
      <c r="AB23" s="195">
        <f>'4. T7 LÅN '!O36</f>
        <v>0</v>
      </c>
      <c r="AC23" s="250">
        <f t="shared" si="21"/>
        <v>0</v>
      </c>
      <c r="AD23" s="238">
        <f>'4. T7 LÅN '!P36</f>
        <v>0</v>
      </c>
      <c r="AE23" s="226">
        <f t="shared" si="16"/>
        <v>0</v>
      </c>
      <c r="AF23" s="226">
        <f t="shared" si="22"/>
        <v>0</v>
      </c>
      <c r="AG23" s="194">
        <f t="shared" si="23"/>
        <v>0</v>
      </c>
      <c r="AH23" s="195">
        <v>0</v>
      </c>
      <c r="AI23" s="250">
        <f t="shared" si="24"/>
        <v>0</v>
      </c>
      <c r="AJ23" s="238">
        <f>IF(C23=0,0,IF(B23-R23-X23-AD23-L23&lt;=0,0,IF(AF23&lt;AD23,AF23,'AT2 Lainat, sotum, alv-osto'!AD23)))</f>
        <v>0</v>
      </c>
      <c r="AK23" s="226">
        <f t="shared" si="17"/>
        <v>0</v>
      </c>
      <c r="AL23" s="226">
        <f t="shared" si="25"/>
        <v>0</v>
      </c>
      <c r="AM23" s="194">
        <f t="shared" si="26"/>
        <v>0</v>
      </c>
    </row>
    <row r="24" spans="1:39">
      <c r="A24" s="92" t="str">
        <f>'4. T7 LÅN '!B38</f>
        <v xml:space="preserve"> Långivaren/avsedd användning</v>
      </c>
      <c r="B24" s="100">
        <f>'4. T7 LÅN '!C38</f>
        <v>0</v>
      </c>
      <c r="C24" s="703">
        <f>'4. T7 LÅN '!D38</f>
        <v>0</v>
      </c>
      <c r="D24" s="101">
        <f>'4. T7 LÅN '!E38</f>
        <v>0</v>
      </c>
      <c r="E24" s="867"/>
      <c r="F24" s="868"/>
      <c r="G24" s="868"/>
      <c r="H24" s="868"/>
      <c r="I24" s="869"/>
      <c r="J24" s="249">
        <f>'4. T7 LÅN '!F38</f>
        <v>0</v>
      </c>
      <c r="K24" s="250">
        <f>IF(H24&gt;0,IF(C24-1&gt;0,C24-1,C24),C24)</f>
        <v>0</v>
      </c>
      <c r="L24" s="226">
        <f>'4. T7 LÅN '!G38</f>
        <v>0</v>
      </c>
      <c r="M24" s="226">
        <f>E24-F24+J24-L24/2</f>
        <v>0</v>
      </c>
      <c r="N24" s="226">
        <f>J24-L24</f>
        <v>0</v>
      </c>
      <c r="O24" s="194">
        <f>IF($D24*M24&lt;0,0,M24*$D24)</f>
        <v>0</v>
      </c>
      <c r="P24" s="195">
        <f>'4. T7 LÅN '!I38</f>
        <v>0</v>
      </c>
      <c r="Q24" s="250">
        <f>IF(E24=0,IF(J24=0,K24,$C24-1),$C24-2)</f>
        <v>0</v>
      </c>
      <c r="R24" s="226">
        <f>'4. T7 LÅN '!J38</f>
        <v>0</v>
      </c>
      <c r="S24" s="226">
        <f>N24+P24-R24/2</f>
        <v>0</v>
      </c>
      <c r="T24" s="226">
        <f>N24+P24-R24</f>
        <v>0</v>
      </c>
      <c r="U24" s="194">
        <f>IF($D24*S24&lt;0,0,S24*$D24)</f>
        <v>0</v>
      </c>
      <c r="V24" s="195">
        <f>'4. T7 LÅN '!L38</f>
        <v>0</v>
      </c>
      <c r="W24" s="250">
        <f>IF(Q24-1&gt;0,Q24-1,0)</f>
        <v>0</v>
      </c>
      <c r="X24" s="226">
        <f>'4. T7 LÅN '!M38</f>
        <v>0</v>
      </c>
      <c r="Y24" s="226">
        <f t="shared" si="15"/>
        <v>0</v>
      </c>
      <c r="Z24" s="226">
        <f>T24+V24-X24</f>
        <v>0</v>
      </c>
      <c r="AA24" s="194">
        <f>IF($D24*Y24&lt;0,0,Y24*$D24)</f>
        <v>0</v>
      </c>
      <c r="AB24" s="195">
        <f>'4. T7 LÅN '!O38</f>
        <v>0</v>
      </c>
      <c r="AC24" s="250">
        <f>IF(W24-1&gt;0,W24-1,0)</f>
        <v>0</v>
      </c>
      <c r="AD24" s="238">
        <f>'4. T7 LÅN '!P38</f>
        <v>0</v>
      </c>
      <c r="AE24" s="226">
        <f t="shared" si="16"/>
        <v>0</v>
      </c>
      <c r="AF24" s="226">
        <f>Z24+AB24-AD24</f>
        <v>0</v>
      </c>
      <c r="AG24" s="194">
        <f>IF($D24*AE24&lt;0,0,AE24*$D24)</f>
        <v>0</v>
      </c>
      <c r="AH24" s="195">
        <v>0</v>
      </c>
      <c r="AI24" s="250">
        <f>IF(AC24-1&gt;0,AC24-1,0)</f>
        <v>0</v>
      </c>
      <c r="AJ24" s="238">
        <f>IF(C24=0,0,IF(B24-R24-X24-AD24-L24&lt;=0,0,IF(AF24&lt;AD24,AF24,'AT2 Lainat, sotum, alv-osto'!AD24)))</f>
        <v>0</v>
      </c>
      <c r="AK24" s="226">
        <f t="shared" si="17"/>
        <v>0</v>
      </c>
      <c r="AL24" s="226">
        <f>AF24+AH24-AJ24</f>
        <v>0</v>
      </c>
      <c r="AM24" s="194">
        <f>IF($D24*AK24&lt;0,0,AK24*$D24)</f>
        <v>0</v>
      </c>
    </row>
    <row r="25" spans="1:39">
      <c r="A25" s="92">
        <f>'4. T7 LÅN '!B39</f>
        <v>0</v>
      </c>
      <c r="B25" s="100">
        <f>'4. T7 LÅN '!C39</f>
        <v>0</v>
      </c>
      <c r="C25" s="703">
        <f>'4. T7 LÅN '!D39</f>
        <v>0</v>
      </c>
      <c r="D25" s="101">
        <f>'4. T7 LÅN '!E39</f>
        <v>0</v>
      </c>
      <c r="E25" s="867"/>
      <c r="F25" s="868"/>
      <c r="G25" s="868"/>
      <c r="H25" s="868"/>
      <c r="I25" s="869"/>
      <c r="J25" s="249">
        <f>'4. T7 LÅN '!F39</f>
        <v>0</v>
      </c>
      <c r="K25" s="250">
        <f>IF(H25&gt;0,IF(C25-1&gt;0,C25-1,C25),C25)</f>
        <v>0</v>
      </c>
      <c r="L25" s="226">
        <f>'4. T7 LÅN '!G39</f>
        <v>0</v>
      </c>
      <c r="M25" s="226">
        <f>E25-F25+J25-L25/2</f>
        <v>0</v>
      </c>
      <c r="N25" s="226">
        <f>J25-L25</f>
        <v>0</v>
      </c>
      <c r="O25" s="194">
        <f>IF($D25*M25&lt;0,0,M25*$D25)</f>
        <v>0</v>
      </c>
      <c r="P25" s="195">
        <f>'4. T7 LÅN '!I39</f>
        <v>0</v>
      </c>
      <c r="Q25" s="250">
        <f>IF(E25=0,IF(J25=0,K25,$C25-1),$C25-2)</f>
        <v>0</v>
      </c>
      <c r="R25" s="226">
        <f>'4. T7 LÅN '!J39</f>
        <v>0</v>
      </c>
      <c r="S25" s="226">
        <f>N25+P25-R25/2</f>
        <v>0</v>
      </c>
      <c r="T25" s="226">
        <f>N25+P25-R25</f>
        <v>0</v>
      </c>
      <c r="U25" s="194">
        <f>IF($D25*S25&lt;0,0,S25*$D25)</f>
        <v>0</v>
      </c>
      <c r="V25" s="195">
        <f>'4. T7 LÅN '!L39</f>
        <v>0</v>
      </c>
      <c r="W25" s="250">
        <f>IF(Q25-1&gt;0,Q25-1,0)</f>
        <v>0</v>
      </c>
      <c r="X25" s="226">
        <f>'4. T7 LÅN '!M39</f>
        <v>0</v>
      </c>
      <c r="Y25" s="226">
        <f>(T25+V25-X25/2)</f>
        <v>0</v>
      </c>
      <c r="Z25" s="226">
        <f>T25+V25-X25</f>
        <v>0</v>
      </c>
      <c r="AA25" s="194">
        <f>IF($D25*Y25&lt;0,0,Y25*$D25)</f>
        <v>0</v>
      </c>
      <c r="AB25" s="195">
        <f>'4. T7 LÅN '!O39</f>
        <v>0</v>
      </c>
      <c r="AC25" s="250">
        <f>IF(W25-1&gt;0,W25-1,0)</f>
        <v>0</v>
      </c>
      <c r="AD25" s="238">
        <f>'4. T7 LÅN '!P39</f>
        <v>0</v>
      </c>
      <c r="AE25" s="226">
        <f t="shared" si="16"/>
        <v>0</v>
      </c>
      <c r="AF25" s="226">
        <f>Z25+AB25-AD25</f>
        <v>0</v>
      </c>
      <c r="AG25" s="194">
        <f>IF($D25*AE25&lt;0,0,AE25*$D25)</f>
        <v>0</v>
      </c>
      <c r="AH25" s="195">
        <v>0</v>
      </c>
      <c r="AI25" s="250">
        <f>IF(AC25-1&gt;0,AC25-1,0)</f>
        <v>0</v>
      </c>
      <c r="AJ25" s="238">
        <f>IF(C25=0,0,IF(B25-R25-X25-AD25-L25&lt;=0,0,IF(AF25&lt;AD25,AF25,'AT2 Lainat, sotum, alv-osto'!AD25)))</f>
        <v>0</v>
      </c>
      <c r="AK25" s="226">
        <f t="shared" si="17"/>
        <v>0</v>
      </c>
      <c r="AL25" s="226">
        <f>AF25+AH25-AJ25</f>
        <v>0</v>
      </c>
      <c r="AM25" s="194">
        <f>IF($D25*AK25&lt;0,0,AK25*$D25)</f>
        <v>0</v>
      </c>
    </row>
    <row r="26" spans="1:39">
      <c r="A26" s="92">
        <f>'4. T7 LÅN '!B40</f>
        <v>0</v>
      </c>
      <c r="B26" s="100">
        <f>'4. T7 LÅN '!C40</f>
        <v>0</v>
      </c>
      <c r="C26" s="703">
        <f>'4. T7 LÅN '!D40</f>
        <v>0</v>
      </c>
      <c r="D26" s="101">
        <f>'4. T7 LÅN '!E40</f>
        <v>0</v>
      </c>
      <c r="E26" s="249"/>
      <c r="F26" s="226"/>
      <c r="G26" s="226"/>
      <c r="H26" s="226"/>
      <c r="I26" s="194"/>
      <c r="J26" s="249">
        <f>'4. T7 LÅN '!F40</f>
        <v>0</v>
      </c>
      <c r="K26" s="250">
        <f>IF(H26&gt;0,IF(C26-1&gt;0,C26-1,C26),C26)</f>
        <v>0</v>
      </c>
      <c r="L26" s="226"/>
      <c r="M26" s="226"/>
      <c r="N26" s="226"/>
      <c r="O26" s="194"/>
      <c r="P26" s="195"/>
      <c r="Q26" s="250"/>
      <c r="R26" s="226"/>
      <c r="S26" s="226"/>
      <c r="T26" s="226"/>
      <c r="U26" s="194"/>
      <c r="V26" s="195"/>
      <c r="W26" s="250"/>
      <c r="X26" s="226"/>
      <c r="Y26" s="226"/>
      <c r="Z26" s="226"/>
      <c r="AA26" s="194"/>
      <c r="AB26" s="195">
        <f>'4. T7 LÅN '!O40</f>
        <v>0</v>
      </c>
      <c r="AC26" s="250">
        <f t="shared" si="21"/>
        <v>0</v>
      </c>
      <c r="AD26" s="517">
        <f>'4. T7 LÅN '!P40</f>
        <v>0</v>
      </c>
      <c r="AE26" s="226">
        <f t="shared" si="16"/>
        <v>0</v>
      </c>
      <c r="AF26" s="226">
        <f t="shared" si="22"/>
        <v>0</v>
      </c>
      <c r="AG26" s="194">
        <f t="shared" si="23"/>
        <v>0</v>
      </c>
      <c r="AH26" s="195">
        <v>0</v>
      </c>
      <c r="AI26" s="250">
        <f t="shared" si="24"/>
        <v>0</v>
      </c>
      <c r="AJ26" s="238">
        <f>IF(C26=0,0,IF(B26-R26-X26-AD26-L26&lt;=0,0,IF(AF26&lt;AD26,AF26,'AT2 Lainat, sotum, alv-osto'!AD26)))</f>
        <v>0</v>
      </c>
      <c r="AK26" s="226">
        <f t="shared" si="17"/>
        <v>0</v>
      </c>
      <c r="AL26" s="226">
        <f t="shared" si="25"/>
        <v>0</v>
      </c>
      <c r="AM26" s="194">
        <f t="shared" si="26"/>
        <v>0</v>
      </c>
    </row>
    <row r="27" spans="1:39" s="2" customFormat="1">
      <c r="A27" s="2" t="s">
        <v>30</v>
      </c>
      <c r="B27" s="353">
        <f>SUM(B15:B26)</f>
        <v>230000</v>
      </c>
      <c r="C27" s="354"/>
      <c r="E27" s="196"/>
      <c r="F27" s="196">
        <f>SUM(F7:F26)</f>
        <v>0</v>
      </c>
      <c r="G27" s="196"/>
      <c r="H27" s="196"/>
      <c r="I27" s="196"/>
      <c r="J27" s="353">
        <f>SUM(J15:J26)</f>
        <v>230000</v>
      </c>
      <c r="K27" s="196" t="s">
        <v>0</v>
      </c>
      <c r="L27" s="353">
        <f>SUM(L15:L26)</f>
        <v>8000</v>
      </c>
      <c r="M27" s="353">
        <f>SUM(M15:M26)</f>
        <v>228000</v>
      </c>
      <c r="N27" s="353">
        <f>SUM(N15:N26)</f>
        <v>222000</v>
      </c>
      <c r="O27" s="353">
        <f>SUM(O15:O26)</f>
        <v>8700</v>
      </c>
      <c r="P27" s="353">
        <f>SUM(P15:P26)</f>
        <v>0</v>
      </c>
      <c r="Q27" s="196" t="s">
        <v>0</v>
      </c>
      <c r="R27" s="353">
        <f>SUM(R15:R26)</f>
        <v>24670</v>
      </c>
      <c r="S27" s="353">
        <f>SUM(S15:S26)</f>
        <v>215832.5</v>
      </c>
      <c r="T27" s="353">
        <f>SUM(T15:T26)</f>
        <v>197330</v>
      </c>
      <c r="U27" s="353">
        <f>SUM(U15:U26)</f>
        <v>8166.64</v>
      </c>
      <c r="V27" s="353">
        <f>SUM(V15:V26)</f>
        <v>0</v>
      </c>
      <c r="W27" s="196"/>
      <c r="X27" s="353">
        <f t="shared" ref="X27:AH27" si="27">SUM(X15:X26)</f>
        <v>24670</v>
      </c>
      <c r="Y27" s="353">
        <f t="shared" si="27"/>
        <v>191162.5</v>
      </c>
      <c r="Z27" s="353">
        <f t="shared" si="27"/>
        <v>172660</v>
      </c>
      <c r="AA27" s="353">
        <f t="shared" si="27"/>
        <v>7233.2</v>
      </c>
      <c r="AB27" s="353">
        <f t="shared" si="27"/>
        <v>0</v>
      </c>
      <c r="AC27" s="353">
        <f t="shared" si="27"/>
        <v>11</v>
      </c>
      <c r="AD27" s="353">
        <f t="shared" si="27"/>
        <v>24670</v>
      </c>
      <c r="AE27" s="353">
        <f t="shared" si="27"/>
        <v>166492.5</v>
      </c>
      <c r="AF27" s="353">
        <f t="shared" si="27"/>
        <v>147990</v>
      </c>
      <c r="AG27" s="353">
        <f t="shared" si="27"/>
        <v>6299.76</v>
      </c>
      <c r="AH27" s="353">
        <f t="shared" si="27"/>
        <v>0</v>
      </c>
      <c r="AI27" s="196"/>
      <c r="AJ27" s="353">
        <f>SUM(AJ15:AJ26)</f>
        <v>24670</v>
      </c>
      <c r="AK27" s="196"/>
      <c r="AL27" s="196">
        <f>SUM(AL14:AL26)</f>
        <v>123320</v>
      </c>
      <c r="AM27" s="196"/>
    </row>
    <row r="28" spans="1:39" s="2" customFormat="1" ht="12.9" thickBot="1">
      <c r="B28" s="353"/>
      <c r="C28" s="354"/>
      <c r="E28" s="353"/>
      <c r="F28" s="196"/>
      <c r="G28" s="6" t="s">
        <v>24</v>
      </c>
      <c r="H28" s="353"/>
      <c r="I28" s="353"/>
      <c r="J28" s="353"/>
      <c r="K28" s="196"/>
      <c r="L28" s="6" t="s">
        <v>24</v>
      </c>
      <c r="M28" s="353"/>
      <c r="N28" s="353"/>
      <c r="O28" s="353"/>
      <c r="P28" s="353"/>
      <c r="Q28" s="196"/>
      <c r="R28" s="6" t="s">
        <v>24</v>
      </c>
      <c r="S28" s="353"/>
      <c r="T28" s="353"/>
      <c r="U28" s="353"/>
      <c r="V28" s="353"/>
      <c r="W28" s="196"/>
      <c r="X28" s="6" t="s">
        <v>24</v>
      </c>
      <c r="Y28" s="353"/>
      <c r="Z28" s="353"/>
      <c r="AA28" s="353"/>
      <c r="AB28" s="353"/>
      <c r="AC28" s="353"/>
      <c r="AD28" s="6" t="s">
        <v>24</v>
      </c>
      <c r="AE28" s="353"/>
      <c r="AF28" s="353"/>
      <c r="AG28" s="353"/>
      <c r="AH28" s="353"/>
      <c r="AI28" s="196"/>
      <c r="AJ28" s="6" t="s">
        <v>24</v>
      </c>
      <c r="AK28" s="196"/>
      <c r="AL28" s="196"/>
      <c r="AM28" s="196"/>
    </row>
    <row r="29" spans="1:39" s="2" customFormat="1">
      <c r="A29" s="508" t="s">
        <v>106</v>
      </c>
      <c r="B29" s="509"/>
      <c r="C29" s="510"/>
      <c r="D29" s="508"/>
      <c r="E29" s="511" t="s">
        <v>28</v>
      </c>
      <c r="F29" s="512"/>
      <c r="G29" s="513" t="s">
        <v>110</v>
      </c>
      <c r="H29" s="514" t="s">
        <v>108</v>
      </c>
      <c r="I29" s="514" t="s">
        <v>109</v>
      </c>
      <c r="J29" s="509"/>
      <c r="K29" s="512"/>
      <c r="L29" s="513" t="s">
        <v>110</v>
      </c>
      <c r="M29" s="514" t="s">
        <v>108</v>
      </c>
      <c r="N29" s="514" t="s">
        <v>109</v>
      </c>
      <c r="O29" s="509"/>
      <c r="P29" s="511" t="s">
        <v>28</v>
      </c>
      <c r="Q29" s="512"/>
      <c r="R29" s="513" t="s">
        <v>110</v>
      </c>
      <c r="S29" s="514" t="s">
        <v>108</v>
      </c>
      <c r="T29" s="514" t="s">
        <v>109</v>
      </c>
      <c r="U29" s="509"/>
      <c r="V29" s="511" t="s">
        <v>28</v>
      </c>
      <c r="W29" s="512"/>
      <c r="X29" s="513" t="s">
        <v>110</v>
      </c>
      <c r="Y29" s="514" t="s">
        <v>108</v>
      </c>
      <c r="Z29" s="514" t="s">
        <v>109</v>
      </c>
      <c r="AA29" s="509"/>
      <c r="AB29" s="511" t="s">
        <v>28</v>
      </c>
      <c r="AC29" s="509"/>
      <c r="AD29" s="513" t="s">
        <v>110</v>
      </c>
      <c r="AE29" s="514" t="s">
        <v>108</v>
      </c>
      <c r="AF29" s="514" t="s">
        <v>109</v>
      </c>
      <c r="AG29" s="509"/>
      <c r="AH29" s="511" t="s">
        <v>28</v>
      </c>
      <c r="AI29" s="512"/>
      <c r="AJ29" s="513" t="s">
        <v>110</v>
      </c>
      <c r="AK29" s="514" t="s">
        <v>108</v>
      </c>
      <c r="AL29" s="514" t="s">
        <v>109</v>
      </c>
      <c r="AM29" s="512"/>
    </row>
    <row r="30" spans="1:39" s="2" customFormat="1">
      <c r="A30" s="508" t="s">
        <v>107</v>
      </c>
      <c r="B30" s="509"/>
      <c r="C30" s="510"/>
      <c r="D30" s="508"/>
      <c r="E30" s="512"/>
      <c r="F30" s="512"/>
      <c r="G30" s="512"/>
      <c r="H30" s="512">
        <f>L13</f>
        <v>8936</v>
      </c>
      <c r="I30" s="512">
        <f>H13-H30</f>
        <v>-8936</v>
      </c>
      <c r="J30" s="509"/>
      <c r="K30" s="512"/>
      <c r="L30" s="508"/>
      <c r="M30" s="509">
        <f>R13</f>
        <v>745</v>
      </c>
      <c r="N30" s="509">
        <f>T13</f>
        <v>0</v>
      </c>
      <c r="O30" s="509"/>
      <c r="P30" s="509"/>
      <c r="Q30" s="512"/>
      <c r="R30" s="508"/>
      <c r="S30" s="509">
        <f>R13</f>
        <v>745</v>
      </c>
      <c r="T30" s="509">
        <f>Z13</f>
        <v>0</v>
      </c>
      <c r="U30" s="509"/>
      <c r="V30" s="509"/>
      <c r="W30" s="512"/>
      <c r="X30" s="508"/>
      <c r="Y30" s="509">
        <f>X13</f>
        <v>0</v>
      </c>
      <c r="Z30" s="509">
        <f>AF13</f>
        <v>0</v>
      </c>
      <c r="AA30" s="509"/>
      <c r="AB30" s="509"/>
      <c r="AC30" s="509"/>
      <c r="AD30" s="508"/>
      <c r="AE30" s="509">
        <f>AD13</f>
        <v>0</v>
      </c>
      <c r="AF30" s="509">
        <f>AL13</f>
        <v>0</v>
      </c>
      <c r="AG30" s="509"/>
      <c r="AH30" s="509"/>
      <c r="AI30" s="512"/>
      <c r="AJ30" s="508"/>
      <c r="AK30" s="509">
        <f>AJ13</f>
        <v>0</v>
      </c>
      <c r="AL30" s="509"/>
      <c r="AM30" s="512"/>
    </row>
    <row r="31" spans="1:39" s="2" customFormat="1">
      <c r="A31" s="515" t="s">
        <v>26</v>
      </c>
      <c r="B31" s="509"/>
      <c r="C31" s="510"/>
      <c r="D31" s="508"/>
      <c r="E31" s="512"/>
      <c r="F31" s="512"/>
      <c r="G31" s="512"/>
      <c r="H31" s="512"/>
      <c r="I31" s="512"/>
      <c r="J31" s="509"/>
      <c r="K31" s="512"/>
      <c r="L31" s="509"/>
      <c r="M31" s="509"/>
      <c r="N31" s="509"/>
      <c r="O31" s="509"/>
      <c r="P31" s="509"/>
      <c r="Q31" s="512"/>
      <c r="R31" s="509"/>
      <c r="S31" s="509"/>
      <c r="T31" s="509"/>
      <c r="U31" s="509"/>
      <c r="V31" s="509"/>
      <c r="W31" s="512"/>
      <c r="X31" s="509"/>
      <c r="Y31" s="509"/>
      <c r="Z31" s="509"/>
      <c r="AA31" s="509"/>
      <c r="AB31" s="509"/>
      <c r="AC31" s="509"/>
      <c r="AD31" s="509"/>
      <c r="AE31" s="509"/>
      <c r="AF31" s="509"/>
      <c r="AG31" s="509"/>
      <c r="AH31" s="509"/>
      <c r="AI31" s="512"/>
      <c r="AJ31" s="512"/>
      <c r="AK31" s="512"/>
      <c r="AL31" s="512"/>
      <c r="AM31" s="512"/>
    </row>
    <row r="32" spans="1:39" s="2" customFormat="1">
      <c r="A32" s="516" t="str">
        <f>A15</f>
        <v xml:space="preserve"> Finnvera/ Dagishus</v>
      </c>
      <c r="B32" s="509"/>
      <c r="C32" s="510"/>
      <c r="D32" s="508"/>
      <c r="E32" s="512"/>
      <c r="F32" s="512"/>
      <c r="G32" s="512"/>
      <c r="H32" s="512"/>
      <c r="I32" s="512"/>
      <c r="J32" s="509">
        <f>J15</f>
        <v>80000</v>
      </c>
      <c r="K32" s="512"/>
      <c r="L32" s="509">
        <f>IF(J32&gt;0,L15,0)</f>
        <v>8000</v>
      </c>
      <c r="M32" s="509">
        <f>IF(N15&gt;0,R15,0)</f>
        <v>8000</v>
      </c>
      <c r="N32" s="509">
        <f>N15</f>
        <v>72000</v>
      </c>
      <c r="O32" s="509"/>
      <c r="P32" s="509">
        <f>P15</f>
        <v>0</v>
      </c>
      <c r="Q32" s="512"/>
      <c r="R32" s="509">
        <f>IF(P32&gt;0,R15,0)</f>
        <v>0</v>
      </c>
      <c r="S32" s="509">
        <f>IF(T15&gt;0,X15,0)</f>
        <v>8000</v>
      </c>
      <c r="T32" s="509"/>
      <c r="U32" s="509"/>
      <c r="V32" s="509">
        <f>V15</f>
        <v>0</v>
      </c>
      <c r="W32" s="512"/>
      <c r="X32" s="509">
        <f>IF(V32&gt;0,X15,0)</f>
        <v>0</v>
      </c>
      <c r="Y32" s="509">
        <f>IF(Z15&gt;0,AD15,0)</f>
        <v>8000</v>
      </c>
      <c r="Z32" s="509"/>
      <c r="AA32" s="509"/>
      <c r="AB32" s="509">
        <f>AB15</f>
        <v>0</v>
      </c>
      <c r="AC32" s="509"/>
      <c r="AD32" s="509">
        <f>IF(AB32&gt;0,AD15,0)</f>
        <v>0</v>
      </c>
      <c r="AE32" s="509">
        <f>IF(AF15&gt;0,AJ15,0)</f>
        <v>8000</v>
      </c>
      <c r="AF32" s="509"/>
      <c r="AG32" s="509"/>
      <c r="AH32" s="509">
        <f>AH15</f>
        <v>0</v>
      </c>
      <c r="AI32" s="512"/>
      <c r="AJ32" s="509">
        <f>IF(AH32&gt;0,AJ15,0)</f>
        <v>0</v>
      </c>
      <c r="AK32" s="509">
        <f>IF(AL15&gt;0,AP15,0)</f>
        <v>0</v>
      </c>
      <c r="AL32" s="509"/>
      <c r="AM32" s="512"/>
    </row>
    <row r="33" spans="1:39" s="2" customFormat="1">
      <c r="A33" s="516">
        <f>A23</f>
        <v>0</v>
      </c>
      <c r="B33" s="509"/>
      <c r="C33" s="510"/>
      <c r="D33" s="508"/>
      <c r="E33" s="512"/>
      <c r="F33" s="512"/>
      <c r="G33" s="512"/>
      <c r="H33" s="512"/>
      <c r="I33" s="512"/>
      <c r="J33" s="509">
        <f>J23</f>
        <v>0</v>
      </c>
      <c r="K33" s="512"/>
      <c r="L33" s="509">
        <f>IF(J33&gt;0,L23,0)</f>
        <v>0</v>
      </c>
      <c r="M33" s="509">
        <f>IF(N23&gt;0,R23,0)</f>
        <v>0</v>
      </c>
      <c r="N33" s="509">
        <f>N23</f>
        <v>0</v>
      </c>
      <c r="O33" s="509"/>
      <c r="P33" s="509">
        <f>P23</f>
        <v>0</v>
      </c>
      <c r="Q33" s="512"/>
      <c r="R33" s="509">
        <f>IF(P33&gt;0,R23,0)</f>
        <v>0</v>
      </c>
      <c r="S33" s="509">
        <f>IF(T23&gt;0,X23,0)</f>
        <v>0</v>
      </c>
      <c r="T33" s="509"/>
      <c r="U33" s="509"/>
      <c r="V33" s="509">
        <f>V23</f>
        <v>0</v>
      </c>
      <c r="W33" s="512"/>
      <c r="X33" s="509">
        <f>IF(V33&gt;0,X23,0)</f>
        <v>0</v>
      </c>
      <c r="Y33" s="509">
        <f>IF(Z23&gt;0,AD23,0)</f>
        <v>0</v>
      </c>
      <c r="Z33" s="509"/>
      <c r="AA33" s="509"/>
      <c r="AB33" s="509">
        <f>AB23</f>
        <v>0</v>
      </c>
      <c r="AC33" s="509"/>
      <c r="AD33" s="509">
        <f>IF(AB33&gt;0,AD23,0)</f>
        <v>0</v>
      </c>
      <c r="AE33" s="509">
        <f>IF(AF23&gt;0,AJ23,0)</f>
        <v>0</v>
      </c>
      <c r="AF33" s="509"/>
      <c r="AG33" s="509"/>
      <c r="AH33" s="509">
        <f>AH23</f>
        <v>0</v>
      </c>
      <c r="AI33" s="512"/>
      <c r="AJ33" s="509">
        <f>IF(AH33&gt;0,AJ23,0)</f>
        <v>0</v>
      </c>
      <c r="AK33" s="509">
        <f>IF(AL23&gt;0,AP23,0)</f>
        <v>0</v>
      </c>
      <c r="AL33" s="509"/>
      <c r="AM33" s="512"/>
    </row>
    <row r="34" spans="1:39" s="2" customFormat="1">
      <c r="A34" s="516">
        <f>A25</f>
        <v>0</v>
      </c>
      <c r="B34" s="509"/>
      <c r="C34" s="510"/>
      <c r="D34" s="508"/>
      <c r="E34" s="512"/>
      <c r="F34" s="512"/>
      <c r="G34" s="512"/>
      <c r="H34" s="512"/>
      <c r="I34" s="512"/>
      <c r="J34" s="509">
        <f>J25</f>
        <v>0</v>
      </c>
      <c r="K34" s="512"/>
      <c r="L34" s="509">
        <f>IF(J34&gt;0,L25,0)</f>
        <v>0</v>
      </c>
      <c r="M34" s="509">
        <f>IF(N25&gt;0,R25,0)</f>
        <v>0</v>
      </c>
      <c r="N34" s="509">
        <f>N25</f>
        <v>0</v>
      </c>
      <c r="O34" s="509"/>
      <c r="P34" s="509">
        <f>P25</f>
        <v>0</v>
      </c>
      <c r="Q34" s="512"/>
      <c r="R34" s="509">
        <f>IF(P34&gt;0,R25,0)</f>
        <v>0</v>
      </c>
      <c r="S34" s="509">
        <f>IF(T25&gt;0,X25,0)</f>
        <v>0</v>
      </c>
      <c r="T34" s="509"/>
      <c r="U34" s="509"/>
      <c r="V34" s="509">
        <f>V25</f>
        <v>0</v>
      </c>
      <c r="W34" s="512"/>
      <c r="X34" s="509">
        <f>IF(V34&gt;0,X25,0)</f>
        <v>0</v>
      </c>
      <c r="Y34" s="509">
        <f>IF(Z25&gt;0,AD25,0)</f>
        <v>0</v>
      </c>
      <c r="Z34" s="509"/>
      <c r="AA34" s="509"/>
      <c r="AB34" s="509">
        <f>AB25</f>
        <v>0</v>
      </c>
      <c r="AC34" s="509"/>
      <c r="AD34" s="509">
        <f>IF(AB34&gt;0,AD25,0)</f>
        <v>0</v>
      </c>
      <c r="AE34" s="509">
        <f>IF(AF25&gt;0,AJ25,0)</f>
        <v>0</v>
      </c>
      <c r="AF34" s="509"/>
      <c r="AG34" s="509"/>
      <c r="AH34" s="509">
        <f>AH25</f>
        <v>0</v>
      </c>
      <c r="AI34" s="512"/>
      <c r="AJ34" s="509">
        <f>IF(AH34&gt;0,AJ25,0)</f>
        <v>0</v>
      </c>
      <c r="AK34" s="509">
        <f>IF(AL25&gt;0,AP25,0)</f>
        <v>0</v>
      </c>
      <c r="AL34" s="509"/>
      <c r="AM34" s="512"/>
    </row>
    <row r="35" spans="1:39" s="2" customFormat="1">
      <c r="A35" s="516">
        <f>A26</f>
        <v>0</v>
      </c>
      <c r="B35" s="509"/>
      <c r="C35" s="510"/>
      <c r="D35" s="508"/>
      <c r="E35" s="512"/>
      <c r="F35" s="512"/>
      <c r="G35" s="512"/>
      <c r="H35" s="512"/>
      <c r="I35" s="512"/>
      <c r="J35" s="509">
        <f>J26</f>
        <v>0</v>
      </c>
      <c r="K35" s="512"/>
      <c r="L35" s="509">
        <f>IF(J35&gt;0,L26,0)</f>
        <v>0</v>
      </c>
      <c r="M35" s="509">
        <f>IF(N26&gt;0,R26,0)</f>
        <v>0</v>
      </c>
      <c r="N35" s="509">
        <f>N26</f>
        <v>0</v>
      </c>
      <c r="O35" s="509"/>
      <c r="P35" s="509">
        <f>P26</f>
        <v>0</v>
      </c>
      <c r="Q35" s="512"/>
      <c r="R35" s="509">
        <f>IF(P35&gt;0,R26,0)</f>
        <v>0</v>
      </c>
      <c r="S35" s="509">
        <f>IF(T26&gt;0,X26,0)</f>
        <v>0</v>
      </c>
      <c r="T35" s="509"/>
      <c r="U35" s="509"/>
      <c r="V35" s="509">
        <f>V26</f>
        <v>0</v>
      </c>
      <c r="W35" s="512"/>
      <c r="X35" s="509">
        <f>IF(V35&gt;0,X26,0)</f>
        <v>0</v>
      </c>
      <c r="Y35" s="509">
        <f>IF(Z26&gt;0,AD26,0)</f>
        <v>0</v>
      </c>
      <c r="Z35" s="509"/>
      <c r="AA35" s="509"/>
      <c r="AB35" s="509">
        <f>AB26</f>
        <v>0</v>
      </c>
      <c r="AC35" s="509"/>
      <c r="AD35" s="509">
        <f>IF(AB35&gt;0,AD26,0)</f>
        <v>0</v>
      </c>
      <c r="AE35" s="509">
        <f>IF(AF26&gt;0,AJ26,0)</f>
        <v>0</v>
      </c>
      <c r="AF35" s="509"/>
      <c r="AG35" s="509"/>
      <c r="AH35" s="509">
        <f>AH26</f>
        <v>0</v>
      </c>
      <c r="AI35" s="512"/>
      <c r="AJ35" s="509">
        <f>IF(AH35&gt;0,AJ26,0)</f>
        <v>0</v>
      </c>
      <c r="AK35" s="509">
        <f>IF(AL26&gt;0,AP26,0)</f>
        <v>0</v>
      </c>
      <c r="AL35" s="509"/>
      <c r="AM35" s="512"/>
    </row>
    <row r="36" spans="1:39" s="2" customFormat="1" ht="12.9" thickBot="1">
      <c r="A36" s="508" t="s">
        <v>112</v>
      </c>
      <c r="B36" s="509"/>
      <c r="C36" s="510"/>
      <c r="D36" s="508"/>
      <c r="E36" s="512"/>
      <c r="F36" s="512"/>
      <c r="G36" s="512"/>
      <c r="H36" s="512"/>
      <c r="I36" s="512"/>
      <c r="J36" s="509">
        <f>SUM(J32:J35)</f>
        <v>80000</v>
      </c>
      <c r="K36" s="512"/>
      <c r="L36" s="509">
        <f>SUM(L30:L35)</f>
        <v>8000</v>
      </c>
      <c r="M36" s="509">
        <f>SUM(M30:M35)</f>
        <v>8745</v>
      </c>
      <c r="N36" s="509">
        <f>SUM(N30:N35)</f>
        <v>72000</v>
      </c>
      <c r="O36" s="509"/>
      <c r="P36" s="509">
        <f>SUM(P32:P35)</f>
        <v>0</v>
      </c>
      <c r="Q36" s="512"/>
      <c r="R36" s="509">
        <f>SUM(R29:R35)</f>
        <v>0</v>
      </c>
      <c r="S36" s="509">
        <f>SUM(S30:S35)</f>
        <v>8745</v>
      </c>
      <c r="T36" s="509"/>
      <c r="U36" s="509"/>
      <c r="V36" s="509">
        <f>SUM(V32:V35)</f>
        <v>0</v>
      </c>
      <c r="W36" s="512"/>
      <c r="X36" s="509">
        <f>SUM(X29:X35)</f>
        <v>0</v>
      </c>
      <c r="Y36" s="509">
        <f>SUM(Y30:Y35)</f>
        <v>8000</v>
      </c>
      <c r="Z36" s="509">
        <f>SUM(Z30:Z35)</f>
        <v>0</v>
      </c>
      <c r="AA36" s="509"/>
      <c r="AB36" s="509">
        <f>SUM(AB32:AB35)</f>
        <v>0</v>
      </c>
      <c r="AC36" s="509"/>
      <c r="AD36" s="509">
        <f>SUM(AD29:AD35)</f>
        <v>0</v>
      </c>
      <c r="AE36" s="509">
        <f>SUM(AE30:AE35)</f>
        <v>8000</v>
      </c>
      <c r="AF36" s="509">
        <f>SUM(AF30:AF35)</f>
        <v>0</v>
      </c>
      <c r="AG36" s="509"/>
      <c r="AH36" s="509">
        <f>SUM(AH32:AH35)</f>
        <v>0</v>
      </c>
      <c r="AI36" s="512"/>
      <c r="AJ36" s="509">
        <f>SUM(AJ29:AJ35)</f>
        <v>0</v>
      </c>
      <c r="AK36" s="512"/>
      <c r="AL36" s="509">
        <f>SUM(AL30:AL35)</f>
        <v>0</v>
      </c>
      <c r="AM36" s="512"/>
    </row>
    <row r="37" spans="1:39" s="2" customFormat="1">
      <c r="C37" s="6" t="s">
        <v>33</v>
      </c>
      <c r="E37" s="2555">
        <f>E3</f>
        <v>0</v>
      </c>
      <c r="F37" s="2556"/>
      <c r="G37" s="2556"/>
      <c r="H37" s="2556"/>
      <c r="I37" s="2557"/>
      <c r="J37" s="2555" t="str">
        <f>J3</f>
        <v>Prognos 1</v>
      </c>
      <c r="K37" s="2556"/>
      <c r="L37" s="2556"/>
      <c r="M37" s="2556"/>
      <c r="N37" s="2556"/>
      <c r="O37" s="2557"/>
      <c r="P37" s="2555" t="str">
        <f>P3</f>
        <v>Prognos 2</v>
      </c>
      <c r="Q37" s="2556"/>
      <c r="R37" s="2556"/>
      <c r="S37" s="2556"/>
      <c r="T37" s="2556"/>
      <c r="U37" s="2557"/>
      <c r="V37" s="2555" t="str">
        <f>V3</f>
        <v>Prognos 3</v>
      </c>
      <c r="W37" s="2556"/>
      <c r="X37" s="2556"/>
      <c r="Y37" s="2556"/>
      <c r="Z37" s="2556"/>
      <c r="AA37" s="2557"/>
      <c r="AB37" s="2555" t="s">
        <v>81</v>
      </c>
      <c r="AC37" s="2556"/>
      <c r="AD37" s="2556"/>
      <c r="AE37" s="2556"/>
      <c r="AF37" s="2556"/>
      <c r="AG37" s="2557"/>
      <c r="AH37" s="2555" t="s">
        <v>98</v>
      </c>
      <c r="AI37" s="2556"/>
      <c r="AJ37" s="2556"/>
      <c r="AK37" s="2556"/>
      <c r="AL37" s="2556"/>
      <c r="AM37" s="2557"/>
    </row>
    <row r="38" spans="1:39" ht="12.9" thickBot="1">
      <c r="B38" s="6" t="s">
        <v>27</v>
      </c>
      <c r="C38" s="6" t="s">
        <v>32</v>
      </c>
      <c r="D38" s="6" t="s">
        <v>25</v>
      </c>
      <c r="E38" s="2548">
        <f>E4</f>
        <v>0</v>
      </c>
      <c r="F38" s="2549"/>
      <c r="G38" s="2549"/>
      <c r="H38" s="2549"/>
      <c r="I38" s="2550"/>
      <c r="J38" s="2548">
        <f>J4</f>
        <v>2023</v>
      </c>
      <c r="K38" s="2549"/>
      <c r="L38" s="2549"/>
      <c r="M38" s="2549"/>
      <c r="N38" s="2549"/>
      <c r="O38" s="2550"/>
      <c r="P38" s="2558">
        <f>P4</f>
        <v>2024</v>
      </c>
      <c r="Q38" s="2559"/>
      <c r="R38" s="2559"/>
      <c r="S38" s="2559"/>
      <c r="T38" s="2559"/>
      <c r="U38" s="2560"/>
      <c r="V38" s="2558">
        <f>V4</f>
        <v>2025</v>
      </c>
      <c r="W38" s="2559"/>
      <c r="X38" s="2559"/>
      <c r="Y38" s="2559"/>
      <c r="Z38" s="2559"/>
      <c r="AA38" s="2560"/>
      <c r="AB38" s="2558">
        <f>AB4</f>
        <v>2026</v>
      </c>
      <c r="AC38" s="2559"/>
      <c r="AD38" s="2559"/>
      <c r="AE38" s="2559"/>
      <c r="AF38" s="2559"/>
      <c r="AG38" s="2560"/>
      <c r="AH38" s="2558">
        <f>AH4</f>
        <v>2027</v>
      </c>
      <c r="AI38" s="2559"/>
      <c r="AJ38" s="2559"/>
      <c r="AK38" s="2559"/>
      <c r="AL38" s="2559"/>
      <c r="AM38" s="2560"/>
    </row>
    <row r="39" spans="1:39" s="2" customFormat="1">
      <c r="A39" s="309" t="s">
        <v>70</v>
      </c>
      <c r="B39" s="310">
        <f>'4. T7 LÅN '!C20</f>
        <v>0</v>
      </c>
      <c r="C39" s="189">
        <f>IF(12*'4. T7 LÅN '!D20-12&lt;0,0,12*'4. T7 LÅN '!D20-12)</f>
        <v>0</v>
      </c>
      <c r="D39" s="311">
        <f>'4. T7 LÅN '!E20</f>
        <v>0</v>
      </c>
      <c r="E39" s="312"/>
      <c r="F39" s="313"/>
      <c r="G39" s="312"/>
      <c r="H39" s="310">
        <f>B39</f>
        <v>0</v>
      </c>
      <c r="I39" s="312"/>
      <c r="J39" s="310"/>
      <c r="K39" s="310"/>
      <c r="L39" s="310">
        <f>'4. T7 LÅN '!F20</f>
        <v>0</v>
      </c>
      <c r="M39" s="310"/>
      <c r="N39" s="310">
        <f>H39</f>
        <v>0</v>
      </c>
      <c r="O39" s="310">
        <f>IF($C39&lt;P40,0,IF($D39=0,0,-CUMIPMT($D39/12,$C39,$B39+L39,P40,P41,0)))</f>
        <v>0</v>
      </c>
      <c r="P39" s="310"/>
      <c r="Q39" s="310"/>
      <c r="R39" s="310">
        <f>IF($C39&lt;P40,0,IF($D39=0,0,-CUMPRINC($D39/12,$C39,$B39,P40,P41,0)))</f>
        <v>0</v>
      </c>
      <c r="S39" s="310"/>
      <c r="T39" s="310">
        <f>IF(R39=0,0,N39-R39)</f>
        <v>0</v>
      </c>
      <c r="U39" s="310">
        <f>IF($C39&lt;P40,0,IF($D39=0,0,-CUMIPMT($D39/12,$C39,$B39,P40,P41,0)))</f>
        <v>0</v>
      </c>
      <c r="V39" s="310"/>
      <c r="W39" s="310"/>
      <c r="X39" s="310">
        <f>IF($C39&lt;V40,0,IF($D39=0,0,-CUMPRINC($D39/12,$C39,$B39,V40,V41,0)))</f>
        <v>0</v>
      </c>
      <c r="Y39" s="310"/>
      <c r="Z39" s="310">
        <f>IF(X39=0,0,T39-X39)</f>
        <v>0</v>
      </c>
      <c r="AA39" s="310">
        <f>IF($C39&lt;V40,0,IF($D39=0,0,-CUMIPMT($D39/12,$C39,$B39,V40,V41,0)))</f>
        <v>0</v>
      </c>
      <c r="AB39" s="310"/>
      <c r="AC39" s="310"/>
      <c r="AD39" s="310">
        <f>IF($C39&lt;AB40,0,IF($D39=0,0,-CUMPRINC($D39/12,$C39,$B39,AB40,AB41,0)))</f>
        <v>0</v>
      </c>
      <c r="AE39" s="310"/>
      <c r="AF39" s="310">
        <f>IF(AD39=0,0,Z39-AD39)</f>
        <v>0</v>
      </c>
      <c r="AG39" s="314">
        <f>IF($C39&lt;AB40,0,IF($D39=0,0,-CUMIPMT($D39/12,$C39,$B39,AB40,AB41,0)))</f>
        <v>0</v>
      </c>
      <c r="AH39" s="310"/>
      <c r="AI39" s="310"/>
      <c r="AJ39" s="310">
        <f>IF($C39&lt;AH40,0,IF($D39=0,0,-CUMPRINC($D39/12,$C39,$B39,AH40,AH41,0)))</f>
        <v>0</v>
      </c>
      <c r="AK39" s="310"/>
      <c r="AL39" s="310">
        <f>IF(AJ39=0,0,AF39-AJ39)</f>
        <v>0</v>
      </c>
      <c r="AM39" s="314">
        <f>IF($C39&lt;AH40,0,IF($D39=0,0,-CUMIPMT($D39/12,$C39,$B39,AH40,AH41,0)))</f>
        <v>0</v>
      </c>
    </row>
    <row r="40" spans="1:39">
      <c r="A40" s="315" t="s">
        <v>71</v>
      </c>
      <c r="F40" s="106"/>
      <c r="P40" s="40">
        <v>1</v>
      </c>
      <c r="Q40" s="114"/>
      <c r="R40" s="40"/>
      <c r="S40" s="40"/>
      <c r="T40" s="40"/>
      <c r="U40" s="40"/>
      <c r="V40" s="40">
        <v>13</v>
      </c>
      <c r="W40" s="114"/>
      <c r="X40" s="40"/>
      <c r="Y40" s="40"/>
      <c r="Z40" s="40"/>
      <c r="AA40" s="40"/>
      <c r="AB40" s="40">
        <v>25</v>
      </c>
      <c r="AC40" s="40"/>
      <c r="AD40" s="40"/>
      <c r="AE40" s="40"/>
      <c r="AF40" s="40"/>
      <c r="AG40" s="40"/>
      <c r="AH40">
        <v>37</v>
      </c>
      <c r="AM40" s="193"/>
    </row>
    <row r="41" spans="1:39">
      <c r="A41" s="315" t="s">
        <v>72</v>
      </c>
      <c r="F41" s="106"/>
      <c r="P41" s="40">
        <v>12</v>
      </c>
      <c r="Q41" s="114"/>
      <c r="R41" s="40"/>
      <c r="S41" s="40"/>
      <c r="T41" s="40"/>
      <c r="U41" s="40"/>
      <c r="V41" s="40">
        <v>24</v>
      </c>
      <c r="W41" s="114"/>
      <c r="X41" s="40"/>
      <c r="Y41" s="40"/>
      <c r="Z41" s="40"/>
      <c r="AA41" s="40"/>
      <c r="AB41" s="40">
        <v>36</v>
      </c>
      <c r="AC41" s="40"/>
      <c r="AD41" s="40"/>
      <c r="AE41" s="40"/>
      <c r="AF41" s="40"/>
      <c r="AG41" s="40"/>
      <c r="AH41">
        <v>48</v>
      </c>
      <c r="AM41" s="193"/>
    </row>
    <row r="42" spans="1:39" ht="12.9" thickBot="1">
      <c r="A42" s="316" t="s">
        <v>96</v>
      </c>
      <c r="B42" s="212"/>
      <c r="C42" s="317"/>
      <c r="D42" s="212"/>
      <c r="E42" s="212"/>
      <c r="F42" s="318"/>
      <c r="G42" s="212"/>
      <c r="H42" s="319">
        <f>SUM(H39:H41)</f>
        <v>0</v>
      </c>
      <c r="I42" s="212"/>
      <c r="J42" s="319"/>
      <c r="K42" s="320"/>
      <c r="L42" s="319">
        <f>SUM(L39:L41)</f>
        <v>0</v>
      </c>
      <c r="M42" s="319"/>
      <c r="N42" s="319">
        <f>SUM(N39:N41)</f>
        <v>0</v>
      </c>
      <c r="O42" s="319">
        <f>SUM(O39:O41)</f>
        <v>0</v>
      </c>
      <c r="P42" s="319"/>
      <c r="Q42" s="320"/>
      <c r="R42" s="319">
        <f>SUM(R39:R41)</f>
        <v>0</v>
      </c>
      <c r="S42" s="319"/>
      <c r="T42" s="319">
        <f>SUM(T39:T41)</f>
        <v>0</v>
      </c>
      <c r="U42" s="319">
        <f>SUM(U39:U41)</f>
        <v>0</v>
      </c>
      <c r="V42" s="319"/>
      <c r="W42" s="319"/>
      <c r="X42" s="319">
        <f>SUM(X39:X41)</f>
        <v>0</v>
      </c>
      <c r="Y42" s="319"/>
      <c r="Z42" s="319">
        <f>SUM(Z39:Z41)</f>
        <v>0</v>
      </c>
      <c r="AA42" s="319">
        <f>SUM(AA39:AA41)</f>
        <v>0</v>
      </c>
      <c r="AB42" s="212"/>
      <c r="AC42" s="212"/>
      <c r="AD42" s="319">
        <f>SUM(AD39:AD41)</f>
        <v>0</v>
      </c>
      <c r="AE42" s="212"/>
      <c r="AF42" s="319">
        <f>SUM(AF39:AF41)</f>
        <v>0</v>
      </c>
      <c r="AG42" s="319">
        <f>SUM(AG39:AG41)</f>
        <v>0</v>
      </c>
      <c r="AH42" s="212"/>
      <c r="AI42" s="212"/>
      <c r="AJ42" s="319">
        <f>SUM(AJ39:AJ41)</f>
        <v>0</v>
      </c>
      <c r="AK42" s="212"/>
      <c r="AL42" s="319">
        <f>SUM(AL39:AL41)</f>
        <v>0</v>
      </c>
      <c r="AM42" s="319">
        <f>SUM(AM39:AM41)</f>
        <v>0</v>
      </c>
    </row>
    <row r="43" spans="1:39">
      <c r="A43" s="188" t="s">
        <v>73</v>
      </c>
      <c r="B43" s="40">
        <f>'4. T7 LÅN '!C44</f>
        <v>0</v>
      </c>
      <c r="C43" s="189">
        <f>12*'4. T7 LÅN '!D44</f>
        <v>0</v>
      </c>
      <c r="D43" s="215">
        <f>'4. T7 LÅN '!E44</f>
        <v>0</v>
      </c>
      <c r="F43" s="106"/>
      <c r="J43" s="114">
        <f>'4. T7 LÅN '!F44</f>
        <v>0</v>
      </c>
      <c r="K43" s="196"/>
      <c r="L43" s="196">
        <f>IF($D43=0,0,-CUMPRINC($D43/12,$C43,$B43,J44,J45,0))</f>
        <v>0</v>
      </c>
      <c r="M43" s="196"/>
      <c r="N43" s="196">
        <f>J43-L43</f>
        <v>0</v>
      </c>
      <c r="O43" s="310">
        <f>IF($C43&lt;J44,0,IF($D43=0,0,-CUMIPMT($D43/12,$C43,$B43,J44,J45,0)))</f>
        <v>0</v>
      </c>
      <c r="P43" s="196"/>
      <c r="Q43" s="196"/>
      <c r="R43" s="310">
        <f>IF($C43&lt;P44,0,IF($D43=0,0,-CUMPRINC($D43/12,$C43,$B43,P44,P45,0)))</f>
        <v>0</v>
      </c>
      <c r="S43" s="196"/>
      <c r="T43" s="196">
        <f>N43-R43</f>
        <v>0</v>
      </c>
      <c r="U43" s="310">
        <f>IF($C43&lt;P44,0,IF($D43=0,0,-CUMIPMT($D43/12,$C43,$B43,P44,P45,0)))</f>
        <v>0</v>
      </c>
      <c r="V43" s="196"/>
      <c r="W43" s="196"/>
      <c r="X43" s="310">
        <f>IF($C43&lt;V44,0,IF($D43=0,0,-CUMPRINC($D43/12,$C43,$B43,V44,V45,0)))</f>
        <v>0</v>
      </c>
      <c r="Y43" s="196"/>
      <c r="Z43" s="196">
        <f>T43-X43</f>
        <v>0</v>
      </c>
      <c r="AA43" s="310">
        <f>IF($C43&lt;V44,0,IF($D43=0,0,-CUMIPMT($D43/12,$C43,$B43,V44,V45,0)))</f>
        <v>0</v>
      </c>
      <c r="AB43" s="196"/>
      <c r="AC43" s="196"/>
      <c r="AD43" s="310">
        <f>IF($C43&lt;AB44,0,IF($D43=0,0,-CUMPRINC($D43/12,$C43,$B43,AB44,AB45,0)))</f>
        <v>0</v>
      </c>
      <c r="AE43" s="196"/>
      <c r="AF43" s="196">
        <f>Z43-AD43</f>
        <v>0</v>
      </c>
      <c r="AG43" s="314">
        <f>IF($C43&lt;AB44,0,IF($D43=0,0,-CUMIPMT($D43/12,$C43,$B43,AB44,AB45,0)))</f>
        <v>0</v>
      </c>
      <c r="AH43" s="196"/>
      <c r="AI43" s="196"/>
      <c r="AJ43" s="310">
        <f>IF($C43&lt;AH44,0,IF($D43=0,0,-CUMPRINC($D43/12,$C43,$B43,AH44,AH45,0)))</f>
        <v>0</v>
      </c>
      <c r="AK43" s="196"/>
      <c r="AL43" s="196">
        <f>AF43-AJ43</f>
        <v>0</v>
      </c>
      <c r="AM43" s="314">
        <f>IF($C43&lt;AH44,0,IF($D43=0,0,-CUMIPMT($D43/12,$C43,$B43,AH44,AH45,0)))</f>
        <v>0</v>
      </c>
    </row>
    <row r="44" spans="1:39">
      <c r="A44" s="217" t="s">
        <v>71</v>
      </c>
      <c r="F44" s="106"/>
      <c r="J44" s="40">
        <v>1</v>
      </c>
      <c r="K44" s="114"/>
      <c r="L44" s="40"/>
      <c r="M44" s="40"/>
      <c r="N44" s="40"/>
      <c r="O44" s="40"/>
      <c r="P44" s="40">
        <v>13</v>
      </c>
      <c r="Q44" s="114"/>
      <c r="R44" s="40"/>
      <c r="S44" s="40"/>
      <c r="T44" s="40"/>
      <c r="U44" s="40"/>
      <c r="V44" s="40">
        <v>25</v>
      </c>
      <c r="W44" s="40"/>
      <c r="X44" s="40"/>
      <c r="Y44" s="40"/>
      <c r="Z44" s="40"/>
      <c r="AA44" s="40"/>
      <c r="AB44">
        <v>37</v>
      </c>
      <c r="AH44">
        <v>49</v>
      </c>
    </row>
    <row r="45" spans="1:39" ht="12.9" thickBot="1">
      <c r="A45" s="217" t="s">
        <v>72</v>
      </c>
      <c r="F45" s="106"/>
      <c r="J45" s="40">
        <v>12</v>
      </c>
      <c r="K45" s="114"/>
      <c r="L45" s="40"/>
      <c r="M45" s="40"/>
      <c r="N45" s="40"/>
      <c r="O45" s="40"/>
      <c r="P45" s="40">
        <v>24</v>
      </c>
      <c r="Q45" s="114"/>
      <c r="R45" s="40"/>
      <c r="S45" s="40"/>
      <c r="T45" s="40"/>
      <c r="U45" s="40"/>
      <c r="V45" s="40">
        <v>36</v>
      </c>
      <c r="W45" s="40"/>
      <c r="X45" s="40"/>
      <c r="Y45" s="40"/>
      <c r="Z45" s="40"/>
      <c r="AA45" s="40"/>
      <c r="AB45">
        <v>48</v>
      </c>
      <c r="AH45">
        <v>60</v>
      </c>
    </row>
    <row r="46" spans="1:39" s="2" customFormat="1">
      <c r="A46" s="188" t="s">
        <v>74</v>
      </c>
      <c r="B46" s="40">
        <f>'4. T7 LÅN '!C45</f>
        <v>0</v>
      </c>
      <c r="C46" s="94">
        <f>'4. T7 LÅN '!D45*12</f>
        <v>0</v>
      </c>
      <c r="D46" s="215">
        <f>'4. T7 LÅN '!E45</f>
        <v>0</v>
      </c>
      <c r="F46" s="216"/>
      <c r="J46" s="114">
        <f>'4. T7 LÅN '!F45</f>
        <v>0</v>
      </c>
      <c r="K46" s="196"/>
      <c r="L46" s="196">
        <f>IF($D46=0,0,IF($J46=0,0,-CUMPRINC($D46/12,$C46,$B46,P47,P48,0)))</f>
        <v>0</v>
      </c>
      <c r="M46" s="196"/>
      <c r="N46" s="196"/>
      <c r="O46" s="196">
        <v>0</v>
      </c>
      <c r="P46" s="114">
        <f>'4. T7 LÅN '!I45</f>
        <v>0</v>
      </c>
      <c r="Q46" s="196"/>
      <c r="R46" s="310">
        <f>IF($C46&lt;P47,0,IF($D46=0,0,-CUMPRINC($D46/12,$C46,$B46,P47,P48,0)))</f>
        <v>0</v>
      </c>
      <c r="S46" s="218"/>
      <c r="T46" s="219">
        <f>P46-R46</f>
        <v>0</v>
      </c>
      <c r="U46" s="310">
        <f>IF($C46&lt;P47,0,IF($D46=0,0,-CUMIPMT($D46/12,$C46,$B46,P47,P48,0)))</f>
        <v>0</v>
      </c>
      <c r="V46" s="196"/>
      <c r="W46" s="196"/>
      <c r="X46" s="310">
        <f>IF($C46&lt;V47,0,IF($D46=0,0,-CUMPRINC($D46/12,$C46,$B46,V47,V48,0)))</f>
        <v>0</v>
      </c>
      <c r="Y46" s="196"/>
      <c r="Z46" s="196">
        <f>T46-X46</f>
        <v>0</v>
      </c>
      <c r="AA46" s="310">
        <f>IF($C46&lt;V47,0,IF($D46=0,0,-CUMIPMT($D46/12,$C46,$B46,V47,V48,0)))</f>
        <v>0</v>
      </c>
      <c r="AB46" s="196"/>
      <c r="AC46" s="196"/>
      <c r="AD46" s="310">
        <f>IF($C46&lt;AB47,0,IF($D46=0,0,-CUMPRINC($D46/12,$C46,$B46,AB47,AB48,0)))</f>
        <v>0</v>
      </c>
      <c r="AE46" s="196"/>
      <c r="AF46" s="196">
        <f>Z46-AD46</f>
        <v>0</v>
      </c>
      <c r="AG46" s="314">
        <f>IF($C46&lt;AB47,0,IF($D46=0,0,-CUMIPMT($D46/12,$C46,$B46,AB47,AB48,0)))</f>
        <v>0</v>
      </c>
      <c r="AH46" s="196"/>
      <c r="AI46" s="196"/>
      <c r="AJ46" s="310">
        <f>IF($C46&lt;AH47,0,IF($D46=0,0,-CUMPRINC($D46/12,$C46,$B46,AH47,AH48,0)))</f>
        <v>0</v>
      </c>
      <c r="AK46" s="196"/>
      <c r="AL46" s="196">
        <f>AF46-AJ46</f>
        <v>0</v>
      </c>
      <c r="AM46" s="314">
        <f>IF($C46&lt;AH47,0,IF($D46=0,0,-CUMIPMT($D46/12,$C46,$B46,AH47,AH48,0)))</f>
        <v>0</v>
      </c>
    </row>
    <row r="47" spans="1:39">
      <c r="A47" s="217" t="s">
        <v>71</v>
      </c>
      <c r="F47" s="106"/>
      <c r="J47" s="40"/>
      <c r="K47" s="40"/>
      <c r="L47" s="40"/>
      <c r="M47" s="40"/>
      <c r="N47" s="40"/>
      <c r="O47" s="40"/>
      <c r="P47" s="40">
        <v>1</v>
      </c>
      <c r="Q47" s="114"/>
      <c r="R47" s="40"/>
      <c r="S47" s="40"/>
      <c r="T47" s="40"/>
      <c r="U47" s="40"/>
      <c r="V47" s="40">
        <v>13</v>
      </c>
      <c r="W47" s="114"/>
      <c r="X47" s="40"/>
      <c r="Y47" s="40"/>
      <c r="Z47" s="40"/>
      <c r="AA47" s="40"/>
      <c r="AB47" s="96">
        <v>25</v>
      </c>
      <c r="AH47" s="96">
        <v>37</v>
      </c>
    </row>
    <row r="48" spans="1:39" ht="12.9" thickBot="1">
      <c r="A48" s="217" t="s">
        <v>72</v>
      </c>
      <c r="F48" s="106"/>
      <c r="J48" s="40"/>
      <c r="K48" s="40"/>
      <c r="L48" s="40"/>
      <c r="M48" s="40"/>
      <c r="N48" s="40"/>
      <c r="O48" s="40"/>
      <c r="P48" s="40">
        <v>12</v>
      </c>
      <c r="Q48" s="114"/>
      <c r="R48" s="40"/>
      <c r="S48" s="40"/>
      <c r="T48" s="40"/>
      <c r="U48" s="40"/>
      <c r="V48" s="40">
        <v>24</v>
      </c>
      <c r="W48" s="114"/>
      <c r="X48" s="40"/>
      <c r="Y48" s="40"/>
      <c r="Z48" s="40"/>
      <c r="AA48" s="40"/>
      <c r="AB48" s="96">
        <v>36</v>
      </c>
      <c r="AH48" s="96">
        <v>48</v>
      </c>
    </row>
    <row r="49" spans="1:39">
      <c r="A49" s="188" t="s">
        <v>75</v>
      </c>
      <c r="B49" s="40">
        <f>'4. T7 LÅN '!C46</f>
        <v>0</v>
      </c>
      <c r="C49" s="94">
        <f>'4. T7 LÅN '!D46*12</f>
        <v>0</v>
      </c>
      <c r="D49" s="215">
        <f>'4. T7 LÅN '!E46</f>
        <v>0</v>
      </c>
      <c r="F49" s="106"/>
      <c r="J49" s="40"/>
      <c r="K49" s="40"/>
      <c r="L49" s="40"/>
      <c r="M49" s="40"/>
      <c r="N49" s="40"/>
      <c r="O49" s="40"/>
      <c r="P49" s="40"/>
      <c r="Q49" s="114"/>
      <c r="R49" s="40"/>
      <c r="S49" s="40"/>
      <c r="T49" s="40"/>
      <c r="U49" s="40"/>
      <c r="V49" s="40">
        <f>'4. T7 LÅN '!L46</f>
        <v>0</v>
      </c>
      <c r="W49" s="114"/>
      <c r="X49" s="310">
        <f>IF($C49&lt;V50,0,IF($D49=0,0,-CUMPRINC($D49/12,$C49,$B49,V50,V51,0)))</f>
        <v>0</v>
      </c>
      <c r="Y49" s="196"/>
      <c r="Z49" s="196">
        <f>V49-X49</f>
        <v>0</v>
      </c>
      <c r="AA49" s="310">
        <f>IF($C49&lt;V50,0,IF($D49=0,0,-CUMIPMT($D49/12,$C49,$B49,V50,V51,0)))</f>
        <v>0</v>
      </c>
      <c r="AB49" s="196"/>
      <c r="AC49" s="196"/>
      <c r="AD49" s="310">
        <f>IF($C49&lt;AB50,0,IF($D49=0,0,-CUMPRINC($D49/12,$C49,$B49,AB50,AB51,0)))</f>
        <v>0</v>
      </c>
      <c r="AE49" s="196"/>
      <c r="AF49" s="196">
        <f>Z49-AD49</f>
        <v>0</v>
      </c>
      <c r="AG49" s="314">
        <f>IF($C49&lt;AB50,0,IF($D49=0,0,-CUMIPMT($D49/12,$C49,$B49,AB50,AB51,0)))</f>
        <v>0</v>
      </c>
      <c r="AH49" s="196"/>
      <c r="AI49" s="196"/>
      <c r="AJ49" s="310">
        <f>IF($C49&lt;AH50,0,IF($D49=0,0,-CUMPRINC($D49/12,$C49,$B49,AH50,AH51,0)))</f>
        <v>0</v>
      </c>
      <c r="AK49" s="196"/>
      <c r="AL49" s="196">
        <f>AF49-AJ49</f>
        <v>0</v>
      </c>
      <c r="AM49" s="314">
        <f>IF($C49&lt;AH50,0,IF($D49=0,0,-CUMIPMT($D49/12,$C49,$B49,AH50,AH51,0)))</f>
        <v>0</v>
      </c>
    </row>
    <row r="50" spans="1:39">
      <c r="A50" s="217" t="s">
        <v>71</v>
      </c>
      <c r="F50" s="106"/>
      <c r="J50" s="40"/>
      <c r="K50" s="40"/>
      <c r="L50" s="40"/>
      <c r="M50" s="40"/>
      <c r="N50" s="40"/>
      <c r="O50" s="40"/>
      <c r="P50" s="40"/>
      <c r="Q50" s="114"/>
      <c r="R50" s="40"/>
      <c r="S50" s="40"/>
      <c r="T50" s="40"/>
      <c r="U50" s="40"/>
      <c r="V50" s="40">
        <v>1</v>
      </c>
      <c r="W50" s="114"/>
      <c r="X50" s="40"/>
      <c r="Y50" s="40"/>
      <c r="Z50" s="40"/>
      <c r="AA50" s="40"/>
      <c r="AB50" s="40">
        <v>13</v>
      </c>
      <c r="AH50" s="40">
        <v>25</v>
      </c>
    </row>
    <row r="51" spans="1:39" ht="12.9" thickBot="1">
      <c r="A51" s="217" t="s">
        <v>72</v>
      </c>
      <c r="F51" s="106"/>
      <c r="J51" s="40"/>
      <c r="K51" s="40"/>
      <c r="L51" s="40"/>
      <c r="M51" s="40"/>
      <c r="N51" s="40"/>
      <c r="O51" s="40"/>
      <c r="P51" s="40"/>
      <c r="Q51" s="114"/>
      <c r="R51" s="40"/>
      <c r="S51" s="40"/>
      <c r="T51" s="40"/>
      <c r="U51" s="40"/>
      <c r="V51" s="40">
        <v>12</v>
      </c>
      <c r="W51" s="114"/>
      <c r="X51" s="40"/>
      <c r="Y51" s="40"/>
      <c r="Z51" s="40"/>
      <c r="AA51" s="40"/>
      <c r="AB51" s="40">
        <v>24</v>
      </c>
      <c r="AH51" s="40">
        <v>36</v>
      </c>
    </row>
    <row r="52" spans="1:39">
      <c r="A52" s="188" t="s">
        <v>99</v>
      </c>
      <c r="B52" s="40">
        <f>'4. T7 LÅN '!C47</f>
        <v>0</v>
      </c>
      <c r="C52" s="40">
        <f>'4. T7 LÅN '!D47*12</f>
        <v>0</v>
      </c>
      <c r="D52" s="215">
        <f>'4. T7 LÅN '!E47</f>
        <v>0</v>
      </c>
      <c r="F52" s="106"/>
      <c r="J52" s="40"/>
      <c r="K52" s="40"/>
      <c r="L52" s="40"/>
      <c r="M52" s="40"/>
      <c r="N52" s="40"/>
      <c r="O52" s="40"/>
      <c r="P52" s="40"/>
      <c r="Q52" s="114"/>
      <c r="R52" s="40"/>
      <c r="S52" s="40"/>
      <c r="T52" s="40"/>
      <c r="U52" s="40"/>
      <c r="V52" s="40">
        <f>'4. T7 LÅN '!L49</f>
        <v>0</v>
      </c>
      <c r="W52" s="114"/>
      <c r="X52" s="196">
        <f>IF($D52=0,0,IF(V52=0,0,-CUMPRINC($D52/12,$C52,$B52,V53,V54,0)))</f>
        <v>0</v>
      </c>
      <c r="Y52" s="196"/>
      <c r="Z52" s="196">
        <f>V52-X52</f>
        <v>0</v>
      </c>
      <c r="AA52" s="196">
        <f>IF($D52=0,0,IF($V52=0,0,-CUMIPMT($D52/12,$C52,$B52,V53,V54,0)))</f>
        <v>0</v>
      </c>
      <c r="AB52" s="196">
        <f>'4. T7 LÅN '!O47</f>
        <v>0</v>
      </c>
      <c r="AC52" s="196"/>
      <c r="AD52" s="310">
        <f>IF($C52&lt;AB53,0,IF($D52=0,0,-CUMPRINC($D52/12,$C52,$B52,AB53,AB54,0)))</f>
        <v>0</v>
      </c>
      <c r="AE52" s="196"/>
      <c r="AF52" s="196">
        <f>AB52-AD52</f>
        <v>0</v>
      </c>
      <c r="AG52" s="314">
        <f>IF($C52&lt;AB53,0,IF($D52=0,0,-CUMIPMT($D52/12,$C52,$B52,AB53,AB54,0)))</f>
        <v>0</v>
      </c>
      <c r="AH52" s="196"/>
      <c r="AI52" s="196"/>
      <c r="AJ52" s="310">
        <f>IF($C52&lt;AH53,0,IF($D52=0,0,-CUMPRINC($D52/12,$C52,$B52,AH53,AH54,0)))</f>
        <v>0</v>
      </c>
      <c r="AK52" s="196"/>
      <c r="AL52" s="196">
        <f>AF52-AJ52</f>
        <v>0</v>
      </c>
      <c r="AM52" s="314">
        <f>IF($C52&lt;AH53,0,IF($D52=0,0,-CUMIPMT($D52/12,$C52,$B52,AH53,AH54,0)))</f>
        <v>0</v>
      </c>
    </row>
    <row r="53" spans="1:39">
      <c r="A53" s="217" t="s">
        <v>71</v>
      </c>
      <c r="F53" s="106"/>
      <c r="J53" s="40"/>
      <c r="K53" s="40"/>
      <c r="L53" s="40"/>
      <c r="M53" s="40"/>
      <c r="N53" s="40"/>
      <c r="O53" s="40"/>
      <c r="P53" s="40"/>
      <c r="Q53" s="114"/>
      <c r="R53" s="40"/>
      <c r="S53" s="40"/>
      <c r="T53" s="40"/>
      <c r="U53" s="40"/>
      <c r="V53" s="40"/>
      <c r="W53" s="114"/>
      <c r="X53" s="40"/>
      <c r="Y53" s="40"/>
      <c r="Z53" s="40"/>
      <c r="AA53" s="40"/>
      <c r="AB53" s="40">
        <v>1</v>
      </c>
      <c r="AH53" s="40">
        <v>13</v>
      </c>
    </row>
    <row r="54" spans="1:39">
      <c r="A54" s="217" t="s">
        <v>72</v>
      </c>
      <c r="F54" s="106"/>
      <c r="J54" s="40"/>
      <c r="K54" s="40"/>
      <c r="L54" s="40"/>
      <c r="M54" s="40"/>
      <c r="N54" s="40"/>
      <c r="O54" s="40"/>
      <c r="P54" s="40"/>
      <c r="Q54" s="114"/>
      <c r="R54" s="40"/>
      <c r="S54" s="40"/>
      <c r="T54" s="40"/>
      <c r="U54" s="40"/>
      <c r="V54" s="40"/>
      <c r="W54" s="114"/>
      <c r="X54" s="40"/>
      <c r="Y54" s="40"/>
      <c r="Z54" s="40"/>
      <c r="AA54" s="40"/>
      <c r="AB54" s="40">
        <v>12</v>
      </c>
      <c r="AH54" s="40">
        <v>24</v>
      </c>
    </row>
    <row r="55" spans="1:39" s="2" customFormat="1" ht="12.9" thickBot="1">
      <c r="A55" s="230" t="s">
        <v>80</v>
      </c>
      <c r="B55" s="231"/>
      <c r="C55" s="232"/>
      <c r="D55" s="231"/>
      <c r="E55" s="231"/>
      <c r="F55" s="233"/>
      <c r="G55" s="231"/>
      <c r="H55" s="231"/>
      <c r="I55" s="231"/>
      <c r="J55" s="359">
        <f>J43+J46+J49+J52</f>
        <v>0</v>
      </c>
      <c r="K55" s="359"/>
      <c r="L55" s="359">
        <f>SUM(L43:L51)</f>
        <v>0</v>
      </c>
      <c r="M55" s="359"/>
      <c r="N55" s="359">
        <f>SUM(N43:N51)</f>
        <v>0</v>
      </c>
      <c r="O55" s="359">
        <f>SUM(O43:O51)</f>
        <v>0</v>
      </c>
      <c r="P55" s="359">
        <f>P43+P46+P49+P52</f>
        <v>0</v>
      </c>
      <c r="Q55" s="359"/>
      <c r="R55" s="359">
        <f>SUM(R43:R51)</f>
        <v>0</v>
      </c>
      <c r="S55" s="359"/>
      <c r="T55" s="359">
        <f>SUM(T43:T51)</f>
        <v>0</v>
      </c>
      <c r="U55" s="359">
        <f>SUM(U43:U51)</f>
        <v>0</v>
      </c>
      <c r="V55" s="359">
        <f>V43+V46+V49+V52</f>
        <v>0</v>
      </c>
      <c r="W55" s="359"/>
      <c r="X55" s="359">
        <f>SUM(X43:X52)</f>
        <v>0</v>
      </c>
      <c r="Y55" s="359"/>
      <c r="Z55" s="359">
        <f>SUM(Z43:Z51)</f>
        <v>0</v>
      </c>
      <c r="AA55" s="359">
        <f>SUM(AA43:AA51)</f>
        <v>0</v>
      </c>
      <c r="AB55" s="359">
        <f>AB43+AB46+AB49+AB52</f>
        <v>0</v>
      </c>
      <c r="AC55" s="359"/>
      <c r="AD55" s="359">
        <f>AD43+AD46+AD49+AD52</f>
        <v>0</v>
      </c>
      <c r="AE55" s="359"/>
      <c r="AF55" s="359">
        <f>AF43+AF46+AF49+AF52</f>
        <v>0</v>
      </c>
      <c r="AG55" s="359">
        <f>AG43+AG46+AG49+AG52</f>
        <v>0</v>
      </c>
      <c r="AH55" s="359">
        <f>AH43+AH46+AH49+AH52</f>
        <v>0</v>
      </c>
      <c r="AI55" s="359"/>
      <c r="AJ55" s="359">
        <f>AJ43+AJ46+AJ49+AJ52</f>
        <v>0</v>
      </c>
      <c r="AK55" s="359"/>
      <c r="AL55" s="359">
        <f>AL43+AL46+AL49+AL52</f>
        <v>0</v>
      </c>
      <c r="AM55" s="359">
        <f>AM43+AM46+AM49+AM52</f>
        <v>0</v>
      </c>
    </row>
    <row r="56" spans="1:39" s="2" customFormat="1" ht="12.9" thickBot="1">
      <c r="A56" s="188"/>
      <c r="C56" s="354"/>
      <c r="E56" s="2567">
        <f>E4</f>
        <v>0</v>
      </c>
      <c r="F56" s="2567"/>
      <c r="G56" s="2567"/>
      <c r="H56" s="2567"/>
      <c r="I56" s="2568"/>
      <c r="J56" s="2551">
        <f>J4</f>
        <v>2023</v>
      </c>
      <c r="K56" s="2552"/>
      <c r="L56" s="2552"/>
      <c r="M56" s="2552"/>
      <c r="N56" s="2552"/>
      <c r="O56" s="2553"/>
      <c r="P56" s="2551">
        <f>P4</f>
        <v>2024</v>
      </c>
      <c r="Q56" s="2552"/>
      <c r="R56" s="2552"/>
      <c r="S56" s="2552"/>
      <c r="T56" s="2552"/>
      <c r="U56" s="2553"/>
      <c r="V56" s="2551">
        <f>V4</f>
        <v>2025</v>
      </c>
      <c r="W56" s="2552"/>
      <c r="X56" s="2552"/>
      <c r="Y56" s="2552"/>
      <c r="Z56" s="2552"/>
      <c r="AA56" s="2553"/>
      <c r="AB56" s="2551">
        <f>AB4</f>
        <v>2026</v>
      </c>
      <c r="AC56" s="2552"/>
      <c r="AD56" s="2552"/>
      <c r="AE56" s="2552"/>
      <c r="AF56" s="2552"/>
      <c r="AG56" s="2553"/>
      <c r="AH56" s="2551">
        <f>AH4</f>
        <v>2027</v>
      </c>
      <c r="AI56" s="2552"/>
      <c r="AJ56" s="2552"/>
      <c r="AK56" s="2552"/>
      <c r="AL56" s="2552"/>
      <c r="AM56" s="2553"/>
    </row>
    <row r="57" spans="1:39" s="2" customFormat="1">
      <c r="A57" s="188"/>
      <c r="C57" s="354"/>
      <c r="E57" s="353"/>
      <c r="F57" s="196"/>
      <c r="G57" s="6" t="s">
        <v>24</v>
      </c>
      <c r="H57" s="353"/>
      <c r="I57" s="353"/>
      <c r="J57" s="366"/>
      <c r="K57" s="310"/>
      <c r="L57" s="367" t="s">
        <v>24</v>
      </c>
      <c r="M57" s="368"/>
      <c r="N57" s="368"/>
      <c r="O57" s="314"/>
      <c r="P57" s="366"/>
      <c r="Q57" s="310"/>
      <c r="R57" s="367" t="s">
        <v>24</v>
      </c>
      <c r="S57" s="368"/>
      <c r="T57" s="368"/>
      <c r="U57" s="314"/>
      <c r="V57" s="366"/>
      <c r="W57" s="310"/>
      <c r="X57" s="367" t="s">
        <v>24</v>
      </c>
      <c r="Y57" s="368"/>
      <c r="Z57" s="368"/>
      <c r="AA57" s="314"/>
      <c r="AB57" s="366"/>
      <c r="AC57" s="310"/>
      <c r="AD57" s="367" t="s">
        <v>24</v>
      </c>
      <c r="AE57" s="368"/>
      <c r="AF57" s="368"/>
      <c r="AG57" s="314"/>
      <c r="AH57" s="366"/>
      <c r="AI57" s="310"/>
      <c r="AJ57" s="367" t="s">
        <v>24</v>
      </c>
      <c r="AK57" s="368"/>
      <c r="AL57" s="368"/>
      <c r="AM57" s="314"/>
    </row>
    <row r="58" spans="1:39" s="2" customFormat="1" ht="12.9" thickBot="1">
      <c r="A58" s="188" t="s">
        <v>111</v>
      </c>
      <c r="C58" s="354"/>
      <c r="E58" s="358" t="s">
        <v>28</v>
      </c>
      <c r="F58" s="196"/>
      <c r="G58" s="6" t="s">
        <v>110</v>
      </c>
      <c r="H58" s="99" t="s">
        <v>108</v>
      </c>
      <c r="I58" s="99" t="s">
        <v>109</v>
      </c>
      <c r="J58" s="369"/>
      <c r="K58" s="370"/>
      <c r="L58" s="371" t="s">
        <v>110</v>
      </c>
      <c r="M58" s="372" t="s">
        <v>108</v>
      </c>
      <c r="N58" s="372" t="s">
        <v>109</v>
      </c>
      <c r="O58" s="373"/>
      <c r="P58" s="374" t="s">
        <v>28</v>
      </c>
      <c r="Q58" s="370"/>
      <c r="R58" s="371" t="s">
        <v>110</v>
      </c>
      <c r="S58" s="372" t="s">
        <v>108</v>
      </c>
      <c r="T58" s="372" t="s">
        <v>109</v>
      </c>
      <c r="U58" s="373"/>
      <c r="V58" s="374" t="s">
        <v>28</v>
      </c>
      <c r="W58" s="370"/>
      <c r="X58" s="371" t="s">
        <v>110</v>
      </c>
      <c r="Y58" s="372" t="s">
        <v>108</v>
      </c>
      <c r="Z58" s="372" t="s">
        <v>109</v>
      </c>
      <c r="AA58" s="373"/>
      <c r="AB58" s="374" t="s">
        <v>28</v>
      </c>
      <c r="AC58" s="370"/>
      <c r="AD58" s="371" t="s">
        <v>110</v>
      </c>
      <c r="AE58" s="372" t="s">
        <v>108</v>
      </c>
      <c r="AF58" s="372" t="s">
        <v>109</v>
      </c>
      <c r="AG58" s="373"/>
      <c r="AH58" s="374" t="s">
        <v>28</v>
      </c>
      <c r="AI58" s="370"/>
      <c r="AJ58" s="371" t="s">
        <v>110</v>
      </c>
      <c r="AK58" s="372" t="s">
        <v>108</v>
      </c>
      <c r="AL58" s="372" t="s">
        <v>109</v>
      </c>
      <c r="AM58" s="373"/>
    </row>
    <row r="59" spans="1:39" s="2" customFormat="1">
      <c r="A59" s="188" t="s">
        <v>70</v>
      </c>
      <c r="C59" s="354"/>
      <c r="F59" s="216"/>
      <c r="H59" s="364">
        <f>L39</f>
        <v>0</v>
      </c>
      <c r="I59" s="196">
        <f>B39-H59</f>
        <v>0</v>
      </c>
      <c r="J59" s="363"/>
      <c r="K59" s="364"/>
      <c r="L59" s="364"/>
      <c r="M59" s="364">
        <f>R39</f>
        <v>0</v>
      </c>
      <c r="N59" s="364">
        <f>T39</f>
        <v>0</v>
      </c>
      <c r="O59" s="365"/>
      <c r="P59" s="364"/>
      <c r="Q59" s="364"/>
      <c r="R59" s="364">
        <f>R43</f>
        <v>0</v>
      </c>
      <c r="S59" s="364">
        <f>X39</f>
        <v>0</v>
      </c>
      <c r="T59" s="364">
        <f>Z39</f>
        <v>0</v>
      </c>
      <c r="U59" s="365"/>
      <c r="V59" s="363"/>
      <c r="W59" s="364"/>
      <c r="X59" s="364"/>
      <c r="Y59" s="364">
        <f>AD39</f>
        <v>0</v>
      </c>
      <c r="Z59" s="364">
        <f>AF39</f>
        <v>0</v>
      </c>
      <c r="AA59" s="365"/>
      <c r="AB59" s="363"/>
      <c r="AC59" s="364"/>
      <c r="AD59" s="364"/>
      <c r="AE59" s="364">
        <f>AJ39</f>
        <v>0</v>
      </c>
      <c r="AF59" s="364">
        <f>AL39</f>
        <v>0</v>
      </c>
      <c r="AG59" s="365"/>
      <c r="AH59" s="363"/>
      <c r="AI59" s="364"/>
      <c r="AJ59" s="364"/>
      <c r="AK59" s="364"/>
      <c r="AL59" s="364"/>
      <c r="AM59" s="365"/>
    </row>
    <row r="60" spans="1:39" s="2" customFormat="1">
      <c r="A60" s="188" t="s">
        <v>73</v>
      </c>
      <c r="C60" s="354"/>
      <c r="F60" s="216"/>
      <c r="J60" s="360">
        <f>J43</f>
        <v>0</v>
      </c>
      <c r="K60" s="234"/>
      <c r="L60" s="234">
        <f>L43</f>
        <v>0</v>
      </c>
      <c r="M60" s="234">
        <f>IF(N43&gt;0,R43,0)</f>
        <v>0</v>
      </c>
      <c r="N60" s="234"/>
      <c r="O60" s="361"/>
      <c r="P60" s="234">
        <f>P43</f>
        <v>0</v>
      </c>
      <c r="Q60" s="234"/>
      <c r="R60" s="234">
        <f>IF(P60&gt;0,R43,0)</f>
        <v>0</v>
      </c>
      <c r="S60" s="234">
        <f>IF(N43&gt;0,X43,0)</f>
        <v>0</v>
      </c>
      <c r="T60" s="364">
        <f>Z43</f>
        <v>0</v>
      </c>
      <c r="U60" s="361"/>
      <c r="V60" s="234">
        <f>V43</f>
        <v>0</v>
      </c>
      <c r="W60" s="234"/>
      <c r="X60" s="234">
        <f>IF(V60&gt;0,X43,0)</f>
        <v>0</v>
      </c>
      <c r="Y60" s="234">
        <f>IF(T43&gt;0,AD43,0)</f>
        <v>0</v>
      </c>
      <c r="Z60" s="364">
        <f>AF43</f>
        <v>0</v>
      </c>
      <c r="AA60" s="361"/>
      <c r="AB60" s="234">
        <f>AB43</f>
        <v>0</v>
      </c>
      <c r="AC60" s="234"/>
      <c r="AD60" s="234">
        <f>IF(AB60&gt;0,AD43,0)</f>
        <v>0</v>
      </c>
      <c r="AE60" s="234">
        <f>IF(Z43&gt;0,AJ43,0)</f>
        <v>0</v>
      </c>
      <c r="AF60" s="364">
        <f>AL43</f>
        <v>0</v>
      </c>
      <c r="AG60" s="361"/>
      <c r="AH60" s="234">
        <f>AH43</f>
        <v>0</v>
      </c>
      <c r="AI60" s="234"/>
      <c r="AJ60" s="234">
        <f>IF(AH60&gt;0,AJ43,0)</f>
        <v>0</v>
      </c>
      <c r="AK60" s="234">
        <f>IF(AF43&gt;0,AP43,0)</f>
        <v>0</v>
      </c>
      <c r="AL60" s="364">
        <f>AR43</f>
        <v>0</v>
      </c>
      <c r="AM60" s="361"/>
    </row>
    <row r="61" spans="1:39" s="2" customFormat="1">
      <c r="A61" s="188" t="s">
        <v>74</v>
      </c>
      <c r="C61" s="354"/>
      <c r="F61" s="216"/>
      <c r="J61" s="360"/>
      <c r="K61" s="234"/>
      <c r="L61" s="234"/>
      <c r="M61" s="234">
        <f>IF(N46&gt;0,R46,0)</f>
        <v>0</v>
      </c>
      <c r="N61" s="234"/>
      <c r="O61" s="361"/>
      <c r="P61" s="234">
        <f>P46</f>
        <v>0</v>
      </c>
      <c r="Q61" s="234"/>
      <c r="R61" s="234">
        <f>IF(P61&gt;0,R46,0)</f>
        <v>0</v>
      </c>
      <c r="S61" s="234">
        <f>IF(N46&gt;0,X46,0)</f>
        <v>0</v>
      </c>
      <c r="T61" s="364">
        <f>Z46</f>
        <v>0</v>
      </c>
      <c r="U61" s="361"/>
      <c r="V61" s="234">
        <f>V46</f>
        <v>0</v>
      </c>
      <c r="W61" s="234"/>
      <c r="X61" s="234">
        <f>IF(V61&gt;0,X46,0)</f>
        <v>0</v>
      </c>
      <c r="Y61" s="234">
        <f>IF(T46&gt;0,AD46,0)</f>
        <v>0</v>
      </c>
      <c r="Z61" s="364">
        <f>AF46</f>
        <v>0</v>
      </c>
      <c r="AA61" s="361"/>
      <c r="AB61" s="234">
        <f>AB46</f>
        <v>0</v>
      </c>
      <c r="AC61" s="234"/>
      <c r="AD61" s="234">
        <f>IF(AB61&gt;0,AD46,0)</f>
        <v>0</v>
      </c>
      <c r="AE61" s="234">
        <f>IF(Z46&gt;0,AJ46,0)</f>
        <v>0</v>
      </c>
      <c r="AF61" s="364">
        <f>AL46</f>
        <v>0</v>
      </c>
      <c r="AG61" s="361"/>
      <c r="AH61" s="234">
        <f>AH46</f>
        <v>0</v>
      </c>
      <c r="AI61" s="234"/>
      <c r="AJ61" s="234">
        <f>IF(AH61&gt;0,AJ46,0)</f>
        <v>0</v>
      </c>
      <c r="AK61" s="234">
        <f>IF(AF46&gt;0,AP46,0)</f>
        <v>0</v>
      </c>
      <c r="AL61" s="364">
        <f>AR46</f>
        <v>0</v>
      </c>
      <c r="AM61" s="361"/>
    </row>
    <row r="62" spans="1:39" s="2" customFormat="1">
      <c r="A62" s="188" t="s">
        <v>75</v>
      </c>
      <c r="C62" s="354"/>
      <c r="F62" s="216"/>
      <c r="J62" s="360"/>
      <c r="K62" s="234"/>
      <c r="L62" s="234"/>
      <c r="M62" s="234">
        <f>IF(N49&gt;0,R49,0)</f>
        <v>0</v>
      </c>
      <c r="N62" s="234"/>
      <c r="O62" s="361"/>
      <c r="P62" s="234">
        <f>P49</f>
        <v>0</v>
      </c>
      <c r="Q62" s="234"/>
      <c r="R62" s="234">
        <f>IF(P62&gt;0,R49,0)</f>
        <v>0</v>
      </c>
      <c r="S62" s="234">
        <f>IF(N49&gt;0,X49,0)</f>
        <v>0</v>
      </c>
      <c r="T62" s="364">
        <f>Z49</f>
        <v>0</v>
      </c>
      <c r="U62" s="361"/>
      <c r="V62" s="234">
        <f>V49</f>
        <v>0</v>
      </c>
      <c r="W62" s="234"/>
      <c r="X62" s="234">
        <f>IF(V62&gt;0,X49,0)</f>
        <v>0</v>
      </c>
      <c r="Y62" s="234">
        <f>IF(T49&gt;0,AD49,0)</f>
        <v>0</v>
      </c>
      <c r="Z62" s="364">
        <f>AF49</f>
        <v>0</v>
      </c>
      <c r="AA62" s="361"/>
      <c r="AB62" s="234">
        <f>AB49</f>
        <v>0</v>
      </c>
      <c r="AC62" s="234"/>
      <c r="AD62" s="234">
        <f>IF(AB62&gt;0,AD49,0)</f>
        <v>0</v>
      </c>
      <c r="AE62" s="234">
        <f>IF(Z49&gt;0,AJ49,0)</f>
        <v>0</v>
      </c>
      <c r="AF62" s="364">
        <f>AL49</f>
        <v>0</v>
      </c>
      <c r="AG62" s="361"/>
      <c r="AH62" s="234">
        <f>AH49</f>
        <v>0</v>
      </c>
      <c r="AI62" s="234"/>
      <c r="AJ62" s="234">
        <f>IF(AH62&gt;0,AJ49,0)</f>
        <v>0</v>
      </c>
      <c r="AK62" s="234">
        <f>IF(AF49&gt;0,AP49,0)</f>
        <v>0</v>
      </c>
      <c r="AL62" s="364">
        <f>AR49</f>
        <v>0</v>
      </c>
      <c r="AM62" s="361"/>
    </row>
    <row r="63" spans="1:39" s="2" customFormat="1">
      <c r="A63" s="188" t="s">
        <v>99</v>
      </c>
      <c r="C63" s="354"/>
      <c r="F63" s="216"/>
      <c r="J63" s="360"/>
      <c r="K63" s="234"/>
      <c r="L63" s="234"/>
      <c r="M63" s="234">
        <f>IF(N52&gt;0,R52,0)</f>
        <v>0</v>
      </c>
      <c r="N63" s="234"/>
      <c r="O63" s="361"/>
      <c r="P63" s="234">
        <f>P52</f>
        <v>0</v>
      </c>
      <c r="Q63" s="234"/>
      <c r="R63" s="234">
        <f>IF(P63&gt;0,R52,0)</f>
        <v>0</v>
      </c>
      <c r="S63" s="234">
        <f>IF(N52&gt;0,X52,0)</f>
        <v>0</v>
      </c>
      <c r="T63" s="364">
        <f>Z52</f>
        <v>0</v>
      </c>
      <c r="U63" s="361"/>
      <c r="V63" s="234">
        <f>V52</f>
        <v>0</v>
      </c>
      <c r="W63" s="234"/>
      <c r="X63" s="234">
        <f>IF(V63&gt;0,X52,0)</f>
        <v>0</v>
      </c>
      <c r="Y63" s="234">
        <f>IF(T52&gt;0,AD52,0)</f>
        <v>0</v>
      </c>
      <c r="Z63" s="364">
        <f>AF52</f>
        <v>0</v>
      </c>
      <c r="AA63" s="361"/>
      <c r="AB63" s="234">
        <f>AB52</f>
        <v>0</v>
      </c>
      <c r="AC63" s="234"/>
      <c r="AD63" s="234">
        <f>IF(AB63&gt;0,AD52,0)</f>
        <v>0</v>
      </c>
      <c r="AE63" s="234">
        <f>IF(Z52&gt;0,AJ52,0)</f>
        <v>0</v>
      </c>
      <c r="AF63" s="364">
        <f>AL52</f>
        <v>0</v>
      </c>
      <c r="AG63" s="361"/>
      <c r="AH63" s="234">
        <f>AH52</f>
        <v>0</v>
      </c>
      <c r="AI63" s="234"/>
      <c r="AJ63" s="234">
        <f>IF(AH63&gt;0,AJ52,0)</f>
        <v>0</v>
      </c>
      <c r="AK63" s="234">
        <f>IF(AF52&gt;0,AP52,0)</f>
        <v>0</v>
      </c>
      <c r="AL63" s="364">
        <f>AR52</f>
        <v>0</v>
      </c>
      <c r="AM63" s="361"/>
    </row>
    <row r="64" spans="1:39" s="2" customFormat="1">
      <c r="A64" s="188"/>
      <c r="C64" s="354"/>
      <c r="F64" s="216"/>
      <c r="J64" s="359">
        <f>SUM(J59:J63)</f>
        <v>0</v>
      </c>
      <c r="K64" s="359"/>
      <c r="L64" s="359">
        <f>SUM(L59:L63)</f>
        <v>0</v>
      </c>
      <c r="M64" s="359">
        <f>SUM(M59:M63)</f>
        <v>0</v>
      </c>
      <c r="N64" s="359">
        <f>SUM(N59:N63)</f>
        <v>0</v>
      </c>
      <c r="O64" s="362"/>
      <c r="P64" s="359">
        <f>SUM(P59:P63)</f>
        <v>0</v>
      </c>
      <c r="Q64" s="359"/>
      <c r="R64" s="359">
        <f>SUM(R59:R63)</f>
        <v>0</v>
      </c>
      <c r="S64" s="359">
        <f>SUM(S59:S63)</f>
        <v>0</v>
      </c>
      <c r="T64" s="359">
        <f>SUM(T59:T63)</f>
        <v>0</v>
      </c>
      <c r="U64" s="362"/>
      <c r="V64" s="359">
        <f>SUM(V59:V63)</f>
        <v>0</v>
      </c>
      <c r="W64" s="359"/>
      <c r="X64" s="359">
        <f>SUM(X59:X63)</f>
        <v>0</v>
      </c>
      <c r="Y64" s="359">
        <f>SUM(Y59:Y63)</f>
        <v>0</v>
      </c>
      <c r="Z64" s="359">
        <f>SUM(Z59:Z63)</f>
        <v>0</v>
      </c>
      <c r="AA64" s="362"/>
      <c r="AB64" s="359">
        <f>SUM(AB59:AB63)</f>
        <v>0</v>
      </c>
      <c r="AC64" s="359"/>
      <c r="AD64" s="359">
        <f>SUM(AD59:AD63)</f>
        <v>0</v>
      </c>
      <c r="AE64" s="359">
        <f>SUM(AE59:AE63)</f>
        <v>0</v>
      </c>
      <c r="AF64" s="359">
        <f>SUM(AF59:AF63)</f>
        <v>0</v>
      </c>
      <c r="AG64" s="362"/>
      <c r="AH64" s="359">
        <f>SUM(AH59:AH63)</f>
        <v>0</v>
      </c>
      <c r="AI64" s="359"/>
      <c r="AJ64" s="359">
        <f>SUM(AJ59:AJ63)</f>
        <v>0</v>
      </c>
      <c r="AK64" s="234">
        <f>IF(AL53&gt;0,AP53,0)</f>
        <v>0</v>
      </c>
      <c r="AL64" s="359">
        <f>SUM(AL59:AL63)</f>
        <v>0</v>
      </c>
      <c r="AM64" s="362"/>
    </row>
    <row r="65" spans="1:39" s="2" customFormat="1">
      <c r="A65" s="188"/>
      <c r="C65" s="354"/>
      <c r="F65" s="21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row>
    <row r="66" spans="1:39" s="2" customFormat="1">
      <c r="A66" s="188"/>
      <c r="C66" s="354"/>
      <c r="F66" s="21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row>
    <row r="67" spans="1:39" s="2" customFormat="1">
      <c r="A67" s="1789"/>
      <c r="B67" s="1790"/>
      <c r="C67" s="1791"/>
      <c r="D67" s="1790"/>
      <c r="E67" s="1790"/>
      <c r="F67" s="1792"/>
      <c r="G67" s="1790"/>
      <c r="H67" s="1790"/>
      <c r="I67" s="1790"/>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row>
    <row r="68" spans="1:39" s="2" customFormat="1">
      <c r="A68" s="1789"/>
      <c r="B68" s="1790"/>
      <c r="C68" s="1791"/>
      <c r="D68" s="1790"/>
      <c r="E68" s="1790"/>
      <c r="F68" s="1792"/>
      <c r="G68" s="1790"/>
      <c r="H68" s="1790"/>
      <c r="I68" s="1790"/>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row>
    <row r="69" spans="1:39" s="2" customFormat="1">
      <c r="A69" s="1789"/>
      <c r="B69" s="1790"/>
      <c r="C69" s="1791"/>
      <c r="D69" s="1790"/>
      <c r="E69" s="1790"/>
      <c r="F69" s="1792"/>
      <c r="G69" s="1790"/>
      <c r="H69" s="1790"/>
      <c r="I69" s="1790"/>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row>
    <row r="70" spans="1:39">
      <c r="A70" s="1793"/>
      <c r="B70" s="1794"/>
      <c r="C70" s="1795"/>
      <c r="D70" s="1793"/>
      <c r="E70" s="1793"/>
      <c r="F70" s="1793"/>
      <c r="G70" s="1793"/>
      <c r="H70" s="1793"/>
      <c r="I70" s="1793"/>
      <c r="J70" s="910"/>
      <c r="K70" s="910"/>
      <c r="L70" s="910"/>
      <c r="M70" s="910"/>
      <c r="N70" s="910"/>
      <c r="O70" s="910"/>
    </row>
    <row r="71" spans="1:39" ht="15.45">
      <c r="A71" s="1796"/>
      <c r="B71" s="1797"/>
      <c r="C71" s="1793"/>
      <c r="D71" s="2566"/>
      <c r="E71" s="2566"/>
      <c r="F71" s="2566"/>
      <c r="G71" s="2566"/>
      <c r="H71" s="2566"/>
      <c r="I71" s="2566"/>
      <c r="J71" s="1823"/>
      <c r="K71" s="2554"/>
      <c r="L71" s="2554"/>
      <c r="M71" s="2554"/>
      <c r="N71" s="2554"/>
      <c r="O71" s="1823"/>
      <c r="U71" s="1"/>
    </row>
    <row r="72" spans="1:39" s="2" customFormat="1">
      <c r="A72" s="1790"/>
      <c r="B72" s="1798"/>
      <c r="C72" s="1793"/>
      <c r="D72" s="1793"/>
      <c r="E72" s="1793"/>
      <c r="F72" s="1790"/>
      <c r="G72" s="1790"/>
      <c r="H72" s="1790"/>
      <c r="I72" s="1799"/>
      <c r="J72" s="910"/>
      <c r="K72" s="910"/>
      <c r="L72" s="1824"/>
      <c r="M72" s="1824"/>
      <c r="N72" s="1824"/>
      <c r="O72" s="1825"/>
      <c r="U72" s="214"/>
    </row>
    <row r="73" spans="1:39" s="2" customFormat="1">
      <c r="A73" s="1794"/>
      <c r="B73" s="1800"/>
      <c r="C73" s="1793"/>
      <c r="D73" s="1801"/>
      <c r="E73" s="1801"/>
      <c r="F73" s="1801"/>
      <c r="G73" s="1801"/>
      <c r="H73" s="1801"/>
      <c r="I73" s="1801"/>
      <c r="J73" s="1788"/>
      <c r="K73" s="1788"/>
      <c r="L73" s="1788"/>
      <c r="M73" s="1788"/>
      <c r="N73" s="1788"/>
      <c r="O73" s="1788"/>
      <c r="Q73" s="191"/>
      <c r="U73" s="214"/>
    </row>
    <row r="74" spans="1:39" s="2" customFormat="1">
      <c r="A74" s="1794"/>
      <c r="B74" s="1802"/>
      <c r="C74" s="1793"/>
      <c r="D74" s="1801"/>
      <c r="E74" s="1801"/>
      <c r="F74" s="1801"/>
      <c r="G74" s="1801"/>
      <c r="H74" s="1801"/>
      <c r="I74" s="1801"/>
      <c r="J74" s="1788"/>
      <c r="K74" s="1788"/>
      <c r="L74" s="1788"/>
      <c r="M74" s="1788"/>
      <c r="N74" s="1788"/>
      <c r="O74" s="1788"/>
      <c r="Q74" s="191"/>
      <c r="U74" s="214"/>
    </row>
    <row r="75" spans="1:39" s="2" customFormat="1">
      <c r="A75" s="1789"/>
      <c r="B75" s="1800"/>
      <c r="C75" s="1794"/>
      <c r="D75" s="1803"/>
      <c r="E75" s="1803"/>
      <c r="F75" s="1790"/>
      <c r="G75" s="1804"/>
      <c r="H75" s="1804"/>
      <c r="I75" s="1790"/>
      <c r="J75" s="1803"/>
      <c r="K75" s="1803"/>
      <c r="L75" s="1790"/>
      <c r="M75" s="1804"/>
      <c r="N75" s="1804"/>
      <c r="O75" s="1790"/>
      <c r="U75" s="214"/>
    </row>
    <row r="76" spans="1:39" s="2" customFormat="1">
      <c r="A76" s="1794"/>
      <c r="B76" s="1802"/>
      <c r="C76" s="1805"/>
      <c r="D76" s="1806"/>
      <c r="E76" s="1806"/>
      <c r="F76" s="1807"/>
      <c r="G76" s="1807"/>
      <c r="H76" s="1807"/>
      <c r="I76" s="1808"/>
      <c r="J76" s="1806"/>
      <c r="K76" s="1806"/>
      <c r="L76" s="1807"/>
      <c r="M76" s="1807"/>
      <c r="N76" s="1807"/>
      <c r="O76" s="1808"/>
      <c r="P76" s="43"/>
      <c r="Q76" s="192"/>
      <c r="R76" s="196"/>
      <c r="U76" s="214"/>
    </row>
    <row r="77" spans="1:39" s="2" customFormat="1">
      <c r="A77" s="1809"/>
      <c r="B77" s="1800"/>
      <c r="C77" s="1805"/>
      <c r="D77" s="1806"/>
      <c r="E77" s="1806"/>
      <c r="F77" s="1807"/>
      <c r="G77" s="1807"/>
      <c r="H77" s="1807"/>
      <c r="I77" s="1808"/>
      <c r="J77" s="1806"/>
      <c r="K77" s="1806"/>
      <c r="L77" s="1807"/>
      <c r="M77" s="1807"/>
      <c r="N77" s="1807"/>
      <c r="O77" s="1808"/>
      <c r="P77" s="43"/>
      <c r="Q77" s="192"/>
      <c r="R77" s="196"/>
      <c r="U77" s="214"/>
    </row>
    <row r="78" spans="1:39" s="2" customFormat="1">
      <c r="A78" s="1789"/>
      <c r="B78" s="1800"/>
      <c r="C78" s="1805"/>
      <c r="D78" s="1806"/>
      <c r="E78" s="1806"/>
      <c r="F78" s="1807"/>
      <c r="G78" s="1807"/>
      <c r="H78" s="1807"/>
      <c r="I78" s="1808"/>
      <c r="J78" s="1806"/>
      <c r="K78" s="1806"/>
      <c r="L78" s="1807"/>
      <c r="M78" s="1807"/>
      <c r="N78" s="1807"/>
      <c r="O78" s="1808"/>
      <c r="P78" s="43"/>
      <c r="Q78" s="192"/>
      <c r="R78" s="196"/>
    </row>
    <row r="79" spans="1:39" s="2" customFormat="1" ht="13.2" customHeight="1">
      <c r="A79" s="1810"/>
      <c r="B79" s="1811"/>
      <c r="C79" s="1805"/>
      <c r="D79" s="1806"/>
      <c r="E79" s="1806"/>
      <c r="F79" s="1807"/>
      <c r="G79" s="1807"/>
      <c r="H79" s="1807"/>
      <c r="I79" s="1808"/>
      <c r="J79" s="1806"/>
      <c r="K79" s="1806"/>
      <c r="L79" s="1807"/>
      <c r="M79" s="1807"/>
      <c r="N79" s="1807"/>
      <c r="O79" s="1808"/>
      <c r="P79" s="43"/>
      <c r="Q79" s="192"/>
      <c r="R79" s="196"/>
    </row>
    <row r="80" spans="1:39" s="2" customFormat="1" ht="13.5" customHeight="1">
      <c r="A80" s="1812"/>
      <c r="B80" s="1813"/>
      <c r="C80" s="1805"/>
      <c r="D80" s="1806"/>
      <c r="E80" s="1806"/>
      <c r="F80" s="1807"/>
      <c r="G80" s="1807"/>
      <c r="H80" s="1807"/>
      <c r="I80" s="1808"/>
      <c r="J80" s="1806"/>
      <c r="K80" s="1806"/>
      <c r="L80" s="1807"/>
      <c r="M80" s="1807"/>
      <c r="N80" s="1807"/>
      <c r="O80" s="1808"/>
      <c r="P80" s="43"/>
      <c r="Q80" s="192"/>
      <c r="R80" s="196"/>
    </row>
    <row r="81" spans="1:18">
      <c r="A81" s="1794"/>
      <c r="B81" s="1814"/>
      <c r="C81" s="1805"/>
      <c r="D81" s="1806"/>
      <c r="E81" s="1806"/>
      <c r="F81" s="1807"/>
      <c r="G81" s="1807"/>
      <c r="H81" s="1807"/>
      <c r="I81" s="1808"/>
      <c r="J81" s="1806"/>
      <c r="K81" s="1806"/>
      <c r="L81" s="1807"/>
      <c r="M81" s="1807"/>
      <c r="N81" s="1807"/>
      <c r="O81" s="1808"/>
      <c r="P81" s="43"/>
      <c r="Q81" s="192"/>
      <c r="R81" s="196"/>
    </row>
    <row r="82" spans="1:18">
      <c r="A82" s="1794"/>
      <c r="B82" s="1815"/>
      <c r="C82" s="1805"/>
      <c r="D82" s="1806"/>
      <c r="E82" s="1806"/>
      <c r="F82" s="1807"/>
      <c r="G82" s="1807"/>
      <c r="H82" s="1807"/>
      <c r="I82" s="1808"/>
      <c r="J82" s="1806"/>
      <c r="K82" s="1806"/>
      <c r="L82" s="1807"/>
      <c r="M82" s="1807"/>
      <c r="N82" s="1807"/>
      <c r="O82" s="1808"/>
      <c r="P82" s="43"/>
      <c r="Q82" s="192"/>
      <c r="R82" s="196"/>
    </row>
    <row r="83" spans="1:18" s="2" customFormat="1">
      <c r="A83" s="1789"/>
      <c r="B83" s="1816"/>
      <c r="C83" s="1805"/>
      <c r="D83" s="1806"/>
      <c r="E83" s="1806"/>
      <c r="F83" s="1807"/>
      <c r="G83" s="1807"/>
      <c r="H83" s="1807"/>
      <c r="I83" s="1808"/>
      <c r="J83" s="1806"/>
      <c r="K83" s="1806"/>
      <c r="L83" s="1807"/>
      <c r="M83" s="1807"/>
      <c r="N83" s="1807"/>
      <c r="O83" s="1808"/>
      <c r="P83" s="43"/>
      <c r="Q83" s="192"/>
      <c r="R83" s="196"/>
    </row>
    <row r="84" spans="1:18">
      <c r="A84" s="1794"/>
      <c r="B84" s="1815"/>
      <c r="C84" s="1805"/>
      <c r="D84" s="1806"/>
      <c r="E84" s="1806"/>
      <c r="F84" s="1807"/>
      <c r="G84" s="1807"/>
      <c r="H84" s="1807"/>
      <c r="I84" s="1808"/>
      <c r="J84" s="1806"/>
      <c r="K84" s="1806"/>
      <c r="L84" s="1807"/>
      <c r="M84" s="1807"/>
      <c r="N84" s="1807"/>
      <c r="O84" s="1808"/>
      <c r="P84" s="43"/>
      <c r="Q84" s="192"/>
      <c r="R84" s="196"/>
    </row>
    <row r="85" spans="1:18">
      <c r="A85" s="1794"/>
      <c r="B85" s="1815"/>
      <c r="C85" s="1805"/>
      <c r="D85" s="1806"/>
      <c r="E85" s="1806"/>
      <c r="F85" s="1807"/>
      <c r="G85" s="1807"/>
      <c r="H85" s="1807"/>
      <c r="I85" s="1808"/>
      <c r="J85" s="1806"/>
      <c r="K85" s="1806"/>
      <c r="L85" s="1807"/>
      <c r="M85" s="1807"/>
      <c r="N85" s="1807"/>
      <c r="O85" s="1808"/>
      <c r="P85" s="43"/>
      <c r="Q85" s="192"/>
      <c r="R85" s="196"/>
    </row>
    <row r="86" spans="1:18" s="2" customFormat="1">
      <c r="A86" s="1789"/>
      <c r="B86" s="1816"/>
      <c r="C86" s="1805"/>
      <c r="D86" s="1806"/>
      <c r="E86" s="1806"/>
      <c r="F86" s="1807"/>
      <c r="G86" s="1807"/>
      <c r="H86" s="1807"/>
      <c r="I86" s="1808"/>
      <c r="J86" s="1806"/>
      <c r="K86" s="1806"/>
      <c r="L86" s="1807"/>
      <c r="M86" s="1807"/>
      <c r="N86" s="1807"/>
      <c r="O86" s="1808"/>
      <c r="P86" s="43"/>
      <c r="Q86" s="192"/>
      <c r="R86" s="196"/>
    </row>
    <row r="87" spans="1:18">
      <c r="A87" s="1817"/>
      <c r="B87" s="1818"/>
      <c r="C87" s="1805"/>
      <c r="D87" s="1806"/>
      <c r="E87" s="1806"/>
      <c r="F87" s="1807"/>
      <c r="G87" s="1807"/>
      <c r="H87" s="1807"/>
      <c r="I87" s="1808"/>
      <c r="J87" s="1806"/>
      <c r="K87" s="1806"/>
      <c r="L87" s="1807"/>
      <c r="M87" s="1807"/>
      <c r="N87" s="1807"/>
      <c r="O87" s="1808"/>
      <c r="P87" s="43"/>
      <c r="Q87" s="192"/>
      <c r="R87" s="196"/>
    </row>
    <row r="88" spans="1:18">
      <c r="A88" s="1794"/>
      <c r="B88" s="1819"/>
      <c r="C88" s="1805"/>
      <c r="D88" s="1806"/>
      <c r="E88" s="1806"/>
      <c r="F88" s="1806"/>
      <c r="G88" s="1806"/>
      <c r="H88" s="1806"/>
      <c r="I88" s="1806"/>
      <c r="J88" s="1806"/>
      <c r="K88" s="1806"/>
      <c r="L88" s="1806"/>
      <c r="M88" s="1806"/>
      <c r="N88" s="1806"/>
      <c r="O88" s="1806"/>
    </row>
    <row r="89" spans="1:18" s="2" customFormat="1">
      <c r="A89" s="1789"/>
      <c r="B89" s="1820"/>
      <c r="C89" s="2564"/>
      <c r="D89" s="2564"/>
      <c r="E89" s="2564"/>
      <c r="F89" s="2564"/>
      <c r="G89" s="2564"/>
      <c r="H89" s="2564"/>
      <c r="I89" s="2569"/>
      <c r="J89" s="2561"/>
      <c r="K89" s="2561"/>
      <c r="L89" s="2561"/>
      <c r="M89" s="2561"/>
      <c r="N89" s="2561"/>
      <c r="O89" s="2571"/>
      <c r="P89"/>
      <c r="Q89"/>
    </row>
    <row r="90" spans="1:18">
      <c r="A90" s="1809"/>
      <c r="B90" s="1821"/>
      <c r="C90" s="2565"/>
      <c r="D90" s="2565"/>
      <c r="E90" s="2565"/>
      <c r="F90" s="2565"/>
      <c r="G90" s="2565"/>
      <c r="H90" s="2565"/>
      <c r="I90" s="2570"/>
      <c r="J90" s="2562"/>
      <c r="K90" s="2562"/>
      <c r="L90" s="2562"/>
      <c r="M90" s="2562"/>
      <c r="N90" s="2562"/>
      <c r="O90" s="2572"/>
      <c r="P90" s="2"/>
      <c r="Q90" s="2"/>
    </row>
    <row r="91" spans="1:18">
      <c r="A91" s="1822"/>
      <c r="B91" s="1821"/>
      <c r="C91" s="2565"/>
      <c r="D91" s="2565"/>
      <c r="E91" s="2565"/>
      <c r="F91" s="2565"/>
      <c r="G91" s="2565"/>
      <c r="H91" s="2565"/>
      <c r="I91" s="2570"/>
      <c r="J91" s="2562"/>
      <c r="K91" s="2562"/>
      <c r="L91" s="2562"/>
      <c r="M91" s="2562"/>
      <c r="N91" s="2562"/>
      <c r="O91" s="2572"/>
    </row>
    <row r="92" spans="1:18">
      <c r="A92" s="123"/>
      <c r="B92" s="131"/>
      <c r="C92" s="132"/>
      <c r="D92" s="132"/>
      <c r="E92" s="132"/>
    </row>
    <row r="93" spans="1:18" s="2" customFormat="1">
      <c r="A93" s="30" t="s">
        <v>567</v>
      </c>
      <c r="B93" s="49">
        <f>'2. &amp; 7. T2  RESULTATB.'!I8</f>
        <v>2023</v>
      </c>
      <c r="C93" s="49"/>
      <c r="D93" s="49">
        <f>'2. &amp; 7. T2  RESULTATB.'!K8</f>
        <v>2024</v>
      </c>
      <c r="E93" s="49"/>
      <c r="F93" s="49">
        <f>'2. &amp; 7. T2  RESULTATB.'!M8</f>
        <v>2025</v>
      </c>
      <c r="H93" s="49">
        <f>'2. &amp; 7. T2  RESULTATB.'!O8</f>
        <v>2026</v>
      </c>
      <c r="I93" s="49"/>
      <c r="J93" s="49"/>
    </row>
    <row r="94" spans="1:18">
      <c r="A94" s="4" t="s">
        <v>36</v>
      </c>
      <c r="B94" s="2542">
        <f>'5. E1 VERKSAMHETSKOSTN.'!F47+'5. E1 VERKSAMHETSKOSTN.'!F50+'5. E1 VERKSAMHETSKOSTN.'!F54+'5. E1 VERKSAMHETSKOSTN.'!F55+'5. E1 VERKSAMHETSKOSTN.'!F56+'5. E1 VERKSAMHETSKOSTN.'!F57+'5. E1 VERKSAMHETSKOSTN.'!F58+'5. E1 VERKSAMHETSKOSTN.'!F59+'5. E1 VERKSAMHETSKOSTN.'!F65+'5. E1 VERKSAMHETSKOSTN.'!F66+'5. E1 VERKSAMHETSKOSTN.'!F68+'5. E1 VERKSAMHETSKOSTN.'!F69+'5. E1 VERKSAMHETSKOSTN.'!F74+'5. E1 VERKSAMHETSKOSTN.'!F87+'5. E1 VERKSAMHETSKOSTN.'!F88+'5. E1 VERKSAMHETSKOSTN.'!F94+'5. E1 VERKSAMHETSKOSTN.'!F99+'5. E1 VERKSAMHETSKOSTN.'!F105+'5. E1 VERKSAMHETSKOSTN.'!F108+'5. E1 VERKSAMHETSKOSTN.'!F109+'5. E1 VERKSAMHETSKOSTN.'!F110+'5. E1 VERKSAMHETSKOSTN.'!F116+'5. E1 VERKSAMHETSKOSTN.'!F117+'5. E1 VERKSAMHETSKOSTN.'!F120+'5. E1 VERKSAMHETSKOSTN.'!F122</f>
        <v>19834.09</v>
      </c>
      <c r="C94" s="2543"/>
      <c r="D94" s="2542">
        <f>'5. E1 VERKSAMHETSKOSTN.'!H47+'5. E1 VERKSAMHETSKOSTN.'!H50+'5. E1 VERKSAMHETSKOSTN.'!H54+'5. E1 VERKSAMHETSKOSTN.'!H55+'5. E1 VERKSAMHETSKOSTN.'!H56+'5. E1 VERKSAMHETSKOSTN.'!H57+'5. E1 VERKSAMHETSKOSTN.'!H58+'5. E1 VERKSAMHETSKOSTN.'!H59+'5. E1 VERKSAMHETSKOSTN.'!H65+'5. E1 VERKSAMHETSKOSTN.'!H66+'5. E1 VERKSAMHETSKOSTN.'!H68+'5. E1 VERKSAMHETSKOSTN.'!H69+'5. E1 VERKSAMHETSKOSTN.'!H74+'5. E1 VERKSAMHETSKOSTN.'!H87+'5. E1 VERKSAMHETSKOSTN.'!H88+'5. E1 VERKSAMHETSKOSTN.'!H94+'5. E1 VERKSAMHETSKOSTN.'!H99+'5. E1 VERKSAMHETSKOSTN.'!H105+'5. E1 VERKSAMHETSKOSTN.'!H108+'5. E1 VERKSAMHETSKOSTN.'!H109+'5. E1 VERKSAMHETSKOSTN.'!H110+'5. E1 VERKSAMHETSKOSTN.'!H116+'5. E1 VERKSAMHETSKOSTN.'!H117+'5. E1 VERKSAMHETSKOSTN.'!H120+'5. E1 VERKSAMHETSKOSTN.'!H122</f>
        <v>20094.749200000002</v>
      </c>
      <c r="E94" s="2543"/>
      <c r="F94" s="2542">
        <f>'5. E1 VERKSAMHETSKOSTN.'!J47+'5. E1 VERKSAMHETSKOSTN.'!J50+'5. E1 VERKSAMHETSKOSTN.'!J54+'5. E1 VERKSAMHETSKOSTN.'!J55+'5. E1 VERKSAMHETSKOSTN.'!J56+'5. E1 VERKSAMHETSKOSTN.'!J57+'5. E1 VERKSAMHETSKOSTN.'!J58+'5. E1 VERKSAMHETSKOSTN.'!J59+'5. E1 VERKSAMHETSKOSTN.'!J65+'5. E1 VERKSAMHETSKOSTN.'!J66+'5. E1 VERKSAMHETSKOSTN.'!J68+'5. E1 VERKSAMHETSKOSTN.'!J69+'5. E1 VERKSAMHETSKOSTN.'!J74+'5. E1 VERKSAMHETSKOSTN.'!J87+'5. E1 VERKSAMHETSKOSTN.'!J88+'5. E1 VERKSAMHETSKOSTN.'!J94+'5. E1 VERKSAMHETSKOSTN.'!J99+'5. E1 VERKSAMHETSKOSTN.'!J105+'5. E1 VERKSAMHETSKOSTN.'!J108+'5. E1 VERKSAMHETSKOSTN.'!J109+'5. E1 VERKSAMHETSKOSTN.'!J110+'5. E1 VERKSAMHETSKOSTN.'!J116+'5. E1 VERKSAMHETSKOSTN.'!J117+'5. E1 VERKSAMHETSKOSTN.'!J120+'5. E1 VERKSAMHETSKOSTN.'!J122</f>
        <v>20697.591676000007</v>
      </c>
      <c r="G94" s="2543"/>
      <c r="H94" s="2542">
        <f>'5. E1 VERKSAMHETSKOSTN.'!L47+'5. E1 VERKSAMHETSKOSTN.'!L50+'5. E1 VERKSAMHETSKOSTN.'!L54+'5. E1 VERKSAMHETSKOSTN.'!L55+'5. E1 VERKSAMHETSKOSTN.'!L56+'5. E1 VERKSAMHETSKOSTN.'!L57+'5. E1 VERKSAMHETSKOSTN.'!L58+'5. E1 VERKSAMHETSKOSTN.'!L59+'5. E1 VERKSAMHETSKOSTN.'!L65+'5. E1 VERKSAMHETSKOSTN.'!L66+'5. E1 VERKSAMHETSKOSTN.'!L68+'5. E1 VERKSAMHETSKOSTN.'!L69+'5. E1 VERKSAMHETSKOSTN.'!L74+'5. E1 VERKSAMHETSKOSTN.'!L87+'5. E1 VERKSAMHETSKOSTN.'!L88+'5. E1 VERKSAMHETSKOSTN.'!L94+'5. E1 VERKSAMHETSKOSTN.'!L99+'5. E1 VERKSAMHETSKOSTN.'!L105+'5. E1 VERKSAMHETSKOSTN.'!L108+'5. E1 VERKSAMHETSKOSTN.'!L109+'5. E1 VERKSAMHETSKOSTN.'!L110+'5. E1 VERKSAMHETSKOSTN.'!L116+'5. E1 VERKSAMHETSKOSTN.'!L117+'5. E1 VERKSAMHETSKOSTN.'!L120+'5. E1 VERKSAMHETSKOSTN.'!L122</f>
        <v>21318.519426279996</v>
      </c>
      <c r="I94" s="2543"/>
      <c r="J94" s="2542"/>
      <c r="K94" s="2543"/>
    </row>
    <row r="95" spans="1:18">
      <c r="A95" s="4" t="s">
        <v>566</v>
      </c>
      <c r="B95" s="2542">
        <f>B94*'10. T5 KASSABUDGET '!$F28%</f>
        <v>4760.1815999999999</v>
      </c>
      <c r="C95" s="2543"/>
      <c r="D95" s="2542">
        <f>D94*'10. T5 KASSABUDGET '!$F28%</f>
        <v>4822.7398080000003</v>
      </c>
      <c r="E95" s="2543"/>
      <c r="F95" s="2542">
        <f>F94*'10. T5 KASSABUDGET '!$F28%</f>
        <v>4967.4220022400013</v>
      </c>
      <c r="G95" s="2543"/>
      <c r="H95" s="2542">
        <f>H94*'10. T5 KASSABUDGET '!$F28%</f>
        <v>5116.444662307199</v>
      </c>
      <c r="I95" s="2543"/>
      <c r="J95" s="404"/>
      <c r="K95" s="404"/>
    </row>
    <row r="96" spans="1:18">
      <c r="A96" s="4" t="s">
        <v>37</v>
      </c>
      <c r="B96" s="734">
        <f>'5. E1 VERKSAMHETSKOSTN.'!F48+'5. E1 VERKSAMHETSKOSTN.'!F49+'5. E1 VERKSAMHETSKOSTN.'!F51+'5. E1 VERKSAMHETSKOSTN.'!F61+'5. E1 VERKSAMHETSKOSTN.'!F62+'5. E1 VERKSAMHETSKOSTN.'!F67+'5. E1 VERKSAMHETSKOSTN.'!F79+'5. E1 VERKSAMHETSKOSTN.'!F83+'5. E1 VERKSAMHETSKOSTN.'!F86+'5. E1 VERKSAMHETSKOSTN.'!F106+'5. E1 VERKSAMHETSKOSTN.'!F111+'5. E1 VERKSAMHETSKOSTN.'!F112+'5. E1 VERKSAMHETSKOSTN.'!F118+'5. E1 VERKSAMHETSKOSTN.'!F123</f>
        <v>11269.919999999998</v>
      </c>
      <c r="C96" s="735"/>
      <c r="D96" s="2546">
        <f>'5. E1 VERKSAMHETSKOSTN.'!H48+'5. E1 VERKSAMHETSKOSTN.'!H49+'5. E1 VERKSAMHETSKOSTN.'!H51+'5. E1 VERKSAMHETSKOSTN.'!H61+'5. E1 VERKSAMHETSKOSTN.'!H62+'5. E1 VERKSAMHETSKOSTN.'!H67+'5. E1 VERKSAMHETSKOSTN.'!H79+'5. E1 VERKSAMHETSKOSTN.'!H83+'5. E1 VERKSAMHETSKOSTN.'!H86+'5. E1 VERKSAMHETSKOSTN.'!H106+'5. E1 VERKSAMHETSKOSTN.'!H111+'5. E1 VERKSAMHETSKOSTN.'!H112+'5. E1 VERKSAMHETSKOSTN.'!H118+'5. E1 VERKSAMHETSKOSTN.'!H123</f>
        <v>10340.017599999999</v>
      </c>
      <c r="E96" s="2547"/>
      <c r="F96" s="2546">
        <f>'5. E1 VERKSAMHETSKOSTN.'!J48+'5. E1 VERKSAMHETSKOSTN.'!J49+'5. E1 VERKSAMHETSKOSTN.'!J51+'5. E1 VERKSAMHETSKOSTN.'!J61+'5. E1 VERKSAMHETSKOSTN.'!J62+'5. E1 VERKSAMHETSKOSTN.'!J67+'5. E1 VERKSAMHETSKOSTN.'!J79+'5. E1 VERKSAMHETSKOSTN.'!J83+'5. E1 VERKSAMHETSKOSTN.'!J86+'5. E1 VERKSAMHETSKOSTN.'!J106+'5. E1 VERKSAMHETSKOSTN.'!J111+'5. E1 VERKSAMHETSKOSTN.'!J112+'5. E1 VERKSAMHETSKOSTN.'!J118+'5. E1 VERKSAMHETSKOSTN.'!J123</f>
        <v>10515.218128</v>
      </c>
      <c r="G96" s="2547"/>
      <c r="H96" s="2546">
        <f>'5. E1 VERKSAMHETSKOSTN.'!L48+'5. E1 VERKSAMHETSKOSTN.'!L49+'5. E1 VERKSAMHETSKOSTN.'!L51+'5. E1 VERKSAMHETSKOSTN.'!L61+'5. E1 VERKSAMHETSKOSTN.'!L62+'5. E1 VERKSAMHETSKOSTN.'!L67+'5. E1 VERKSAMHETSKOSTN.'!L79+'5. E1 VERKSAMHETSKOSTN.'!L83+'5. E1 VERKSAMHETSKOSTN.'!L86+'5. E1 VERKSAMHETSKOSTN.'!L106+'5. E1 VERKSAMHETSKOSTN.'!L111+'5. E1 VERKSAMHETSKOSTN.'!L112+'5. E1 VERKSAMHETSKOSTN.'!L118+'5. E1 VERKSAMHETSKOSTN.'!L123</f>
        <v>10695.674671839999</v>
      </c>
      <c r="I96" s="2547"/>
      <c r="J96" s="2546"/>
      <c r="K96" s="2547"/>
    </row>
    <row r="97" spans="1:19">
      <c r="A97" s="1"/>
      <c r="B97" s="130"/>
      <c r="C97" s="40"/>
      <c r="D97" s="40"/>
      <c r="E97" s="40"/>
    </row>
    <row r="98" spans="1:19">
      <c r="A98" s="1"/>
      <c r="B98" s="131"/>
      <c r="C98" s="132"/>
      <c r="D98" s="132"/>
      <c r="E98" s="132"/>
    </row>
    <row r="99" spans="1:19" ht="12.9" thickBot="1">
      <c r="A99" s="1" t="s">
        <v>85</v>
      </c>
      <c r="B99" s="49" t="e">
        <f>#REF!</f>
        <v>#REF!</v>
      </c>
      <c r="C99" s="49">
        <f>B93</f>
        <v>2023</v>
      </c>
      <c r="D99" s="49">
        <f>D93</f>
        <v>2024</v>
      </c>
      <c r="E99" s="49">
        <f>H93</f>
        <v>2026</v>
      </c>
      <c r="F99" s="49">
        <f>J93</f>
        <v>0</v>
      </c>
      <c r="G99" s="49"/>
      <c r="I99" s="34"/>
      <c r="J99" s="35"/>
      <c r="K99" s="35"/>
      <c r="L99" s="24"/>
      <c r="M99" s="35"/>
      <c r="N99" s="12"/>
      <c r="O99" s="35"/>
      <c r="P99" s="12"/>
      <c r="Q99" s="35"/>
    </row>
    <row r="100" spans="1:19">
      <c r="A100" s="221" t="s">
        <v>0</v>
      </c>
      <c r="C100" s="132"/>
      <c r="I100" s="228" t="s">
        <v>78</v>
      </c>
      <c r="J100" s="2544" t="s">
        <v>22</v>
      </c>
      <c r="K100" s="2545"/>
      <c r="L100" s="2544" t="s">
        <v>20</v>
      </c>
      <c r="M100" s="2545"/>
      <c r="N100" s="2544" t="s">
        <v>19</v>
      </c>
      <c r="O100" s="2545"/>
      <c r="P100" s="2544" t="s">
        <v>21</v>
      </c>
      <c r="Q100" s="2545"/>
      <c r="R100" s="2544" t="str">
        <f>AB3</f>
        <v>Ennuste 4</v>
      </c>
      <c r="S100" s="2545"/>
    </row>
    <row r="101" spans="1:19">
      <c r="A101" s="221" t="s">
        <v>79</v>
      </c>
      <c r="C101" s="132">
        <f>'3. &amp; 8. T3 BALANS'!G14</f>
        <v>4916</v>
      </c>
      <c r="D101" s="132">
        <f>'3. &amp; 8. T3 BALANS'!H14</f>
        <v>3932.8</v>
      </c>
      <c r="E101" s="132">
        <f>'3. &amp; 8. T3 BALANS'!I14</f>
        <v>3146.2400000000002</v>
      </c>
      <c r="F101" s="132">
        <f>'3. &amp; 8. T3 BALANS'!J14</f>
        <v>2516.9920000000002</v>
      </c>
      <c r="I101" s="37"/>
      <c r="J101" s="2540">
        <f>E4</f>
        <v>0</v>
      </c>
      <c r="K101" s="2541"/>
      <c r="L101" s="2540">
        <f>J4</f>
        <v>2023</v>
      </c>
      <c r="M101" s="2541"/>
      <c r="N101" s="2540">
        <f>P4</f>
        <v>2024</v>
      </c>
      <c r="O101" s="2541"/>
      <c r="P101" s="2540">
        <f>V4</f>
        <v>2025</v>
      </c>
      <c r="Q101" s="2541"/>
      <c r="R101" s="2540">
        <f>AB4</f>
        <v>2026</v>
      </c>
      <c r="S101" s="2541"/>
    </row>
    <row r="102" spans="1:19">
      <c r="A102" s="123" t="s">
        <v>86</v>
      </c>
      <c r="B102" s="131">
        <f>'3. &amp; 8. T3 BALANS'!G15</f>
        <v>0</v>
      </c>
      <c r="C102" s="132">
        <f>'3. &amp; 8. T3 BALANS'!H15</f>
        <v>0</v>
      </c>
      <c r="D102" s="132">
        <f>'3. &amp; 8. T3 BALANS'!I15</f>
        <v>0</v>
      </c>
      <c r="E102" s="132">
        <f>'3. &amp; 8. T3 BALANS'!J15</f>
        <v>0</v>
      </c>
      <c r="F102" s="132">
        <f>'3. &amp; 8. T3 BALANS'!K15</f>
        <v>0</v>
      </c>
      <c r="G102" s="40"/>
      <c r="H102" s="40"/>
      <c r="I102" s="227" t="s">
        <v>77</v>
      </c>
      <c r="J102" s="229">
        <f>'5. E1 VERKSAMHETSKOSTN.'!D43+'5. E1 VERKSAMHETSKOSTN.'!D61+'5. E1 VERKSAMHETSKOSTN.'!D67+'5. E1 VERKSAMHETSKOSTN.'!D113+'5. E1 VERKSAMHETSKOSTN.'!D114+'5. E1 VERKSAMHETSKOSTN.'!D115</f>
        <v>2030</v>
      </c>
      <c r="K102" s="20"/>
      <c r="L102" s="229">
        <f>'5. E1 VERKSAMHETSKOSTN.'!F43+'5. E1 VERKSAMHETSKOSTN.'!F61+'5. E1 VERKSAMHETSKOSTN.'!F67+'5. E1 VERKSAMHETSKOSTN.'!F113+'5. E1 VERKSAMHETSKOSTN.'!F114+'5. E1 VERKSAMHETSKOSTN.'!F115</f>
        <v>2840.9</v>
      </c>
      <c r="M102" s="20"/>
      <c r="N102" s="229">
        <f>'5. E1 VERKSAMHETSKOSTN.'!H43+'5. E1 VERKSAMHETSKOSTN.'!H61+'5. E1 VERKSAMHETSKOSTN.'!H67+'5. E1 VERKSAMHETSKOSTN.'!H113+'5. E1 VERKSAMHETSKOSTN.'!H114+'5. E1 VERKSAMHETSKOSTN.'!H115</f>
        <v>2926.127</v>
      </c>
      <c r="O102" s="20"/>
      <c r="P102" s="229">
        <f>'5. E1 VERKSAMHETSKOSTN.'!J43+'5. E1 VERKSAMHETSKOSTN.'!J61+'5. E1 VERKSAMHETSKOSTN.'!J67+'5. E1 VERKSAMHETSKOSTN.'!J113+'5. E1 VERKSAMHETSKOSTN.'!J114+'5. E1 VERKSAMHETSKOSTN.'!J115</f>
        <v>3013.9108099999999</v>
      </c>
      <c r="Q102" s="20"/>
      <c r="R102" s="229">
        <f>'5. E1 VERKSAMHETSKOSTN.'!L43+'5. E1 VERKSAMHETSKOSTN.'!L61+'5. E1 VERKSAMHETSKOSTN.'!L67+'5. E1 VERKSAMHETSKOSTN.'!L113+'5. E1 VERKSAMHETSKOSTN.'!L114+'5. E1 VERKSAMHETSKOSTN.'!L115</f>
        <v>3104.3281342999999</v>
      </c>
    </row>
    <row r="103" spans="1:19">
      <c r="A103" s="125" t="s">
        <v>87</v>
      </c>
      <c r="B103" s="131">
        <f>'3. &amp; 8. T3 BALANS'!G16</f>
        <v>0</v>
      </c>
      <c r="C103" s="132">
        <f>'3. &amp; 8. T3 BALANS'!H16</f>
        <v>0</v>
      </c>
      <c r="D103" s="132">
        <f>'3. &amp; 8. T3 BALANS'!I16</f>
        <v>0</v>
      </c>
      <c r="E103" s="132">
        <f>'3. &amp; 8. T3 BALANS'!J16</f>
        <v>0</v>
      </c>
      <c r="F103" s="132">
        <f>'3. &amp; 8. T3 BALANS'!K16</f>
        <v>0</v>
      </c>
      <c r="G103" s="132"/>
      <c r="H103" s="132"/>
      <c r="I103" s="37" t="s">
        <v>84</v>
      </c>
      <c r="J103" s="35"/>
      <c r="K103" s="35"/>
      <c r="L103" s="583" t="e">
        <f>'5. E1 VERKSAMHETSKOSTN.'!F47+'5. E1 VERKSAMHETSKOSTN.'!F48+'5. E1 VERKSAMHETSKOSTN.'!F50+'5. E1 VERKSAMHETSKOSTN.'!F52-'5. E1 VERKSAMHETSKOSTN.'!F61-'5. E1 VERKSAMHETSKOSTN.'!F62+'5. E1 VERKSAMHETSKOSTN.'!F63-'5. E1 VERKSAMHETSKOSTN.'!F67+'5. E1 VERKSAMHETSKOSTN.'!F69+'5. E1 VERKSAMHETSKOSTN.'!F74+'5. E1 VERKSAMHETSKOSTN.'!F79+'5. E1 VERKSAMHETSKOSTN.'!F87+'5. E1 VERKSAMHETSKOSTN.'!F88+'5. E1 VERKSAMHETSKOSTN.'!F95+'5. E1 VERKSAMHETSKOSTN.'!F98+'5. E1 VERKSAMHETSKOSTN.'!F99+'5. E1 VERKSAMHETSKOSTN.'!F107+'5. E1 VERKSAMHETSKOSTN.'!F116+'5. E1 VERKSAMHETSKOSTN.'!F117+'5. E1 VERKSAMHETSKOSTN.'!#REF!</f>
        <v>#REF!</v>
      </c>
      <c r="M103" s="583" t="e">
        <f>'5. E1 VERKSAMHETSKOSTN.'!G47+'5. E1 VERKSAMHETSKOSTN.'!G48+'5. E1 VERKSAMHETSKOSTN.'!G50+'5. E1 VERKSAMHETSKOSTN.'!G52-'5. E1 VERKSAMHETSKOSTN.'!G61-'5. E1 VERKSAMHETSKOSTN.'!G62+'5. E1 VERKSAMHETSKOSTN.'!G63-'5. E1 VERKSAMHETSKOSTN.'!G67+'5. E1 VERKSAMHETSKOSTN.'!G69+'5. E1 VERKSAMHETSKOSTN.'!G74+'5. E1 VERKSAMHETSKOSTN.'!G79+'5. E1 VERKSAMHETSKOSTN.'!G87+'5. E1 VERKSAMHETSKOSTN.'!G88+'5. E1 VERKSAMHETSKOSTN.'!G95+'5. E1 VERKSAMHETSKOSTN.'!G98+'5. E1 VERKSAMHETSKOSTN.'!G99+'5. E1 VERKSAMHETSKOSTN.'!G107+'5. E1 VERKSAMHETSKOSTN.'!G116+'5. E1 VERKSAMHETSKOSTN.'!G117+'5. E1 VERKSAMHETSKOSTN.'!#REF!</f>
        <v>#REF!</v>
      </c>
      <c r="N103" s="583" t="e">
        <f>'5. E1 VERKSAMHETSKOSTN.'!H47+'5. E1 VERKSAMHETSKOSTN.'!H48+'5. E1 VERKSAMHETSKOSTN.'!H50+'5. E1 VERKSAMHETSKOSTN.'!H52-'5. E1 VERKSAMHETSKOSTN.'!H61-'5. E1 VERKSAMHETSKOSTN.'!H62+'5. E1 VERKSAMHETSKOSTN.'!H63-'5. E1 VERKSAMHETSKOSTN.'!H67+'5. E1 VERKSAMHETSKOSTN.'!H69+'5. E1 VERKSAMHETSKOSTN.'!H74+'5. E1 VERKSAMHETSKOSTN.'!H79+'5. E1 VERKSAMHETSKOSTN.'!H87+'5. E1 VERKSAMHETSKOSTN.'!H88+'5. E1 VERKSAMHETSKOSTN.'!H95+'5. E1 VERKSAMHETSKOSTN.'!H98+'5. E1 VERKSAMHETSKOSTN.'!H99+'5. E1 VERKSAMHETSKOSTN.'!H107+'5. E1 VERKSAMHETSKOSTN.'!H116+'5. E1 VERKSAMHETSKOSTN.'!H117+'5. E1 VERKSAMHETSKOSTN.'!#REF!</f>
        <v>#REF!</v>
      </c>
      <c r="O103" s="583" t="e">
        <f>'5. E1 VERKSAMHETSKOSTN.'!I47+'5. E1 VERKSAMHETSKOSTN.'!I48+'5. E1 VERKSAMHETSKOSTN.'!I50+'5. E1 VERKSAMHETSKOSTN.'!I52-'5. E1 VERKSAMHETSKOSTN.'!I61-'5. E1 VERKSAMHETSKOSTN.'!I62+'5. E1 VERKSAMHETSKOSTN.'!I63-'5. E1 VERKSAMHETSKOSTN.'!I67+'5. E1 VERKSAMHETSKOSTN.'!I69+'5. E1 VERKSAMHETSKOSTN.'!I74+'5. E1 VERKSAMHETSKOSTN.'!I79+'5. E1 VERKSAMHETSKOSTN.'!I87+'5. E1 VERKSAMHETSKOSTN.'!I88+'5. E1 VERKSAMHETSKOSTN.'!I95+'5. E1 VERKSAMHETSKOSTN.'!I98+'5. E1 VERKSAMHETSKOSTN.'!I99+'5. E1 VERKSAMHETSKOSTN.'!I107+'5. E1 VERKSAMHETSKOSTN.'!I116+'5. E1 VERKSAMHETSKOSTN.'!I117+'5. E1 VERKSAMHETSKOSTN.'!#REF!</f>
        <v>#REF!</v>
      </c>
      <c r="P103" s="583" t="e">
        <f>'5. E1 VERKSAMHETSKOSTN.'!J47+'5. E1 VERKSAMHETSKOSTN.'!J48+'5. E1 VERKSAMHETSKOSTN.'!J50+'5. E1 VERKSAMHETSKOSTN.'!J52-'5. E1 VERKSAMHETSKOSTN.'!J61-'5. E1 VERKSAMHETSKOSTN.'!J62+'5. E1 VERKSAMHETSKOSTN.'!J63-'5. E1 VERKSAMHETSKOSTN.'!J67+'5. E1 VERKSAMHETSKOSTN.'!J69+'5. E1 VERKSAMHETSKOSTN.'!J74+'5. E1 VERKSAMHETSKOSTN.'!J79+'5. E1 VERKSAMHETSKOSTN.'!J87+'5. E1 VERKSAMHETSKOSTN.'!J88+'5. E1 VERKSAMHETSKOSTN.'!J95+'5. E1 VERKSAMHETSKOSTN.'!J98+'5. E1 VERKSAMHETSKOSTN.'!J99+'5. E1 VERKSAMHETSKOSTN.'!J107+'5. E1 VERKSAMHETSKOSTN.'!J116+'5. E1 VERKSAMHETSKOSTN.'!J117+'5. E1 VERKSAMHETSKOSTN.'!#REF!</f>
        <v>#REF!</v>
      </c>
      <c r="Q103" s="583" t="e">
        <f>'5. E1 VERKSAMHETSKOSTN.'!K47+'5. E1 VERKSAMHETSKOSTN.'!K48+'5. E1 VERKSAMHETSKOSTN.'!K50+'5. E1 VERKSAMHETSKOSTN.'!K52-'5. E1 VERKSAMHETSKOSTN.'!K61-'5. E1 VERKSAMHETSKOSTN.'!K62+'5. E1 VERKSAMHETSKOSTN.'!K63-'5. E1 VERKSAMHETSKOSTN.'!K67+'5. E1 VERKSAMHETSKOSTN.'!K69+'5. E1 VERKSAMHETSKOSTN.'!K74+'5. E1 VERKSAMHETSKOSTN.'!K79+'5. E1 VERKSAMHETSKOSTN.'!K87+'5. E1 VERKSAMHETSKOSTN.'!K88+'5. E1 VERKSAMHETSKOSTN.'!K95+'5. E1 VERKSAMHETSKOSTN.'!K98+'5. E1 VERKSAMHETSKOSTN.'!K99+'5. E1 VERKSAMHETSKOSTN.'!K107+'5. E1 VERKSAMHETSKOSTN.'!K116+'5. E1 VERKSAMHETSKOSTN.'!K117+'5. E1 VERKSAMHETSKOSTN.'!#REF!</f>
        <v>#REF!</v>
      </c>
      <c r="R103" s="583" t="e">
        <f>'5. E1 VERKSAMHETSKOSTN.'!L47+'5. E1 VERKSAMHETSKOSTN.'!L48+'5. E1 VERKSAMHETSKOSTN.'!L50+'5. E1 VERKSAMHETSKOSTN.'!L52-'5. E1 VERKSAMHETSKOSTN.'!L61-'5. E1 VERKSAMHETSKOSTN.'!L62+'5. E1 VERKSAMHETSKOSTN.'!L63-'5. E1 VERKSAMHETSKOSTN.'!L67+'5. E1 VERKSAMHETSKOSTN.'!L69+'5. E1 VERKSAMHETSKOSTN.'!L74+'5. E1 VERKSAMHETSKOSTN.'!L79+'5. E1 VERKSAMHETSKOSTN.'!L87+'5. E1 VERKSAMHETSKOSTN.'!L88+'5. E1 VERKSAMHETSKOSTN.'!L95+'5. E1 VERKSAMHETSKOSTN.'!L98+'5. E1 VERKSAMHETSKOSTN.'!L99+'5. E1 VERKSAMHETSKOSTN.'!L107+'5. E1 VERKSAMHETSKOSTN.'!L116+'5. E1 VERKSAMHETSKOSTN.'!L117+'5. E1 VERKSAMHETSKOSTN.'!#REF!</f>
        <v>#REF!</v>
      </c>
    </row>
    <row r="104" spans="1:19">
      <c r="A104" s="123" t="s">
        <v>88</v>
      </c>
      <c r="B104" s="131">
        <f>'3. &amp; 8. T3 BALANS'!G17</f>
        <v>0</v>
      </c>
      <c r="C104" s="132">
        <f>'3. &amp; 8. T3 BALANS'!H17</f>
        <v>983.2</v>
      </c>
      <c r="D104" s="132">
        <f>'3. &amp; 8. T3 BALANS'!I17</f>
        <v>786.56000000000006</v>
      </c>
      <c r="E104" s="132">
        <f>'3. &amp; 8. T3 BALANS'!J17</f>
        <v>629.24800000000005</v>
      </c>
      <c r="F104" s="132">
        <f>'3. &amp; 8. T3 BALANS'!K17</f>
        <v>503.39840000000004</v>
      </c>
      <c r="I104" s="34"/>
      <c r="J104" s="20"/>
      <c r="K104" s="20"/>
      <c r="L104" s="11"/>
      <c r="M104" s="20"/>
      <c r="N104" s="11"/>
      <c r="O104" s="20"/>
      <c r="P104" s="11"/>
      <c r="Q104" s="20"/>
    </row>
    <row r="105" spans="1:19">
      <c r="A105" s="123" t="str">
        <f>'3. &amp; 8. T3 BALANS'!C18</f>
        <v>Materiella nyttigheter</v>
      </c>
      <c r="B105" s="131">
        <f>'3. &amp; 8. T3 BALANS'!G18</f>
        <v>7170</v>
      </c>
      <c r="C105" s="132">
        <f>'3. &amp; 8. T3 BALANS'!H18</f>
        <v>216478</v>
      </c>
      <c r="D105" s="132">
        <f>'3. &amp; 8. T3 BALANS'!I18</f>
        <v>198200.86</v>
      </c>
      <c r="E105" s="132">
        <f>'3. &amp; 8. T3 BALANS'!J18</f>
        <v>181976.25580000001</v>
      </c>
      <c r="F105" s="132">
        <f>'3. &amp; 8. T3 BALANS'!K18</f>
        <v>167505.882694</v>
      </c>
    </row>
    <row r="106" spans="1:19">
      <c r="A106" s="123" t="str">
        <f>'3. &amp; 8. T3 BALANS'!C19</f>
        <v xml:space="preserve">1. Jord- och vattenområde </v>
      </c>
      <c r="B106" s="131">
        <f>'3. &amp; 8. T3 BALANS'!G19</f>
        <v>0</v>
      </c>
      <c r="C106" s="132">
        <f>'3. &amp; 8. T3 BALANS'!H19</f>
        <v>10600</v>
      </c>
      <c r="D106" s="132">
        <f>'3. &amp; 8. T3 BALANS'!I19</f>
        <v>10600</v>
      </c>
      <c r="E106" s="132">
        <f>'3. &amp; 8. T3 BALANS'!J19</f>
        <v>10600</v>
      </c>
      <c r="F106" s="132">
        <f>'3. &amp; 8. T3 BALANS'!K19</f>
        <v>10600</v>
      </c>
    </row>
    <row r="107" spans="1:19" s="2" customFormat="1">
      <c r="A107" s="123" t="str">
        <f>'3. &amp; 8. T3 BALANS'!C20</f>
        <v xml:space="preserve"> - Tillägg under räkenskapsperioden</v>
      </c>
      <c r="B107" s="131">
        <f>'3. &amp; 8. T3 BALANS'!G20</f>
        <v>0</v>
      </c>
      <c r="C107" s="132">
        <f>'3. &amp; 8. T3 BALANS'!H20</f>
        <v>10600</v>
      </c>
      <c r="D107" s="132">
        <f>'3. &amp; 8. T3 BALANS'!I20</f>
        <v>0</v>
      </c>
      <c r="E107" s="132">
        <f>'3. &amp; 8. T3 BALANS'!J20</f>
        <v>0</v>
      </c>
      <c r="F107" s="132">
        <f>'3. &amp; 8. T3 BALANS'!K20</f>
        <v>0</v>
      </c>
    </row>
    <row r="108" spans="1:19">
      <c r="A108" s="123" t="str">
        <f>'3. &amp; 8. T3 BALANS'!C21</f>
        <v xml:space="preserve"> - Minskningar under räkenskaps-perioden, linjär avskrivning</v>
      </c>
      <c r="B108" s="131">
        <f>'3. &amp; 8. T3 BALANS'!G21</f>
        <v>0</v>
      </c>
      <c r="C108" s="132">
        <f>'3. &amp; 8. T3 BALANS'!H21</f>
        <v>0</v>
      </c>
      <c r="D108" s="132">
        <f>'3. &amp; 8. T3 BALANS'!I21</f>
        <v>0</v>
      </c>
      <c r="E108" s="132">
        <f>'3. &amp; 8. T3 BALANS'!J21</f>
        <v>0</v>
      </c>
      <c r="F108" s="132">
        <f>'3. &amp; 8. T3 BALANS'!K21</f>
        <v>0</v>
      </c>
    </row>
    <row r="109" spans="1:19">
      <c r="A109" s="123" t="str">
        <f>'3. &amp; 8. T3 BALANS'!C22</f>
        <v>2. Byggnader och konstruktioner</v>
      </c>
      <c r="B109" s="131">
        <f>'3. &amp; 8. T3 BALANS'!G22</f>
        <v>0</v>
      </c>
      <c r="C109" s="132">
        <f>'3. &amp; 8. T3 BALANS'!H22</f>
        <v>176142</v>
      </c>
      <c r="D109" s="132">
        <f>'3. &amp; 8. T3 BALANS'!I22</f>
        <v>163812.06</v>
      </c>
      <c r="E109" s="132">
        <f>'3. &amp; 8. T3 BALANS'!J22</f>
        <v>152345.21580000001</v>
      </c>
      <c r="F109" s="132">
        <f>'3. &amp; 8. T3 BALANS'!K22</f>
        <v>141681.05069400001</v>
      </c>
    </row>
    <row r="110" spans="1:19">
      <c r="A110" s="123" t="str">
        <f>'3. &amp; 8. T3 BALANS'!C23</f>
        <v xml:space="preserve"> - Tillägg under räkenskapsperioden</v>
      </c>
      <c r="B110" s="131">
        <f>'3. &amp; 8. T3 BALANS'!G23</f>
        <v>0</v>
      </c>
      <c r="C110" s="132">
        <f>'3. &amp; 8. T3 BALANS'!H23</f>
        <v>189400</v>
      </c>
      <c r="D110" s="132">
        <f>'3. &amp; 8. T3 BALANS'!I23</f>
        <v>0</v>
      </c>
      <c r="E110" s="132">
        <f>'3. &amp; 8. T3 BALANS'!J23</f>
        <v>0</v>
      </c>
      <c r="F110" s="132">
        <f>'3. &amp; 8. T3 BALANS'!K23</f>
        <v>0</v>
      </c>
    </row>
    <row r="111" spans="1:19">
      <c r="A111" s="123" t="str">
        <f>'3. &amp; 8. T3 BALANS'!C24</f>
        <v xml:space="preserve"> - Minskningar under räkenskaps-perioden, linjär avskrivning</v>
      </c>
      <c r="B111" s="131">
        <f>'3. &amp; 8. T3 BALANS'!G24</f>
        <v>0</v>
      </c>
      <c r="C111" s="132">
        <f>'3. &amp; 8. T3 BALANS'!H24</f>
        <v>0</v>
      </c>
      <c r="D111" s="132">
        <f>'3. &amp; 8. T3 BALANS'!I24</f>
        <v>0</v>
      </c>
      <c r="E111" s="132">
        <f>'3. &amp; 8. T3 BALANS'!J24</f>
        <v>0</v>
      </c>
      <c r="F111" s="132">
        <f>'3. &amp; 8. T3 BALANS'!K24</f>
        <v>0</v>
      </c>
    </row>
    <row r="112" spans="1:19">
      <c r="A112" s="123" t="str">
        <f>'3. &amp; 8. T3 BALANS'!C25</f>
        <v xml:space="preserve"> - Avskrivningar</v>
      </c>
      <c r="B112" s="131">
        <f>'3. &amp; 8. T3 BALANS'!G25</f>
        <v>0</v>
      </c>
      <c r="C112" s="132">
        <f>'3. &amp; 8. T3 BALANS'!H25</f>
        <v>13258.000000000002</v>
      </c>
      <c r="D112" s="132">
        <f>'3. &amp; 8. T3 BALANS'!I25</f>
        <v>12329.94</v>
      </c>
      <c r="E112" s="132">
        <f>'3. &amp; 8. T3 BALANS'!J25</f>
        <v>11466.844200000001</v>
      </c>
      <c r="F112" s="132">
        <f>'3. &amp; 8. T3 BALANS'!K25</f>
        <v>10664.165106000002</v>
      </c>
    </row>
    <row r="113" spans="1:6">
      <c r="A113" s="123" t="str">
        <f>'3. &amp; 8. T3 BALANS'!C26</f>
        <v xml:space="preserve">3. Maskiner och anläggningar </v>
      </c>
      <c r="B113" s="131">
        <f>'3. &amp; 8. T3 BALANS'!G26</f>
        <v>7170</v>
      </c>
      <c r="C113" s="132">
        <f>'3. &amp; 8. T3 BALANS'!H26</f>
        <v>29736</v>
      </c>
      <c r="D113" s="132">
        <f>'3. &amp; 8. T3 BALANS'!I26</f>
        <v>23788.799999999999</v>
      </c>
      <c r="E113" s="132">
        <f>'3. &amp; 8. T3 BALANS'!J26</f>
        <v>19031.04</v>
      </c>
      <c r="F113" s="132">
        <f>'3. &amp; 8. T3 BALANS'!K26</f>
        <v>15224.832</v>
      </c>
    </row>
    <row r="114" spans="1:6">
      <c r="A114" s="123" t="str">
        <f>'3. &amp; 8. T3 BALANS'!C27</f>
        <v xml:space="preserve"> - Tillägg under räkenskapsperioden</v>
      </c>
      <c r="B114" s="131">
        <f>'3. &amp; 8. T3 BALANS'!G27</f>
        <v>0</v>
      </c>
      <c r="C114" s="132">
        <f>'3. &amp; 8. T3 BALANS'!H27</f>
        <v>30000</v>
      </c>
      <c r="D114" s="132">
        <f>'3. &amp; 8. T3 BALANS'!I27</f>
        <v>0</v>
      </c>
      <c r="E114" s="132">
        <f>'3. &amp; 8. T3 BALANS'!J27</f>
        <v>0</v>
      </c>
      <c r="F114" s="132">
        <f>'3. &amp; 8. T3 BALANS'!K27</f>
        <v>0</v>
      </c>
    </row>
    <row r="115" spans="1:6">
      <c r="A115" s="123" t="str">
        <f>'3. &amp; 8. T3 BALANS'!C28</f>
        <v xml:space="preserve"> - Minskningar under räkenskaps-perioden, linjär avskrivning</v>
      </c>
      <c r="B115" s="131">
        <f>'3. &amp; 8. T3 BALANS'!G28</f>
        <v>0</v>
      </c>
      <c r="C115" s="132">
        <f>'3. &amp; 8. T3 BALANS'!H28</f>
        <v>0</v>
      </c>
      <c r="D115" s="132">
        <f>'3. &amp; 8. T3 BALANS'!I28</f>
        <v>0</v>
      </c>
      <c r="E115" s="132">
        <f>'3. &amp; 8. T3 BALANS'!J28</f>
        <v>0</v>
      </c>
      <c r="F115" s="132">
        <f>'3. &amp; 8. T3 BALANS'!K28</f>
        <v>0</v>
      </c>
    </row>
    <row r="116" spans="1:6">
      <c r="A116" s="123" t="str">
        <f>'3. &amp; 8. T3 BALANS'!C29</f>
        <v xml:space="preserve"> - Avskrivningar</v>
      </c>
      <c r="B116" s="131">
        <f>'3. &amp; 8. T3 BALANS'!G29</f>
        <v>0</v>
      </c>
      <c r="C116" s="132">
        <f>'3. &amp; 8. T3 BALANS'!H29</f>
        <v>7434</v>
      </c>
      <c r="D116" s="132">
        <f>'3. &amp; 8. T3 BALANS'!I29</f>
        <v>5947.2000000000007</v>
      </c>
      <c r="E116" s="132">
        <f>'3. &amp; 8. T3 BALANS'!J29</f>
        <v>4757.76</v>
      </c>
      <c r="F116" s="132">
        <f>'3. &amp; 8. T3 BALANS'!K29</f>
        <v>3806.2080000000005</v>
      </c>
    </row>
    <row r="117" spans="1:6">
      <c r="A117" s="123" t="str">
        <f>'3. &amp; 8. T3 BALANS'!C30</f>
        <v>4. Övriga materiella nyttigheter</v>
      </c>
      <c r="B117" s="131">
        <f>'3. &amp; 8. T3 BALANS'!G30</f>
        <v>0</v>
      </c>
      <c r="C117" s="132">
        <f>'3. &amp; 8. T3 BALANS'!H30</f>
        <v>0</v>
      </c>
      <c r="D117" s="132">
        <f>'3. &amp; 8. T3 BALANS'!I30</f>
        <v>0</v>
      </c>
      <c r="E117" s="132">
        <f>'3. &amp; 8. T3 BALANS'!J30</f>
        <v>0</v>
      </c>
      <c r="F117" s="132">
        <f>'3. &amp; 8. T3 BALANS'!K30</f>
        <v>0</v>
      </c>
    </row>
    <row r="118" spans="1:6">
      <c r="A118" s="123" t="str">
        <f>'3. &amp; 8. T3 BALANS'!C31</f>
        <v xml:space="preserve"> - Tillägg under räkenskapsperioden</v>
      </c>
      <c r="B118" s="131">
        <f>'3. &amp; 8. T3 BALANS'!G31</f>
        <v>0</v>
      </c>
      <c r="C118" s="132">
        <f>'3. &amp; 8. T3 BALANS'!H31</f>
        <v>0</v>
      </c>
      <c r="D118" s="132">
        <f>'3. &amp; 8. T3 BALANS'!I31</f>
        <v>0</v>
      </c>
      <c r="E118" s="132">
        <f>'3. &amp; 8. T3 BALANS'!J31</f>
        <v>0</v>
      </c>
      <c r="F118" s="132">
        <f>'3. &amp; 8. T3 BALANS'!K31</f>
        <v>0</v>
      </c>
    </row>
    <row r="119" spans="1:6">
      <c r="A119" s="123" t="str">
        <f>'3. &amp; 8. T3 BALANS'!C32</f>
        <v xml:space="preserve"> - Minskningar under räkenskaps-perioden, linjär avskrivning</v>
      </c>
      <c r="B119" s="131">
        <f>'3. &amp; 8. T3 BALANS'!G32</f>
        <v>0</v>
      </c>
      <c r="C119" s="132">
        <f>'3. &amp; 8. T3 BALANS'!H32</f>
        <v>0</v>
      </c>
      <c r="D119" s="132">
        <f>'3. &amp; 8. T3 BALANS'!I32</f>
        <v>0</v>
      </c>
      <c r="E119" s="132">
        <f>'3. &amp; 8. T3 BALANS'!J32</f>
        <v>0</v>
      </c>
      <c r="F119" s="132">
        <f>'3. &amp; 8. T3 BALANS'!K32</f>
        <v>0</v>
      </c>
    </row>
    <row r="120" spans="1:6">
      <c r="A120" s="123" t="str">
        <f>'3. &amp; 8. T3 BALANS'!C33</f>
        <v xml:space="preserve"> - Avskrivningar</v>
      </c>
      <c r="B120" s="131">
        <f>'3. &amp; 8. T3 BALANS'!G33</f>
        <v>0</v>
      </c>
      <c r="C120" s="132">
        <f>'3. &amp; 8. T3 BALANS'!H33</f>
        <v>0</v>
      </c>
      <c r="D120" s="132">
        <f>'3. &amp; 8. T3 BALANS'!I33</f>
        <v>0</v>
      </c>
      <c r="E120" s="132">
        <f>'3. &amp; 8. T3 BALANS'!J33</f>
        <v>0</v>
      </c>
      <c r="F120" s="132">
        <f>'3. &amp; 8. T3 BALANS'!K33</f>
        <v>0</v>
      </c>
    </row>
    <row r="121" spans="1:6">
      <c r="A121" s="123" t="str">
        <f>'3. &amp; 8. T3 BALANS'!C34</f>
        <v>Placeringar</v>
      </c>
      <c r="B121" s="131">
        <f>'3. &amp; 8. T3 BALANS'!G34</f>
        <v>0</v>
      </c>
      <c r="C121" s="132">
        <f>'3. &amp; 8. T3 BALANS'!H34</f>
        <v>0</v>
      </c>
      <c r="D121" s="132">
        <f>'3. &amp; 8. T3 BALANS'!I34</f>
        <v>0</v>
      </c>
      <c r="E121" s="132">
        <f>'3. &amp; 8. T3 BALANS'!J34</f>
        <v>0</v>
      </c>
      <c r="F121" s="132">
        <f>'3. &amp; 8. T3 BALANS'!K34</f>
        <v>0</v>
      </c>
    </row>
    <row r="122" spans="1:6">
      <c r="A122" s="121" t="s">
        <v>90</v>
      </c>
      <c r="B122" s="135"/>
      <c r="C122" s="135">
        <f t="shared" ref="C122:E123" si="28">C102+C107+C110+C114+C118</f>
        <v>230000</v>
      </c>
      <c r="D122" s="135">
        <f t="shared" si="28"/>
        <v>0</v>
      </c>
      <c r="E122" s="135">
        <f t="shared" si="28"/>
        <v>0</v>
      </c>
      <c r="F122" s="135">
        <f>F102+F107+F110+F114+F118</f>
        <v>0</v>
      </c>
    </row>
    <row r="123" spans="1:6">
      <c r="A123" s="2" t="s">
        <v>91</v>
      </c>
      <c r="C123" s="135">
        <f t="shared" si="28"/>
        <v>0</v>
      </c>
      <c r="D123" s="135">
        <f t="shared" si="28"/>
        <v>0</v>
      </c>
      <c r="E123" s="135">
        <f t="shared" si="28"/>
        <v>0</v>
      </c>
      <c r="F123" s="135">
        <f>F103+F108+F111+F115+F119</f>
        <v>0</v>
      </c>
    </row>
    <row r="124" spans="1:6">
      <c r="A124" s="126" t="s">
        <v>92</v>
      </c>
      <c r="B124" s="135"/>
      <c r="C124" s="135">
        <f>C104+C112+C116+C120</f>
        <v>21675.200000000004</v>
      </c>
      <c r="D124" s="135">
        <f>D104+D112+D116+D120</f>
        <v>19063.7</v>
      </c>
      <c r="E124" s="135">
        <f>E104+E112+E116+E120</f>
        <v>16853.852200000001</v>
      </c>
      <c r="F124" s="135">
        <f>F104+F112+F116+F120</f>
        <v>14973.771506000003</v>
      </c>
    </row>
    <row r="125" spans="1:6">
      <c r="A125" s="121"/>
    </row>
    <row r="126" spans="1:6" s="2" customFormat="1">
      <c r="A126" s="121" t="s">
        <v>89</v>
      </c>
      <c r="B126" s="132">
        <f>'3. &amp; 8. T3 BALANS'!G56</f>
        <v>8768</v>
      </c>
      <c r="C126" s="136">
        <f>B126+C127-C128</f>
        <v>-7687.6567102921363</v>
      </c>
      <c r="D126" s="136">
        <f>C126+D127-D128</f>
        <v>14747.174458096444</v>
      </c>
      <c r="E126" s="136">
        <f>D126+E127-E128</f>
        <v>64093.086176908771</v>
      </c>
    </row>
    <row r="127" spans="1:6">
      <c r="A127" s="122" t="s">
        <v>93</v>
      </c>
      <c r="B127" s="128"/>
      <c r="C127" s="294">
        <f>'2. &amp; 7. T2  RESULTATB.'!I31</f>
        <v>-15754.216710292136</v>
      </c>
      <c r="D127" s="294">
        <f>'2. &amp; 7. T2  RESULTATB.'!K31</f>
        <v>22434.83116838858</v>
      </c>
      <c r="E127" s="294">
        <f>'2. &amp; 7. T2  RESULTATB.'!M31</f>
        <v>50525.685675460045</v>
      </c>
    </row>
    <row r="128" spans="1:6">
      <c r="A128" s="2" t="s">
        <v>94</v>
      </c>
      <c r="B128" s="129"/>
      <c r="C128" s="129">
        <f>'9. T4 FINANSIERINGSB. '!H39</f>
        <v>701.44</v>
      </c>
      <c r="D128" s="129">
        <f>'9. T4 FINANSIERINGSB. '!I39</f>
        <v>0</v>
      </c>
      <c r="E128" s="129">
        <f>'9. T4 FINANSIERINGSB. '!J39</f>
        <v>1179.7739566477155</v>
      </c>
    </row>
    <row r="129" spans="1:5">
      <c r="A129" s="2" t="s">
        <v>95</v>
      </c>
      <c r="B129" s="131"/>
      <c r="C129" s="132">
        <f>C102+C107+C110+C114+C118-C103-C108-C111-C115-C119</f>
        <v>230000</v>
      </c>
      <c r="D129" s="132">
        <f>D102+D107+D110+D114+D118-D103-D108-D111-D115-D119</f>
        <v>0</v>
      </c>
      <c r="E129" s="132">
        <f>E102+E107+E110+E114+E118-E103-E108-E111-E115-E119</f>
        <v>0</v>
      </c>
    </row>
    <row r="130" spans="1:5">
      <c r="A130" s="1"/>
      <c r="B130" s="131"/>
      <c r="C130" s="131"/>
      <c r="D130" s="131"/>
      <c r="E130" s="131"/>
    </row>
    <row r="131" spans="1:5">
      <c r="A131" s="123"/>
      <c r="C131"/>
    </row>
    <row r="132" spans="1:5">
      <c r="A132" s="123"/>
      <c r="B132" s="132"/>
      <c r="C132" s="132"/>
      <c r="D132" s="132"/>
      <c r="E132" s="132"/>
    </row>
    <row r="133" spans="1:5">
      <c r="A133" s="123"/>
      <c r="B133" s="131"/>
      <c r="C133" s="132"/>
      <c r="D133" s="132"/>
      <c r="E133" s="132"/>
    </row>
    <row r="134" spans="1:5">
      <c r="A134" s="124"/>
      <c r="B134" s="131"/>
      <c r="C134" s="132"/>
      <c r="D134" s="132"/>
      <c r="E134" s="132"/>
    </row>
    <row r="135" spans="1:5">
      <c r="A135" s="123"/>
      <c r="B135" s="131"/>
      <c r="C135" s="132"/>
      <c r="D135" s="132"/>
      <c r="E135" s="132"/>
    </row>
    <row r="136" spans="1:5" s="66" customFormat="1" ht="12.9">
      <c r="B136" s="137"/>
      <c r="C136" s="137"/>
      <c r="D136" s="137"/>
      <c r="E136" s="137"/>
    </row>
    <row r="137" spans="1:5">
      <c r="A137" s="122"/>
      <c r="B137" s="128"/>
      <c r="C137" s="128"/>
      <c r="D137" s="128"/>
      <c r="E137" s="128"/>
    </row>
    <row r="138" spans="1:5">
      <c r="A138" s="1"/>
      <c r="B138" s="127"/>
      <c r="C138" s="127"/>
      <c r="D138" s="127"/>
      <c r="E138" s="127"/>
    </row>
    <row r="139" spans="1:5">
      <c r="A139" s="1"/>
      <c r="B139" s="131"/>
      <c r="C139" s="131"/>
      <c r="D139" s="131"/>
      <c r="E139" s="131"/>
    </row>
    <row r="140" spans="1:5">
      <c r="A140" s="1"/>
      <c r="B140" s="131"/>
      <c r="C140" s="131"/>
      <c r="D140" s="131"/>
      <c r="E140" s="131"/>
    </row>
    <row r="141" spans="1:5">
      <c r="A141" s="123"/>
      <c r="C141"/>
    </row>
    <row r="142" spans="1:5">
      <c r="A142" s="123"/>
      <c r="B142" s="132"/>
      <c r="C142" s="132"/>
      <c r="D142" s="132"/>
      <c r="E142" s="132"/>
    </row>
    <row r="143" spans="1:5">
      <c r="A143" s="123"/>
      <c r="B143" s="131"/>
      <c r="C143" s="132"/>
      <c r="D143" s="132"/>
      <c r="E143" s="132"/>
    </row>
    <row r="144" spans="1:5">
      <c r="A144" s="124"/>
      <c r="B144" s="131"/>
      <c r="C144" s="132"/>
      <c r="D144" s="132"/>
      <c r="E144" s="132"/>
    </row>
    <row r="145" spans="1:5">
      <c r="A145" s="123"/>
      <c r="B145" s="131"/>
      <c r="C145" s="132"/>
      <c r="D145" s="132"/>
      <c r="E145" s="132"/>
    </row>
    <row r="146" spans="1:5">
      <c r="A146" s="123"/>
      <c r="B146" s="131"/>
      <c r="C146" s="132"/>
      <c r="D146" s="132"/>
      <c r="E146" s="132"/>
    </row>
    <row r="147" spans="1:5">
      <c r="A147" s="121"/>
      <c r="B147" s="131"/>
      <c r="C147" s="132"/>
      <c r="D147" s="132"/>
      <c r="E147" s="132"/>
    </row>
    <row r="148" spans="1:5" s="2" customFormat="1">
      <c r="B148" s="2563"/>
      <c r="C148" s="2563"/>
      <c r="D148" s="136"/>
      <c r="E148" s="136"/>
    </row>
    <row r="149" spans="1:5">
      <c r="A149" s="122"/>
      <c r="B149" s="128"/>
      <c r="C149" s="128"/>
      <c r="D149" s="128"/>
      <c r="E149" s="128"/>
    </row>
    <row r="150" spans="1:5">
      <c r="A150" s="1"/>
      <c r="B150" s="127"/>
      <c r="C150" s="127"/>
      <c r="D150" s="127"/>
      <c r="E150" s="127"/>
    </row>
    <row r="151" spans="1:5">
      <c r="A151" s="1"/>
      <c r="B151" s="127"/>
      <c r="C151" s="127"/>
      <c r="D151" s="127"/>
      <c r="E151" s="127"/>
    </row>
    <row r="152" spans="1:5">
      <c r="A152" s="1"/>
      <c r="B152" s="133"/>
      <c r="C152" s="133"/>
      <c r="D152" s="133"/>
      <c r="E152" s="133"/>
    </row>
    <row r="153" spans="1:5">
      <c r="A153" s="1"/>
      <c r="B153" s="129"/>
      <c r="C153" s="129"/>
      <c r="D153" s="129"/>
      <c r="E153" s="129"/>
    </row>
    <row r="154" spans="1:5">
      <c r="A154" s="1"/>
      <c r="B154" s="130"/>
      <c r="C154" s="130"/>
      <c r="D154" s="130"/>
      <c r="E154" s="130"/>
    </row>
    <row r="155" spans="1:5">
      <c r="A155" s="1"/>
      <c r="B155" s="130"/>
      <c r="C155" s="130"/>
      <c r="D155" s="130"/>
      <c r="E155" s="130"/>
    </row>
    <row r="156" spans="1:5">
      <c r="A156" s="1"/>
      <c r="B156" s="21"/>
      <c r="C156" s="21"/>
      <c r="D156" s="21"/>
      <c r="E156" s="21"/>
    </row>
    <row r="157" spans="1:5">
      <c r="A157" s="1"/>
      <c r="B157" s="134"/>
      <c r="C157" s="134"/>
      <c r="D157" s="134"/>
      <c r="E157" s="134"/>
    </row>
    <row r="158" spans="1:5">
      <c r="A158" s="2"/>
      <c r="B158" s="135"/>
      <c r="C158" s="135"/>
      <c r="D158" s="135"/>
      <c r="E158" s="135"/>
    </row>
    <row r="159" spans="1:5">
      <c r="A159" s="123"/>
      <c r="C159"/>
    </row>
    <row r="160" spans="1:5">
      <c r="A160" s="123"/>
      <c r="B160" s="131"/>
      <c r="C160" s="131"/>
      <c r="D160" s="131"/>
      <c r="E160" s="131"/>
    </row>
    <row r="161" spans="1:5">
      <c r="A161" s="123"/>
      <c r="B161" s="131"/>
      <c r="C161" s="132"/>
      <c r="D161" s="132"/>
      <c r="E161" s="132"/>
    </row>
    <row r="162" spans="1:5">
      <c r="A162" s="125"/>
      <c r="B162" s="131"/>
      <c r="C162" s="132"/>
      <c r="D162" s="132"/>
      <c r="E162" s="132"/>
    </row>
    <row r="163" spans="1:5">
      <c r="A163" s="126"/>
      <c r="B163" s="135"/>
      <c r="C163" s="135"/>
      <c r="D163" s="135"/>
      <c r="E163" s="135"/>
    </row>
    <row r="164" spans="1:5">
      <c r="A164" s="123"/>
      <c r="B164" s="132"/>
      <c r="C164" s="132"/>
      <c r="D164" s="132"/>
      <c r="E164" s="132"/>
    </row>
    <row r="165" spans="1:5">
      <c r="A165" s="126"/>
      <c r="B165" s="135"/>
      <c r="C165" s="135"/>
      <c r="D165" s="135"/>
      <c r="E165" s="135"/>
    </row>
  </sheetData>
  <sheetProtection algorithmName="SHA-512" hashValue="LGWj76yBK/p8v88YnpzMK+FbiR/et0eRCoxfFtz2thpJK7XZwLV3Z5x8AhaGBKGNKwCnqVQqoCxDGKMvzN++vg==" saltValue="tQu/Ag9/zJG5y76r2tl4jQ==" spinCount="100000" sheet="1" objects="1" scenarios="1" selectLockedCells="1" selectUnlockedCells="1"/>
  <mergeCells count="69">
    <mergeCell ref="AH3:AM3"/>
    <mergeCell ref="AH4:AM4"/>
    <mergeCell ref="P3:U3"/>
    <mergeCell ref="V3:AA3"/>
    <mergeCell ref="P56:U56"/>
    <mergeCell ref="AB56:AG56"/>
    <mergeCell ref="AH56:AM56"/>
    <mergeCell ref="AB38:AG38"/>
    <mergeCell ref="AH38:AM38"/>
    <mergeCell ref="P37:U37"/>
    <mergeCell ref="V37:AA37"/>
    <mergeCell ref="AB37:AG37"/>
    <mergeCell ref="AH37:AM37"/>
    <mergeCell ref="AB3:AG3"/>
    <mergeCell ref="AB4:AG4"/>
    <mergeCell ref="V38:AA38"/>
    <mergeCell ref="B94:C94"/>
    <mergeCell ref="D94:E94"/>
    <mergeCell ref="H94:I94"/>
    <mergeCell ref="J3:O3"/>
    <mergeCell ref="J4:O4"/>
    <mergeCell ref="J89:J91"/>
    <mergeCell ref="E38:I38"/>
    <mergeCell ref="E3:I3"/>
    <mergeCell ref="J38:O38"/>
    <mergeCell ref="O89:O91"/>
    <mergeCell ref="K89:K91"/>
    <mergeCell ref="L89:L91"/>
    <mergeCell ref="M89:M91"/>
    <mergeCell ref="C89:C91"/>
    <mergeCell ref="B148:C148"/>
    <mergeCell ref="E4:I4"/>
    <mergeCell ref="D89:D91"/>
    <mergeCell ref="E89:E91"/>
    <mergeCell ref="D95:E95"/>
    <mergeCell ref="H96:I96"/>
    <mergeCell ref="F89:F91"/>
    <mergeCell ref="G89:G91"/>
    <mergeCell ref="H89:H91"/>
    <mergeCell ref="E37:I37"/>
    <mergeCell ref="B95:C95"/>
    <mergeCell ref="D71:I71"/>
    <mergeCell ref="E56:I56"/>
    <mergeCell ref="I89:I91"/>
    <mergeCell ref="F95:G95"/>
    <mergeCell ref="F96:G96"/>
    <mergeCell ref="D96:E96"/>
    <mergeCell ref="P4:U4"/>
    <mergeCell ref="V4:AA4"/>
    <mergeCell ref="V56:AA56"/>
    <mergeCell ref="K71:N71"/>
    <mergeCell ref="J56:O56"/>
    <mergeCell ref="J37:O37"/>
    <mergeCell ref="P38:U38"/>
    <mergeCell ref="N89:N91"/>
    <mergeCell ref="F94:G94"/>
    <mergeCell ref="H95:I95"/>
    <mergeCell ref="R101:S101"/>
    <mergeCell ref="P101:Q101"/>
    <mergeCell ref="J101:K101"/>
    <mergeCell ref="J94:K94"/>
    <mergeCell ref="L100:M100"/>
    <mergeCell ref="N100:O100"/>
    <mergeCell ref="N101:O101"/>
    <mergeCell ref="J100:K100"/>
    <mergeCell ref="L101:M101"/>
    <mergeCell ref="P100:Q100"/>
    <mergeCell ref="J96:K96"/>
    <mergeCell ref="R100:S100"/>
  </mergeCells>
  <pageMargins left="0.7" right="0.7" top="0.75" bottom="0.75" header="0.3" footer="0.3"/>
  <pageSetup paperSize="9" orientation="portrait" verticalDpi="4"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6"/>
  <dimension ref="B1:H53"/>
  <sheetViews>
    <sheetView workbookViewId="0">
      <selection activeCell="H5" sqref="H5"/>
    </sheetView>
  </sheetViews>
  <sheetFormatPr defaultRowHeight="12.45"/>
  <cols>
    <col min="2" max="2" width="26.69140625" customWidth="1"/>
  </cols>
  <sheetData>
    <row r="1" spans="2:8">
      <c r="B1" s="337" t="s">
        <v>101</v>
      </c>
    </row>
    <row r="2" spans="2:8" ht="12.9" thickBot="1">
      <c r="C2" s="335">
        <f>'9. T4 FINANSIERINGSB. '!P11</f>
        <v>2021</v>
      </c>
      <c r="D2" s="335">
        <f>'9. T4 FINANSIERINGSB. '!Q11</f>
        <v>2022</v>
      </c>
      <c r="E2" s="335">
        <f>'9. T4 FINANSIERINGSB. '!R11</f>
        <v>2023</v>
      </c>
      <c r="F2" s="335">
        <f>'9. T4 FINANSIERINGSB. '!S11</f>
        <v>2024</v>
      </c>
      <c r="G2" s="335">
        <f>'9. T4 FINANSIERINGSB. '!T11</f>
        <v>2025</v>
      </c>
      <c r="H2" s="335">
        <f>'9. T4 FINANSIERINGSB. '!U11</f>
        <v>2026</v>
      </c>
    </row>
    <row r="3" spans="2:8">
      <c r="B3" s="621" t="s">
        <v>524</v>
      </c>
      <c r="C3" s="380">
        <f>'9. T4 FINANSIERINGSB. '!P13/1000</f>
        <v>0</v>
      </c>
      <c r="D3" s="380">
        <f>'9. T4 FINANSIERINGSB. '!Q13/1000</f>
        <v>175.886</v>
      </c>
      <c r="E3" s="380">
        <f>'9. T4 FINANSIERINGSB. '!R13/1000</f>
        <v>192.35</v>
      </c>
      <c r="F3" s="380">
        <f>'9. T4 FINANSIERINGSB. '!S13/1000</f>
        <v>219.35291999999998</v>
      </c>
      <c r="G3" s="380">
        <f>'9. T4 FINANSIERINGSB. '!T13/1000</f>
        <v>258.73759649999994</v>
      </c>
      <c r="H3" s="380">
        <f>'9. T4 FINANSIERINGSB. '!U13/1000</f>
        <v>266.49972439500004</v>
      </c>
    </row>
    <row r="4" spans="2:8">
      <c r="B4" s="622" t="s">
        <v>540</v>
      </c>
      <c r="C4" s="380">
        <f>'3. &amp; 8. T3 BALANS'!F51/1000</f>
        <v>0</v>
      </c>
      <c r="D4" s="380">
        <f>'3. &amp; 8. T3 BALANS'!G51/1000</f>
        <v>21.927</v>
      </c>
      <c r="E4" s="380">
        <f>'3. &amp; 8. T3 BALANS'!H51/1000</f>
        <v>230.53202033268596</v>
      </c>
      <c r="F4" s="380">
        <f>'3. &amp; 8. T3 BALANS'!I51/1000</f>
        <v>227.75264475812645</v>
      </c>
      <c r="G4" s="380">
        <f>'3. &amp; 8. T3 BALANS'!J51/1000</f>
        <v>252.98699275409234</v>
      </c>
      <c r="H4" s="380">
        <f>'3. &amp; 8. T3 BALANS'!K51/1000</f>
        <v>278.645693516292</v>
      </c>
    </row>
    <row r="5" spans="2:8">
      <c r="B5" s="623" t="s">
        <v>308</v>
      </c>
      <c r="C5" s="380">
        <f>'9. T4 FINANSIERINGSB. '!P16/1000</f>
        <v>0</v>
      </c>
      <c r="D5" s="380">
        <f>'9. T4 FINANSIERINGSB. '!Q16/1000</f>
        <v>9.2245000000000008</v>
      </c>
      <c r="E5" s="380">
        <f>'9. T4 FINANSIERINGSB. '!R16/1000</f>
        <v>116.75317164485394</v>
      </c>
      <c r="F5" s="380">
        <f>'9. T4 FINANSIERINGSB. '!S16/1000</f>
        <v>213.56725887390215</v>
      </c>
      <c r="G5" s="380">
        <f>'9. T4 FINANSIERINGSB. '!T16/1000</f>
        <v>224.41513031750259</v>
      </c>
      <c r="H5" s="380">
        <f>'9. T4 FINANSIERINGSB. '!U16/1000</f>
        <v>249.34129799574467</v>
      </c>
    </row>
    <row r="25" spans="2:8">
      <c r="B25" s="184" t="s">
        <v>102</v>
      </c>
    </row>
    <row r="26" spans="2:8">
      <c r="C26" s="21">
        <f t="shared" ref="C26:H26" si="0">C2</f>
        <v>2021</v>
      </c>
      <c r="D26" s="21">
        <f t="shared" si="0"/>
        <v>2022</v>
      </c>
      <c r="E26" s="21">
        <f t="shared" si="0"/>
        <v>2023</v>
      </c>
      <c r="F26" s="21">
        <f t="shared" si="0"/>
        <v>2024</v>
      </c>
      <c r="G26" s="21">
        <f t="shared" si="0"/>
        <v>2025</v>
      </c>
      <c r="H26" s="21">
        <f t="shared" si="0"/>
        <v>2026</v>
      </c>
    </row>
    <row r="27" spans="2:8">
      <c r="B27" s="622" t="s">
        <v>599</v>
      </c>
      <c r="C27" s="1021">
        <f>'9. T4 FINANSIERINGSB. '!P21*100</f>
        <v>0</v>
      </c>
      <c r="D27" s="1021">
        <f>'9. T4 FINANSIERINGSB. '!Q21*100</f>
        <v>2.1119336152267807</v>
      </c>
      <c r="E27" s="1021">
        <f>'9. T4 FINANSIERINGSB. '!R21*100</f>
        <v>-3.5907095807414255</v>
      </c>
      <c r="F27" s="1021">
        <f>'9. T4 FINANSIERINGSB. '!S21*100</f>
        <v>16.47730434504961</v>
      </c>
      <c r="G27" s="1021">
        <f>'9. T4 FINANSIERINGSB. '!T21*100</f>
        <v>27.146342683798046</v>
      </c>
      <c r="H27" s="1021">
        <f>'9. T4 FINANSIERINGSB. '!U21*100</f>
        <v>28.088635272936585</v>
      </c>
    </row>
    <row r="28" spans="2:8" s="991" customFormat="1">
      <c r="B28" s="959" t="s">
        <v>706</v>
      </c>
      <c r="C28" s="1021">
        <f>'2. &amp; 7. T2  RESULTATB.'!F22</f>
        <v>0</v>
      </c>
      <c r="D28" s="1021">
        <f>'2. &amp; 7. T2  RESULTATB.'!H22</f>
        <v>2.1119336152267807</v>
      </c>
      <c r="E28" s="1021">
        <f>'2. &amp; 7. T2  RESULTATB.'!J22</f>
        <v>-3.5907095807414255</v>
      </c>
      <c r="F28" s="1021">
        <f>'2. &amp; 7. T2  RESULTATB.'!L22</f>
        <v>16.47730434504961</v>
      </c>
      <c r="G28" s="1021">
        <f>'2. &amp; 7. T2  RESULTATB.'!N22</f>
        <v>27.146342683798046</v>
      </c>
      <c r="H28" s="1021">
        <f>'2. &amp; 7. T2  RESULTATB.'!P22</f>
        <v>28.088635272936585</v>
      </c>
    </row>
    <row r="29" spans="2:8">
      <c r="B29" s="622" t="s">
        <v>335</v>
      </c>
      <c r="C29" s="1022">
        <f>'9. T4 FINANSIERINGSB. '!P24*100</f>
        <v>0</v>
      </c>
      <c r="D29" s="1022">
        <f>'9. T4 FINANSIERINGSB. '!Q24*100</f>
        <v>1.5655288902996156</v>
      </c>
      <c r="E29" s="1022">
        <f>'9. T4 FINANSIERINGSB. '!R24*100</f>
        <v>-8.1674616155799349</v>
      </c>
      <c r="F29" s="1022">
        <f>'9. T4 FINANSIERINGSB. '!S24*100</f>
        <v>10.202115347747908</v>
      </c>
      <c r="G29" s="1022">
        <f>'9. T4 FINANSIERINGSB. '!T24*100</f>
        <v>19.485460914979917</v>
      </c>
      <c r="H29" s="1022">
        <f>'9. T4 FINANSIERINGSB. '!U24*100</f>
        <v>20.583854037092113</v>
      </c>
    </row>
    <row r="30" spans="2:8">
      <c r="B30" s="623" t="s">
        <v>525</v>
      </c>
      <c r="C30" s="1022">
        <f>'9. T4 FINANSIERINGSB. '!P25*100</f>
        <v>0</v>
      </c>
      <c r="D30" s="1022">
        <f>'9. T4 FINANSIERINGSB. '!Q25*100</f>
        <v>40.565884329773972</v>
      </c>
      <c r="E30" s="1022">
        <f>'9. T4 FINANSIERINGSB. '!R25*100</f>
        <v>-5.9322754257677719</v>
      </c>
      <c r="F30" s="1022">
        <f>'9. T4 FINANSIERINGSB. '!S25*100</f>
        <v>16.966179835589742</v>
      </c>
      <c r="G30" s="1022">
        <f>'9. T4 FINANSIERINGSB. '!T25*100</f>
        <v>31.366114662026938</v>
      </c>
      <c r="H30" s="1022">
        <f>'9. T4 FINANSIERINGSB. '!U25*100</f>
        <v>30.086110390770855</v>
      </c>
    </row>
    <row r="49" spans="2:8">
      <c r="B49" s="445" t="s">
        <v>113</v>
      </c>
    </row>
    <row r="50" spans="2:8">
      <c r="C50" s="630">
        <f>'9. T4 FINANSIERINGSB. '!P44</f>
        <v>2021</v>
      </c>
      <c r="D50" s="630">
        <f>'9. T4 FINANSIERINGSB. '!Q44</f>
        <v>2022</v>
      </c>
      <c r="E50" s="630">
        <f>'9. T4 FINANSIERINGSB. '!R44</f>
        <v>2023</v>
      </c>
      <c r="F50" s="630">
        <f>'9. T4 FINANSIERINGSB. '!S44</f>
        <v>2024</v>
      </c>
      <c r="G50" s="630">
        <f>'9. T4 FINANSIERINGSB. '!T44</f>
        <v>2025</v>
      </c>
      <c r="H50" s="630">
        <f>'9. T4 FINANSIERINGSB. '!U44</f>
        <v>2026</v>
      </c>
    </row>
    <row r="51" spans="2:8">
      <c r="B51" s="621" t="s">
        <v>340</v>
      </c>
      <c r="C51" s="380">
        <f>'9. T4 FINANSIERINGSB. '!P45/1000</f>
        <v>0</v>
      </c>
      <c r="D51" s="380">
        <f>'9. T4 FINANSIERINGSB. '!Q45/1000</f>
        <v>21.927</v>
      </c>
      <c r="E51" s="380">
        <f>'9. T4 FINANSIERINGSB. '!R45/1000</f>
        <v>230.53202033268596</v>
      </c>
      <c r="F51" s="380">
        <f>'9. T4 FINANSIERINGSB. '!S45/1000</f>
        <v>227.75264475812645</v>
      </c>
      <c r="G51" s="380">
        <f>'9. T4 FINANSIERINGSB. '!T45/1000</f>
        <v>252.98699275409234</v>
      </c>
      <c r="H51" s="380">
        <f>'9. T4 FINANSIERINGSB. '!U45/1000</f>
        <v>278.645693516292</v>
      </c>
    </row>
    <row r="52" spans="2:8">
      <c r="B52" s="622" t="s">
        <v>527</v>
      </c>
      <c r="C52" s="380">
        <f>'9. T4 FINANSIERINGSB. '!P46/1000</f>
        <v>0</v>
      </c>
      <c r="D52" s="380">
        <f>'9. T4 FINANSIERINGSB. '!Q46/1000</f>
        <v>-13.159000000000001</v>
      </c>
      <c r="E52" s="380">
        <f>'9. T4 FINANSIERINGSB. '!R46/1000</f>
        <v>-238.21967704297808</v>
      </c>
      <c r="F52" s="380">
        <f>'9. T4 FINANSIERINGSB. '!S46/1000</f>
        <v>-213.00547030003</v>
      </c>
      <c r="G52" s="380">
        <f>'9. T4 FINANSIERINGSB. '!T46/1000</f>
        <v>-188.89390657718357</v>
      </c>
      <c r="H52" s="380">
        <f>'9. T4 FINANSIERINGSB. '!U46/1000</f>
        <v>-164.70618370171138</v>
      </c>
    </row>
    <row r="53" spans="2:8">
      <c r="B53" s="652" t="s">
        <v>344</v>
      </c>
      <c r="C53" s="450">
        <f>'9. T4 FINANSIERINGSB. '!P49/1000</f>
        <v>0</v>
      </c>
      <c r="D53" s="450">
        <f>'9. T4 FINANSIERINGSB. '!Q49/1000</f>
        <v>8.7680000000000007</v>
      </c>
      <c r="E53" s="450">
        <f>'9. T4 FINANSIERINGSB. '!R49/1000</f>
        <v>-7.6876567102921252</v>
      </c>
      <c r="F53" s="450">
        <f>'9. T4 FINANSIERINGSB. '!S49/1000</f>
        <v>14.747174458096444</v>
      </c>
      <c r="G53" s="450">
        <f>'9. T4 FINANSIERINGSB. '!T49/1000</f>
        <v>64.093086176908784</v>
      </c>
      <c r="H53" s="450">
        <f>'9. T4 FINANSIERINGSB. '!U49/1000</f>
        <v>113.93950981458065</v>
      </c>
    </row>
  </sheetData>
  <sheetProtection algorithmName="SHA-512" hashValue="h/soV+b9ppqvT3weGu+HS709+yKFL2Nbq3ER6T372UiVUHCYjk6yPYd5NRxVLffNbKPBdOrsTH7CqKaSuVlfHA==" saltValue="93lqogottPvYMBdy5nwvuw=="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1">
    <tabColor rgb="FF33CC33"/>
  </sheetPr>
  <dimension ref="A1:T79"/>
  <sheetViews>
    <sheetView showGridLines="0" showZeros="0" defaultGridColor="0" colorId="55" zoomScaleNormal="100" workbookViewId="0">
      <selection activeCell="F16" sqref="F16"/>
    </sheetView>
  </sheetViews>
  <sheetFormatPr defaultRowHeight="12.45"/>
  <cols>
    <col min="1" max="1" width="10.53515625" customWidth="1"/>
    <col min="2" max="2" width="4.3046875" style="41" customWidth="1"/>
    <col min="3" max="3" width="45.4609375" customWidth="1"/>
    <col min="4" max="8" width="11" customWidth="1"/>
    <col min="9" max="9" width="5.07421875" customWidth="1"/>
    <col min="10" max="10" width="10.69140625" style="41" customWidth="1"/>
    <col min="11" max="11" width="10.69140625" customWidth="1"/>
    <col min="13" max="13" width="10.84375" customWidth="1"/>
    <col min="20" max="20" width="7.69140625" customWidth="1"/>
  </cols>
  <sheetData>
    <row r="1" spans="1:20" ht="14.15">
      <c r="B1" s="85" t="s">
        <v>0</v>
      </c>
      <c r="I1" s="60"/>
    </row>
    <row r="2" spans="1:20" ht="4.5" customHeight="1">
      <c r="E2" s="61" t="s">
        <v>0</v>
      </c>
    </row>
    <row r="3" spans="1:20" ht="14.25" customHeight="1">
      <c r="C3" s="25" t="s">
        <v>168</v>
      </c>
      <c r="E3" s="44" t="s">
        <v>169</v>
      </c>
      <c r="J3" s="1978"/>
      <c r="K3" s="1978"/>
      <c r="N3" s="25" t="s">
        <v>168</v>
      </c>
    </row>
    <row r="4" spans="1:20" ht="14.25" customHeight="1">
      <c r="C4" s="211" t="s">
        <v>0</v>
      </c>
      <c r="E4" s="1912"/>
      <c r="F4" s="1911"/>
      <c r="G4" s="81"/>
    </row>
    <row r="5" spans="1:20" ht="7.5" customHeight="1" thickBot="1">
      <c r="E5" s="1979"/>
      <c r="F5" s="1980"/>
      <c r="G5" s="41"/>
      <c r="H5" s="25"/>
    </row>
    <row r="6" spans="1:20">
      <c r="B6" s="1989" t="s">
        <v>171</v>
      </c>
      <c r="C6" s="1990"/>
      <c r="D6" s="1991"/>
      <c r="E6" s="288" t="s">
        <v>172</v>
      </c>
      <c r="F6" s="292"/>
      <c r="G6" s="292"/>
      <c r="H6" s="289"/>
      <c r="I6" s="65"/>
      <c r="J6" s="1489" t="s">
        <v>170</v>
      </c>
      <c r="K6" s="1490"/>
      <c r="L6" s="1490"/>
      <c r="N6" s="1490"/>
      <c r="O6" s="1490"/>
      <c r="P6" s="1490"/>
      <c r="Q6" s="1490"/>
      <c r="R6" s="1490"/>
      <c r="S6" s="1490"/>
      <c r="T6" s="1491"/>
    </row>
    <row r="7" spans="1:20" s="52" customFormat="1" ht="14.25" customHeight="1">
      <c r="B7" s="1981" t="s">
        <v>777</v>
      </c>
      <c r="C7" s="1982"/>
      <c r="D7" s="1983"/>
      <c r="E7" s="1984"/>
      <c r="F7" s="1985"/>
      <c r="G7" s="1985"/>
      <c r="H7" s="1986"/>
      <c r="J7" s="474"/>
      <c r="K7" s="953"/>
      <c r="L7" s="953"/>
      <c r="M7" s="953"/>
      <c r="N7" s="953"/>
      <c r="O7" s="953"/>
      <c r="P7" s="953"/>
      <c r="Q7" s="953"/>
      <c r="R7" s="953"/>
      <c r="S7" s="953"/>
      <c r="T7" s="578"/>
    </row>
    <row r="8" spans="1:20" ht="12.9">
      <c r="B8" s="78" t="s">
        <v>173</v>
      </c>
      <c r="C8" s="63"/>
      <c r="D8" s="64"/>
      <c r="E8" s="290" t="s">
        <v>175</v>
      </c>
      <c r="F8" s="293"/>
      <c r="G8" s="293"/>
      <c r="H8" s="291"/>
      <c r="I8" s="66"/>
      <c r="J8" s="1492"/>
      <c r="K8" s="953"/>
      <c r="L8" s="953"/>
      <c r="M8" s="1490"/>
      <c r="N8" s="953"/>
      <c r="O8" s="953"/>
      <c r="P8" s="953"/>
      <c r="Q8" s="953"/>
      <c r="R8" s="953"/>
      <c r="S8" s="953"/>
      <c r="T8" s="578"/>
    </row>
    <row r="9" spans="1:20" s="52" customFormat="1" ht="14.25" customHeight="1">
      <c r="B9" s="1971"/>
      <c r="C9" s="1972"/>
      <c r="D9" s="1973"/>
      <c r="E9" s="1985"/>
      <c r="F9" s="1987"/>
      <c r="G9" s="1987"/>
      <c r="H9" s="1988"/>
      <c r="I9" s="73"/>
      <c r="J9" s="1493"/>
      <c r="K9" s="953"/>
      <c r="L9" s="953"/>
      <c r="M9" s="953"/>
      <c r="N9" s="953"/>
      <c r="O9" s="953"/>
      <c r="P9" s="953"/>
      <c r="Q9" s="953"/>
      <c r="R9" s="953"/>
      <c r="S9" s="953"/>
      <c r="T9" s="578"/>
    </row>
    <row r="10" spans="1:20" s="2" customFormat="1">
      <c r="A10"/>
      <c r="B10" s="78" t="s">
        <v>174</v>
      </c>
      <c r="C10" s="63"/>
      <c r="D10" s="64"/>
      <c r="E10" s="1962" t="s">
        <v>176</v>
      </c>
      <c r="F10" s="1962"/>
      <c r="G10" s="1962"/>
      <c r="H10" s="1963"/>
      <c r="J10" s="1493"/>
      <c r="K10" s="953"/>
      <c r="L10" s="953"/>
      <c r="M10" s="953"/>
      <c r="N10" s="953"/>
      <c r="O10" s="953"/>
      <c r="P10" s="953"/>
      <c r="Q10" s="953"/>
      <c r="R10" s="953"/>
      <c r="S10" s="953"/>
      <c r="T10" s="578"/>
    </row>
    <row r="11" spans="1:20" s="52" customFormat="1" ht="14.25" customHeight="1">
      <c r="B11" s="1992" t="s">
        <v>776</v>
      </c>
      <c r="C11" s="1993"/>
      <c r="D11" s="1994"/>
      <c r="E11" s="1985" t="s">
        <v>0</v>
      </c>
      <c r="F11" s="1987"/>
      <c r="G11" s="1987"/>
      <c r="H11" s="1988"/>
      <c r="I11" s="74"/>
      <c r="J11" s="1493"/>
      <c r="K11" s="953"/>
      <c r="L11" s="953"/>
      <c r="M11" s="953"/>
      <c r="N11" s="953"/>
      <c r="O11" s="953"/>
      <c r="P11" s="953"/>
      <c r="Q11" s="953"/>
      <c r="R11" s="953"/>
      <c r="S11" s="953"/>
      <c r="T11" s="578"/>
    </row>
    <row r="12" spans="1:20" ht="14.25" customHeight="1">
      <c r="B12" s="584"/>
      <c r="C12" s="1914"/>
      <c r="D12" s="1915"/>
      <c r="E12" s="1962" t="s">
        <v>177</v>
      </c>
      <c r="F12" s="1962"/>
      <c r="G12" s="1962"/>
      <c r="H12" s="1963"/>
      <c r="J12" s="474"/>
      <c r="K12" s="953"/>
      <c r="L12" s="953"/>
      <c r="M12" s="953"/>
      <c r="N12" s="953"/>
      <c r="O12" s="953"/>
      <c r="P12" s="953"/>
      <c r="Q12" s="953"/>
      <c r="R12" s="953"/>
      <c r="S12" s="953"/>
      <c r="T12" s="578"/>
    </row>
    <row r="13" spans="1:20" ht="14.25" customHeight="1" thickBot="1">
      <c r="A13" s="52"/>
      <c r="B13" s="1916"/>
      <c r="C13" s="1917"/>
      <c r="D13" s="1918"/>
      <c r="E13" s="1964"/>
      <c r="F13" s="1965"/>
      <c r="G13" s="1965"/>
      <c r="H13" s="1966"/>
      <c r="I13" s="67"/>
      <c r="J13" s="474"/>
      <c r="K13" s="953"/>
      <c r="L13" s="953"/>
      <c r="M13" s="953"/>
      <c r="N13" s="953"/>
      <c r="O13" s="953"/>
      <c r="P13" s="953"/>
      <c r="Q13" s="953"/>
      <c r="R13" s="953"/>
      <c r="S13" s="953"/>
      <c r="T13" s="578"/>
    </row>
    <row r="14" spans="1:20" ht="6" customHeight="1" thickBot="1">
      <c r="A14" s="2"/>
      <c r="G14" s="591"/>
      <c r="J14" s="526"/>
      <c r="K14" s="1494"/>
      <c r="L14" s="1494"/>
      <c r="M14" s="1494"/>
      <c r="N14" s="1494"/>
      <c r="O14" s="1494"/>
      <c r="P14" s="1494"/>
      <c r="Q14" s="1494"/>
      <c r="R14" s="1494"/>
      <c r="S14" s="1494"/>
      <c r="T14" s="407"/>
    </row>
    <row r="15" spans="1:20" ht="13.5" customHeight="1">
      <c r="B15" s="1974" t="s">
        <v>178</v>
      </c>
      <c r="C15" s="1975"/>
      <c r="D15" s="342" t="s">
        <v>179</v>
      </c>
      <c r="E15" s="1713" t="s">
        <v>180</v>
      </c>
      <c r="F15" s="1713" t="s">
        <v>181</v>
      </c>
      <c r="G15" s="1713" t="s">
        <v>182</v>
      </c>
      <c r="H15" s="1967" t="s">
        <v>183</v>
      </c>
      <c r="I15" s="62"/>
      <c r="J15" s="474"/>
      <c r="K15" s="953"/>
      <c r="L15" s="953"/>
      <c r="M15" s="953"/>
      <c r="N15" s="953"/>
      <c r="O15" s="953"/>
      <c r="P15" s="953"/>
      <c r="Q15" s="953"/>
      <c r="R15" s="953"/>
      <c r="S15" s="953"/>
      <c r="T15" s="578"/>
    </row>
    <row r="16" spans="1:20" ht="13.5" customHeight="1" thickBot="1">
      <c r="A16" s="52"/>
      <c r="B16" s="1976"/>
      <c r="C16" s="1977"/>
      <c r="D16" s="1336">
        <v>2023</v>
      </c>
      <c r="E16" s="1337">
        <v>2024</v>
      </c>
      <c r="F16" s="1337">
        <f>E16+1</f>
        <v>2025</v>
      </c>
      <c r="G16" s="1337">
        <f>F16+1</f>
        <v>2026</v>
      </c>
      <c r="H16" s="1968"/>
      <c r="I16" s="62"/>
      <c r="J16" s="474"/>
      <c r="K16" s="953"/>
      <c r="L16" s="953"/>
      <c r="M16" s="953"/>
      <c r="N16" s="953"/>
      <c r="O16" s="953"/>
      <c r="P16" s="953"/>
      <c r="Q16" s="953"/>
      <c r="R16" s="953"/>
      <c r="S16" s="953"/>
      <c r="T16" s="578"/>
    </row>
    <row r="17" spans="1:20" ht="13.5" customHeight="1">
      <c r="B17" s="452">
        <v>1</v>
      </c>
      <c r="C17" s="453" t="s">
        <v>184</v>
      </c>
      <c r="D17" s="774">
        <v>10600</v>
      </c>
      <c r="E17" s="774">
        <v>0</v>
      </c>
      <c r="F17" s="774">
        <v>0</v>
      </c>
      <c r="G17" s="774">
        <v>0</v>
      </c>
      <c r="H17" s="900">
        <f>SUM(D17:G17)</f>
        <v>10600</v>
      </c>
      <c r="I17" s="68"/>
      <c r="J17" s="474"/>
      <c r="K17" s="953"/>
      <c r="L17" s="953"/>
      <c r="M17" s="953"/>
      <c r="N17" s="953"/>
      <c r="O17" s="953"/>
      <c r="P17" s="953"/>
      <c r="Q17" s="953"/>
      <c r="R17" s="953"/>
      <c r="S17" s="953"/>
      <c r="T17" s="578"/>
    </row>
    <row r="18" spans="1:20" s="4" customFormat="1" ht="13.5" customHeight="1">
      <c r="A18" s="52"/>
      <c r="B18" s="204"/>
      <c r="C18" s="205" t="s">
        <v>185</v>
      </c>
      <c r="D18" s="774"/>
      <c r="E18" s="774"/>
      <c r="F18" s="774"/>
      <c r="G18" s="774"/>
      <c r="H18" s="948"/>
      <c r="I18" s="206"/>
      <c r="J18" s="474"/>
      <c r="K18" s="953"/>
      <c r="L18" s="953"/>
      <c r="M18" s="953"/>
      <c r="N18" s="953"/>
      <c r="O18" s="953"/>
      <c r="P18" s="953"/>
      <c r="Q18" s="953"/>
      <c r="R18" s="953"/>
      <c r="S18" s="953"/>
      <c r="T18" s="578"/>
    </row>
    <row r="19" spans="1:20" s="4" customFormat="1" ht="13.5" customHeight="1">
      <c r="A19" s="2"/>
      <c r="B19" s="204"/>
      <c r="C19" s="205" t="s">
        <v>186</v>
      </c>
      <c r="D19" s="476">
        <v>0</v>
      </c>
      <c r="E19" s="476">
        <v>0</v>
      </c>
      <c r="F19" s="476">
        <v>0</v>
      </c>
      <c r="G19" s="476">
        <v>0</v>
      </c>
      <c r="H19" s="948"/>
      <c r="I19" s="206"/>
      <c r="J19" s="474"/>
      <c r="K19" s="953"/>
      <c r="L19" s="953"/>
      <c r="M19" s="953"/>
      <c r="N19" s="953"/>
      <c r="O19" s="953"/>
      <c r="P19" s="953"/>
      <c r="Q19" s="953"/>
      <c r="R19" s="953"/>
      <c r="S19" s="953"/>
      <c r="T19" s="578"/>
    </row>
    <row r="20" spans="1:20" ht="13.5" customHeight="1">
      <c r="A20" s="52"/>
      <c r="B20" s="204">
        <v>2</v>
      </c>
      <c r="C20" s="454" t="s">
        <v>576</v>
      </c>
      <c r="D20" s="774">
        <v>0</v>
      </c>
      <c r="E20" s="774">
        <v>0</v>
      </c>
      <c r="F20" s="774">
        <v>0</v>
      </c>
      <c r="G20" s="774">
        <v>0</v>
      </c>
      <c r="H20" s="900">
        <f>SUM(D20:G20)</f>
        <v>0</v>
      </c>
      <c r="I20" s="69"/>
      <c r="J20" s="474"/>
      <c r="K20" s="1495"/>
      <c r="L20" s="953"/>
      <c r="M20" s="953"/>
      <c r="N20" s="953"/>
      <c r="O20" s="953"/>
      <c r="P20" s="953"/>
      <c r="Q20" s="953"/>
      <c r="R20" s="953"/>
      <c r="S20" s="953"/>
      <c r="T20" s="578"/>
    </row>
    <row r="21" spans="1:20" s="4" customFormat="1" ht="13.5" customHeight="1">
      <c r="A21"/>
      <c r="B21" s="204"/>
      <c r="C21" s="205" t="s">
        <v>188</v>
      </c>
      <c r="D21" s="775">
        <v>0</v>
      </c>
      <c r="E21" s="775">
        <v>0</v>
      </c>
      <c r="F21" s="775">
        <v>0</v>
      </c>
      <c r="G21" s="775">
        <v>0</v>
      </c>
      <c r="H21" s="948"/>
      <c r="I21" s="208"/>
      <c r="J21" s="474"/>
      <c r="K21" s="1495"/>
      <c r="L21" s="953"/>
      <c r="M21" s="953"/>
      <c r="N21" s="953"/>
      <c r="O21" s="953"/>
      <c r="P21" s="953"/>
      <c r="Q21" s="953"/>
      <c r="R21" s="953"/>
      <c r="S21" s="953"/>
      <c r="T21" s="578"/>
    </row>
    <row r="22" spans="1:20" s="4" customFormat="1" ht="13.5" customHeight="1">
      <c r="A22" s="52"/>
      <c r="B22" s="204"/>
      <c r="C22" s="205" t="s">
        <v>189</v>
      </c>
      <c r="D22" s="476">
        <v>0.24</v>
      </c>
      <c r="E22" s="476">
        <v>0.24</v>
      </c>
      <c r="F22" s="476">
        <v>0.24</v>
      </c>
      <c r="G22" s="476">
        <v>0.24</v>
      </c>
      <c r="H22" s="948"/>
      <c r="I22" s="208"/>
      <c r="J22" s="474"/>
      <c r="K22" s="1495"/>
      <c r="L22" s="953"/>
      <c r="M22" s="953"/>
      <c r="N22" s="953"/>
      <c r="O22" s="953"/>
      <c r="P22" s="953"/>
      <c r="Q22" s="953"/>
      <c r="R22" s="953"/>
      <c r="S22" s="953"/>
      <c r="T22" s="578"/>
    </row>
    <row r="23" spans="1:20" s="4" customFormat="1" ht="13.5" customHeight="1">
      <c r="A23"/>
      <c r="B23" s="204"/>
      <c r="C23" s="205" t="s">
        <v>186</v>
      </c>
      <c r="D23" s="476">
        <v>0</v>
      </c>
      <c r="E23" s="476">
        <v>0</v>
      </c>
      <c r="F23" s="476">
        <v>0</v>
      </c>
      <c r="G23" s="476">
        <v>0</v>
      </c>
      <c r="H23" s="948"/>
      <c r="I23" s="208"/>
      <c r="J23" s="474"/>
      <c r="K23" s="1495"/>
      <c r="L23" s="953"/>
      <c r="M23" s="953"/>
      <c r="N23" s="953"/>
      <c r="O23" s="953"/>
      <c r="P23" s="953"/>
      <c r="Q23" s="953"/>
      <c r="R23" s="953"/>
      <c r="S23" s="953"/>
      <c r="T23" s="578"/>
    </row>
    <row r="24" spans="1:20" ht="13.5" customHeight="1">
      <c r="A24" s="52"/>
      <c r="B24" s="204">
        <v>3</v>
      </c>
      <c r="C24" s="454" t="s">
        <v>190</v>
      </c>
      <c r="D24" s="774">
        <v>189400</v>
      </c>
      <c r="E24" s="774">
        <v>0</v>
      </c>
      <c r="F24" s="774">
        <v>0</v>
      </c>
      <c r="G24" s="774">
        <v>0</v>
      </c>
      <c r="H24" s="900">
        <f>SUM(D24:G24)</f>
        <v>189400</v>
      </c>
      <c r="I24" s="69"/>
      <c r="J24" s="474" t="s">
        <v>778</v>
      </c>
      <c r="K24" s="1495"/>
      <c r="L24" s="953"/>
      <c r="M24" s="953"/>
      <c r="N24" s="953"/>
      <c r="O24" s="953"/>
      <c r="P24" s="953"/>
      <c r="Q24" s="953"/>
      <c r="R24" s="953"/>
      <c r="S24" s="953"/>
      <c r="T24" s="578"/>
    </row>
    <row r="25" spans="1:20" s="4" customFormat="1" ht="13.5" customHeight="1">
      <c r="A25" s="2"/>
      <c r="B25" s="204"/>
      <c r="C25" s="205" t="s">
        <v>188</v>
      </c>
      <c r="D25" s="775"/>
      <c r="E25" s="775"/>
      <c r="F25" s="775"/>
      <c r="G25" s="775"/>
      <c r="H25" s="948"/>
      <c r="I25" s="208"/>
      <c r="J25" s="474"/>
      <c r="K25" s="1495"/>
      <c r="L25" s="953"/>
      <c r="M25" s="953"/>
      <c r="N25" s="953"/>
      <c r="O25" s="953"/>
      <c r="P25" s="953"/>
      <c r="Q25" s="953"/>
      <c r="R25" s="953"/>
      <c r="S25" s="953"/>
      <c r="T25" s="578"/>
    </row>
    <row r="26" spans="1:20" s="4" customFormat="1" ht="13.5" customHeight="1">
      <c r="A26"/>
      <c r="B26" s="204"/>
      <c r="C26" s="205" t="s">
        <v>186</v>
      </c>
      <c r="D26" s="476">
        <v>0</v>
      </c>
      <c r="E26" s="476">
        <v>0</v>
      </c>
      <c r="F26" s="476">
        <v>0</v>
      </c>
      <c r="G26" s="476">
        <v>0</v>
      </c>
      <c r="H26" s="948"/>
      <c r="I26" s="208"/>
      <c r="J26" s="474"/>
      <c r="K26" s="1495"/>
      <c r="L26" s="953"/>
      <c r="M26" s="953"/>
      <c r="N26" s="953"/>
      <c r="O26" s="953"/>
      <c r="P26" s="953"/>
      <c r="Q26" s="953"/>
      <c r="R26" s="953"/>
      <c r="S26" s="953"/>
      <c r="T26" s="578"/>
    </row>
    <row r="27" spans="1:20" ht="13.5" customHeight="1">
      <c r="B27" s="204">
        <v>4</v>
      </c>
      <c r="C27" s="454" t="s">
        <v>191</v>
      </c>
      <c r="D27" s="774">
        <v>0</v>
      </c>
      <c r="E27" s="774">
        <v>0</v>
      </c>
      <c r="F27" s="774">
        <v>0</v>
      </c>
      <c r="G27" s="774">
        <v>0</v>
      </c>
      <c r="H27" s="900">
        <f>SUM(D27:G27)</f>
        <v>0</v>
      </c>
      <c r="I27" s="69"/>
      <c r="J27" s="474"/>
      <c r="K27" s="1495"/>
      <c r="L27" s="953"/>
      <c r="M27" s="953"/>
      <c r="N27" s="953"/>
      <c r="O27" s="953"/>
      <c r="P27" s="953"/>
      <c r="Q27" s="953"/>
      <c r="R27" s="953"/>
      <c r="S27" s="953"/>
      <c r="T27" s="578"/>
    </row>
    <row r="28" spans="1:20" s="4" customFormat="1" ht="13.5" customHeight="1">
      <c r="A28"/>
      <c r="B28" s="204"/>
      <c r="C28" s="205" t="s">
        <v>189</v>
      </c>
      <c r="D28" s="476">
        <v>0.24</v>
      </c>
      <c r="E28" s="476">
        <v>0.24</v>
      </c>
      <c r="F28" s="476">
        <v>0.24</v>
      </c>
      <c r="G28" s="476">
        <v>0.24</v>
      </c>
      <c r="H28" s="948"/>
      <c r="I28" s="208"/>
      <c r="J28" s="474"/>
      <c r="K28" s="1495"/>
      <c r="L28" s="953"/>
      <c r="M28" s="953"/>
      <c r="N28" s="953"/>
      <c r="O28" s="953"/>
      <c r="P28" s="953"/>
      <c r="Q28" s="953"/>
      <c r="R28" s="953"/>
      <c r="S28" s="953"/>
      <c r="T28" s="578"/>
    </row>
    <row r="29" spans="1:20" s="4" customFormat="1" ht="13.5" customHeight="1">
      <c r="A29"/>
      <c r="B29" s="204"/>
      <c r="C29" s="205" t="s">
        <v>186</v>
      </c>
      <c r="D29" s="476">
        <v>0</v>
      </c>
      <c r="E29" s="476">
        <v>0</v>
      </c>
      <c r="F29" s="476">
        <v>0</v>
      </c>
      <c r="G29" s="476">
        <v>0</v>
      </c>
      <c r="H29" s="948"/>
      <c r="I29" s="208"/>
      <c r="J29" s="474"/>
      <c r="K29" s="1495"/>
      <c r="L29" s="953"/>
      <c r="M29" s="953"/>
      <c r="N29" s="953"/>
      <c r="O29" s="953"/>
      <c r="P29" s="953"/>
      <c r="Q29" s="953"/>
      <c r="R29" s="953"/>
      <c r="S29" s="953"/>
      <c r="T29" s="578"/>
    </row>
    <row r="30" spans="1:20" ht="13.5" customHeight="1">
      <c r="B30" s="204">
        <v>5</v>
      </c>
      <c r="C30" s="454" t="s">
        <v>577</v>
      </c>
      <c r="D30" s="776">
        <v>30000</v>
      </c>
      <c r="E30" s="776">
        <v>0</v>
      </c>
      <c r="F30" s="776">
        <v>0</v>
      </c>
      <c r="G30" s="776">
        <v>0</v>
      </c>
      <c r="H30" s="900">
        <f>SUM(D30:G30)</f>
        <v>30000</v>
      </c>
      <c r="I30" s="69"/>
      <c r="J30" s="474"/>
      <c r="K30" s="1495"/>
      <c r="L30" s="953"/>
      <c r="M30" s="953"/>
      <c r="N30" s="953"/>
      <c r="O30" s="953"/>
      <c r="P30" s="953"/>
      <c r="Q30" s="953"/>
      <c r="R30" s="953"/>
      <c r="S30" s="953"/>
      <c r="T30" s="578"/>
    </row>
    <row r="31" spans="1:20" s="4" customFormat="1" ht="13.5" customHeight="1">
      <c r="A31"/>
      <c r="B31" s="204"/>
      <c r="C31" s="205" t="s">
        <v>186</v>
      </c>
      <c r="D31" s="476">
        <v>0</v>
      </c>
      <c r="E31" s="476">
        <v>0</v>
      </c>
      <c r="F31" s="476">
        <v>0</v>
      </c>
      <c r="G31" s="476">
        <v>0</v>
      </c>
      <c r="H31" s="948"/>
      <c r="I31" s="208"/>
      <c r="J31" s="474"/>
      <c r="K31" s="1495"/>
      <c r="L31" s="953"/>
      <c r="M31" s="953"/>
      <c r="N31" s="953"/>
      <c r="O31" s="953"/>
      <c r="P31" s="953"/>
      <c r="Q31" s="953"/>
      <c r="R31" s="953"/>
      <c r="S31" s="953"/>
      <c r="T31" s="578"/>
    </row>
    <row r="32" spans="1:20" ht="13.5" customHeight="1">
      <c r="B32" s="204">
        <v>6</v>
      </c>
      <c r="C32" s="454" t="s">
        <v>578</v>
      </c>
      <c r="D32" s="776">
        <v>0</v>
      </c>
      <c r="E32" s="776">
        <v>0</v>
      </c>
      <c r="F32" s="776">
        <v>0</v>
      </c>
      <c r="G32" s="776">
        <v>0</v>
      </c>
      <c r="H32" s="900">
        <f>SUM(D32:G32)</f>
        <v>0</v>
      </c>
      <c r="I32" s="69"/>
      <c r="J32" s="474"/>
      <c r="K32" s="1495"/>
      <c r="L32" s="953"/>
      <c r="M32" s="953"/>
      <c r="N32" s="953"/>
      <c r="O32" s="953"/>
      <c r="P32" s="953"/>
      <c r="Q32" s="953"/>
      <c r="R32" s="953"/>
      <c r="S32" s="953"/>
      <c r="T32" s="578"/>
    </row>
    <row r="33" spans="1:20" s="4" customFormat="1" ht="13.5" customHeight="1">
      <c r="A33"/>
      <c r="B33" s="204"/>
      <c r="C33" s="205" t="s">
        <v>189</v>
      </c>
      <c r="D33" s="476">
        <v>0.24</v>
      </c>
      <c r="E33" s="476">
        <v>0.24</v>
      </c>
      <c r="F33" s="476">
        <v>0.24</v>
      </c>
      <c r="G33" s="476">
        <v>0.24</v>
      </c>
      <c r="H33" s="948"/>
      <c r="I33" s="208"/>
      <c r="J33" s="474"/>
      <c r="K33" s="1495"/>
      <c r="L33" s="953"/>
      <c r="M33" s="953"/>
      <c r="N33" s="953"/>
      <c r="O33" s="953"/>
      <c r="P33" s="953"/>
      <c r="Q33" s="953"/>
      <c r="R33" s="953"/>
      <c r="S33" s="953"/>
      <c r="T33" s="578"/>
    </row>
    <row r="34" spans="1:20" s="4" customFormat="1" ht="13.5" customHeight="1">
      <c r="A34"/>
      <c r="B34" s="204"/>
      <c r="C34" s="205" t="s">
        <v>186</v>
      </c>
      <c r="D34" s="476">
        <v>0</v>
      </c>
      <c r="E34" s="476">
        <v>0</v>
      </c>
      <c r="F34" s="476">
        <v>0</v>
      </c>
      <c r="G34" s="476">
        <v>0</v>
      </c>
      <c r="H34" s="948"/>
      <c r="I34" s="208"/>
      <c r="J34" s="474"/>
      <c r="K34" s="1495"/>
      <c r="L34" s="953"/>
      <c r="M34" s="953"/>
      <c r="N34" s="953"/>
      <c r="O34" s="953"/>
      <c r="P34" s="953"/>
      <c r="Q34" s="953"/>
      <c r="R34" s="953"/>
      <c r="S34" s="953"/>
      <c r="T34" s="578"/>
    </row>
    <row r="35" spans="1:20" ht="13.5" customHeight="1">
      <c r="B35" s="204">
        <v>7</v>
      </c>
      <c r="C35" s="454" t="s">
        <v>579</v>
      </c>
      <c r="D35" s="774">
        <v>0</v>
      </c>
      <c r="E35" s="774">
        <v>0</v>
      </c>
      <c r="F35" s="774">
        <v>0</v>
      </c>
      <c r="G35" s="774">
        <v>0</v>
      </c>
      <c r="H35" s="900">
        <f>SUM(D35:G35)</f>
        <v>0</v>
      </c>
      <c r="I35" s="69"/>
      <c r="J35" s="474"/>
      <c r="K35" s="1495"/>
      <c r="L35" s="953"/>
      <c r="M35" s="953"/>
      <c r="N35" s="953"/>
      <c r="O35" s="953"/>
      <c r="P35" s="953"/>
      <c r="Q35" s="953"/>
      <c r="R35" s="953"/>
      <c r="S35" s="953"/>
      <c r="T35" s="578"/>
    </row>
    <row r="36" spans="1:20" s="4" customFormat="1" ht="13.5" customHeight="1">
      <c r="A36"/>
      <c r="B36" s="204"/>
      <c r="C36" s="205" t="s">
        <v>189</v>
      </c>
      <c r="D36" s="476">
        <v>0.24</v>
      </c>
      <c r="E36" s="476">
        <v>0.24</v>
      </c>
      <c r="F36" s="476">
        <v>0.24</v>
      </c>
      <c r="G36" s="476">
        <v>0.24</v>
      </c>
      <c r="H36" s="948"/>
      <c r="I36" s="208"/>
      <c r="J36" s="474"/>
      <c r="K36" s="1495"/>
      <c r="L36" s="953"/>
      <c r="M36" s="953"/>
      <c r="N36" s="953"/>
      <c r="O36" s="953"/>
      <c r="P36" s="953"/>
      <c r="Q36" s="953"/>
      <c r="R36" s="953"/>
      <c r="S36" s="953"/>
      <c r="T36" s="578"/>
    </row>
    <row r="37" spans="1:20" s="4" customFormat="1" ht="13.5" customHeight="1">
      <c r="A37"/>
      <c r="B37" s="204"/>
      <c r="C37" s="205" t="s">
        <v>186</v>
      </c>
      <c r="D37" s="476">
        <v>0</v>
      </c>
      <c r="E37" s="476">
        <v>0</v>
      </c>
      <c r="F37" s="476">
        <v>0</v>
      </c>
      <c r="G37" s="476">
        <v>0</v>
      </c>
      <c r="H37" s="948"/>
      <c r="I37" s="208"/>
      <c r="J37" s="474"/>
      <c r="K37" s="1495"/>
      <c r="L37" s="953"/>
      <c r="M37" s="953"/>
      <c r="N37" s="953"/>
      <c r="O37" s="953"/>
      <c r="P37" s="953"/>
      <c r="Q37" s="953"/>
      <c r="R37" s="953"/>
      <c r="S37" s="953"/>
      <c r="T37" s="578"/>
    </row>
    <row r="38" spans="1:20" s="4" customFormat="1" ht="13.5" customHeight="1">
      <c r="A38"/>
      <c r="B38" s="204">
        <v>8</v>
      </c>
      <c r="C38" s="205" t="s">
        <v>195</v>
      </c>
      <c r="D38" s="774">
        <v>0</v>
      </c>
      <c r="E38" s="774">
        <v>0</v>
      </c>
      <c r="F38" s="774">
        <v>0</v>
      </c>
      <c r="G38" s="774">
        <v>0</v>
      </c>
      <c r="H38" s="900">
        <f>SUM(D38:G38)</f>
        <v>0</v>
      </c>
      <c r="I38" s="208"/>
      <c r="J38" s="474"/>
      <c r="K38" s="1495"/>
      <c r="L38" s="953"/>
      <c r="M38" s="953"/>
      <c r="N38" s="953"/>
      <c r="O38" s="953"/>
      <c r="P38" s="953"/>
      <c r="Q38" s="953"/>
      <c r="R38" s="953"/>
      <c r="S38" s="953"/>
      <c r="T38" s="578"/>
    </row>
    <row r="39" spans="1:20" ht="13.5" customHeight="1">
      <c r="B39" s="204">
        <v>9</v>
      </c>
      <c r="C39" s="454" t="s">
        <v>196</v>
      </c>
      <c r="D39" s="774">
        <v>0</v>
      </c>
      <c r="E39" s="774">
        <v>0</v>
      </c>
      <c r="F39" s="774">
        <v>0</v>
      </c>
      <c r="G39" s="774">
        <v>0</v>
      </c>
      <c r="H39" s="900">
        <f>SUM(D39:G39)</f>
        <v>0</v>
      </c>
      <c r="I39" s="69"/>
      <c r="J39" s="474"/>
      <c r="K39" s="1495"/>
      <c r="L39" s="953"/>
      <c r="M39" s="953"/>
      <c r="N39" s="953"/>
      <c r="O39" s="953"/>
      <c r="P39" s="953"/>
      <c r="Q39" s="953"/>
      <c r="R39" s="953"/>
      <c r="S39" s="953"/>
      <c r="T39" s="578"/>
    </row>
    <row r="40" spans="1:20" ht="13.5" customHeight="1" thickBot="1">
      <c r="B40" s="82">
        <v>10</v>
      </c>
      <c r="C40" s="83" t="s">
        <v>197</v>
      </c>
      <c r="D40" s="777">
        <f>D17+D20+D24+D27+D30+D32+D39+D35+D38</f>
        <v>230000</v>
      </c>
      <c r="E40" s="777">
        <f>E17+E20+E24+E27+E30+E32+E39+E35+E38</f>
        <v>0</v>
      </c>
      <c r="F40" s="777">
        <f>F17+F20+F24+F27+F30+F32+F39+F35+F38</f>
        <v>0</v>
      </c>
      <c r="G40" s="777">
        <f>G17+G20+G24+G27+G30+G32+G39+G35+G38</f>
        <v>0</v>
      </c>
      <c r="H40" s="901">
        <f>SUM(D40:G40)</f>
        <v>230000</v>
      </c>
      <c r="I40" s="69"/>
      <c r="J40" s="474"/>
      <c r="K40" s="953"/>
      <c r="L40" s="953"/>
      <c r="M40" s="953"/>
      <c r="N40" s="953"/>
      <c r="O40" s="953"/>
      <c r="P40" s="953"/>
      <c r="Q40" s="953"/>
      <c r="R40" s="953"/>
      <c r="S40" s="953"/>
      <c r="T40" s="578"/>
    </row>
    <row r="41" spans="1:20" ht="6" customHeight="1" thickBot="1">
      <c r="B41" s="321"/>
      <c r="C41" s="322"/>
      <c r="D41" s="322"/>
      <c r="E41" s="322"/>
      <c r="F41" s="322"/>
      <c r="G41" s="322"/>
      <c r="H41" s="902"/>
      <c r="J41" s="526"/>
      <c r="K41" s="1494"/>
      <c r="L41" s="1494"/>
      <c r="M41" s="1494"/>
      <c r="N41" s="1494"/>
      <c r="O41" s="1494"/>
      <c r="P41" s="1494"/>
      <c r="Q41" s="1494"/>
      <c r="R41" s="1494"/>
      <c r="S41" s="1494"/>
      <c r="T41" s="407"/>
    </row>
    <row r="42" spans="1:20" ht="13.5" customHeight="1">
      <c r="B42" s="1974" t="s">
        <v>198</v>
      </c>
      <c r="C42" s="1975"/>
      <c r="D42" s="1713" t="str">
        <f t="shared" ref="D42:G43" si="0">D15</f>
        <v>Prognos 1</v>
      </c>
      <c r="E42" s="1713" t="str">
        <f t="shared" si="0"/>
        <v>Prognos 2</v>
      </c>
      <c r="F42" s="1713" t="str">
        <f t="shared" si="0"/>
        <v>Prognos 3</v>
      </c>
      <c r="G42" s="1713" t="str">
        <f t="shared" si="0"/>
        <v>Prognos 4</v>
      </c>
      <c r="H42" s="1967" t="s">
        <v>183</v>
      </c>
      <c r="J42" s="474"/>
      <c r="K42" s="953"/>
      <c r="L42" s="953"/>
      <c r="M42" s="953"/>
      <c r="N42" s="953"/>
      <c r="O42" s="953"/>
      <c r="P42" s="953"/>
      <c r="Q42" s="953"/>
      <c r="R42" s="953"/>
      <c r="S42" s="953"/>
      <c r="T42" s="578"/>
    </row>
    <row r="43" spans="1:20" ht="13.5" customHeight="1" thickBot="1">
      <c r="A43" s="52"/>
      <c r="B43" s="1976"/>
      <c r="C43" s="1977"/>
      <c r="D43" s="197">
        <f t="shared" si="0"/>
        <v>2023</v>
      </c>
      <c r="E43" s="197">
        <f t="shared" si="0"/>
        <v>2024</v>
      </c>
      <c r="F43" s="197">
        <f t="shared" si="0"/>
        <v>2025</v>
      </c>
      <c r="G43" s="197">
        <f t="shared" si="0"/>
        <v>2026</v>
      </c>
      <c r="H43" s="1968"/>
      <c r="J43" s="474"/>
      <c r="K43" s="953"/>
      <c r="L43" s="953"/>
      <c r="M43" s="953"/>
      <c r="N43" s="953"/>
      <c r="O43" s="953"/>
      <c r="P43" s="953"/>
      <c r="Q43" s="953"/>
      <c r="R43" s="953"/>
      <c r="S43" s="953"/>
      <c r="T43" s="578"/>
    </row>
    <row r="44" spans="1:20" ht="13.5" customHeight="1">
      <c r="A44" s="2"/>
      <c r="B44" s="1957" t="s">
        <v>668</v>
      </c>
      <c r="C44" s="1958"/>
      <c r="D44" s="639"/>
      <c r="E44" s="639"/>
      <c r="F44" s="639"/>
      <c r="G44" s="640"/>
      <c r="H44" s="903" t="s">
        <v>0</v>
      </c>
      <c r="I44" s="52"/>
      <c r="J44" s="474"/>
      <c r="K44" s="953"/>
      <c r="L44" s="953"/>
      <c r="M44" s="953"/>
      <c r="N44" s="953"/>
      <c r="O44" s="953"/>
      <c r="P44" s="953"/>
      <c r="Q44" s="953"/>
      <c r="R44" s="953"/>
      <c r="S44" s="953"/>
      <c r="T44" s="578"/>
    </row>
    <row r="45" spans="1:20" ht="13.5" customHeight="1">
      <c r="B45" s="455">
        <v>11</v>
      </c>
      <c r="C45" s="4" t="s">
        <v>200</v>
      </c>
      <c r="D45" s="456"/>
      <c r="E45" s="456"/>
      <c r="F45" s="456"/>
      <c r="G45" s="457"/>
      <c r="H45" s="904"/>
      <c r="I45" s="52"/>
      <c r="J45" s="474"/>
      <c r="K45" s="953"/>
      <c r="L45" s="953"/>
      <c r="M45" s="953"/>
      <c r="N45" s="953"/>
      <c r="O45" s="953"/>
      <c r="P45" s="953"/>
      <c r="Q45" s="953"/>
      <c r="R45" s="953"/>
      <c r="S45" s="953"/>
      <c r="T45" s="578"/>
    </row>
    <row r="46" spans="1:20" ht="13.5" customHeight="1">
      <c r="B46" s="458"/>
      <c r="C46" s="558" t="s">
        <v>201</v>
      </c>
      <c r="D46" s="778">
        <v>0</v>
      </c>
      <c r="E46" s="778">
        <v>0</v>
      </c>
      <c r="F46" s="778">
        <v>0</v>
      </c>
      <c r="G46" s="779">
        <v>0</v>
      </c>
      <c r="H46" s="905">
        <f>SUM(D46:G46)</f>
        <v>0</v>
      </c>
      <c r="I46" s="70"/>
      <c r="J46" s="474"/>
      <c r="K46" s="953"/>
      <c r="L46" s="953"/>
      <c r="M46" s="953"/>
      <c r="N46" s="953"/>
      <c r="O46" s="953"/>
      <c r="P46" s="953"/>
      <c r="Q46" s="953"/>
      <c r="R46" s="953"/>
      <c r="S46" s="953"/>
      <c r="T46" s="578"/>
    </row>
    <row r="47" spans="1:20" ht="13.5" customHeight="1">
      <c r="B47" s="458"/>
      <c r="C47" s="558" t="s">
        <v>202</v>
      </c>
      <c r="D47" s="778">
        <v>0</v>
      </c>
      <c r="E47" s="778">
        <v>0</v>
      </c>
      <c r="F47" s="778">
        <v>0</v>
      </c>
      <c r="G47" s="778">
        <v>0</v>
      </c>
      <c r="H47" s="900">
        <f>SUM(D47:G47)</f>
        <v>0</v>
      </c>
      <c r="I47" s="70"/>
      <c r="J47" s="474"/>
      <c r="K47" s="953"/>
      <c r="L47" s="953"/>
      <c r="M47" s="953"/>
      <c r="N47" s="953"/>
      <c r="O47" s="953"/>
      <c r="P47" s="953"/>
      <c r="Q47" s="953"/>
      <c r="R47" s="953"/>
      <c r="S47" s="953"/>
      <c r="T47" s="578"/>
    </row>
    <row r="48" spans="1:20" ht="13.5" customHeight="1">
      <c r="B48" s="460">
        <v>12</v>
      </c>
      <c r="C48" s="461" t="s">
        <v>203</v>
      </c>
      <c r="D48" s="780">
        <f>D60-D59-D58-D55-D54-D53-D50-D49-D46-D47-D56-D57</f>
        <v>0</v>
      </c>
      <c r="E48" s="780">
        <f>E60-E59-E58-E55-E54-E53-E50-E49-E46-E47-E56-E57</f>
        <v>0</v>
      </c>
      <c r="F48" s="780">
        <f>F60-F59-F58-F55-F54-F53-F50-F49-F46-F47-F56-F57</f>
        <v>0</v>
      </c>
      <c r="G48" s="780">
        <f>G60-G59-G58-G55-G54-G53-G50-G49-G46-G47-G56-G57</f>
        <v>0</v>
      </c>
      <c r="H48" s="905">
        <f>SUM(D48:G48)</f>
        <v>0</v>
      </c>
      <c r="I48" s="69"/>
      <c r="J48" s="754" t="str">
        <f>IF(C48&lt;0,"LÄG TILL SIFFRAN PÅ PUNKTEN 9 Ökning av rörelsekapital!",IF(D48&lt;0,"LÄG TILL SIFFRAN PÅ PUNKTEN 9 Ökning av rörelsekapital!",IF(E48&lt;0,"LÄG TILL SIFFRAN PÅ PUNKTEN9 Ökning av rörelsekapital!",IF(F48&lt;0,"LÄG TILL SIFFRAN PÅ PUNKTEN 9 Ökning av rörelsekapital!",IF(G48&lt;0,"LÄG TILL SIFFRAN PÅ PUNKTEN 9 Ökning av rörelsekapital!","")))))</f>
        <v/>
      </c>
      <c r="K48" s="1334"/>
      <c r="L48" s="1334"/>
      <c r="M48" s="1334"/>
      <c r="N48" s="1334"/>
      <c r="O48" s="1334"/>
      <c r="P48" s="1334"/>
      <c r="Q48" s="1334"/>
      <c r="R48" s="1334"/>
      <c r="S48" s="1334"/>
      <c r="T48" s="1496"/>
    </row>
    <row r="49" spans="2:20" ht="13.5" customHeight="1">
      <c r="B49" s="460">
        <v>13</v>
      </c>
      <c r="C49" s="461" t="s">
        <v>204</v>
      </c>
      <c r="D49" s="781">
        <v>0</v>
      </c>
      <c r="E49" s="781">
        <v>0</v>
      </c>
      <c r="F49" s="781">
        <v>0</v>
      </c>
      <c r="G49" s="781">
        <v>0</v>
      </c>
      <c r="H49" s="905">
        <f>SUM(D49:G49)</f>
        <v>0</v>
      </c>
      <c r="I49" s="71"/>
      <c r="J49" s="1497" t="s">
        <v>116</v>
      </c>
      <c r="K49" s="1498"/>
      <c r="L49" s="1498"/>
      <c r="M49" s="1498"/>
      <c r="N49" s="1498"/>
      <c r="O49" s="1498"/>
      <c r="P49" s="1498"/>
      <c r="Q49" s="1498"/>
      <c r="R49" s="1498"/>
      <c r="S49" s="1498"/>
      <c r="T49" s="627"/>
    </row>
    <row r="50" spans="2:20" ht="13.5" customHeight="1">
      <c r="B50" s="460">
        <v>14</v>
      </c>
      <c r="C50" s="462" t="s">
        <v>205</v>
      </c>
      <c r="D50" s="781">
        <v>0</v>
      </c>
      <c r="E50" s="781">
        <v>0</v>
      </c>
      <c r="F50" s="781">
        <v>0</v>
      </c>
      <c r="G50" s="782">
        <v>0</v>
      </c>
      <c r="H50" s="905">
        <f>SUM(D50:G50)</f>
        <v>0</v>
      </c>
      <c r="I50" s="69"/>
      <c r="J50" s="754" t="str">
        <f>IF(D$50&gt;0,"Om egendom eller placeringar försäljas, lägg till siffran i T3 BALANS MINSKNING UNDER RÄKENSKAPSPERIODEN!",IF(E50&gt;0,"Om egendom eller placerngas försäljas, lägg till siffran i T3 BALANS MINSKNING UNDER RÄKENSKAPSPERIODEN!",IF(F50&gt;0,"Om egendom eller placeringar försäljas, lägg till siffran i T3 BALANS MINSKNING UNDER RÄKENSKAPSPERIODEN!",IF(G50&gt;0,"Om egendom eller placeringar försäljas, lägg till siffran i T3 BALANS MINSKNING UNDER RÄKENSKAPSPERIODEN!",""))))</f>
        <v/>
      </c>
      <c r="K50" s="1498"/>
      <c r="L50" s="1498"/>
      <c r="M50" s="1498"/>
      <c r="N50" s="1498"/>
      <c r="O50" s="1498"/>
      <c r="P50" s="1498"/>
      <c r="Q50" s="1498"/>
      <c r="R50" s="1498"/>
      <c r="S50" s="1498"/>
      <c r="T50" s="627"/>
    </row>
    <row r="51" spans="2:20" ht="13.5" customHeight="1">
      <c r="B51" s="1955" t="s">
        <v>669</v>
      </c>
      <c r="C51" s="1956"/>
      <c r="D51" s="783"/>
      <c r="E51" s="783"/>
      <c r="F51" s="783"/>
      <c r="G51" s="784"/>
      <c r="H51" s="906"/>
      <c r="J51" s="1960" t="s">
        <v>773</v>
      </c>
      <c r="K51" s="1961"/>
      <c r="L51" s="1499" t="s">
        <v>386</v>
      </c>
      <c r="M51" s="1500" t="s">
        <v>572</v>
      </c>
      <c r="N51" s="1500" t="s">
        <v>557</v>
      </c>
      <c r="O51" s="953"/>
      <c r="P51" s="953"/>
      <c r="Q51" s="953"/>
      <c r="R51" s="953"/>
      <c r="S51" s="953"/>
      <c r="T51" s="578"/>
    </row>
    <row r="52" spans="2:20" ht="13.5" customHeight="1">
      <c r="B52" s="455" t="s">
        <v>0</v>
      </c>
      <c r="C52" s="4" t="s">
        <v>207</v>
      </c>
      <c r="D52" s="785"/>
      <c r="E52" s="785"/>
      <c r="F52" s="785"/>
      <c r="G52" s="786"/>
      <c r="H52" s="904"/>
      <c r="J52" s="1900" t="str">
        <f>C53</f>
        <v xml:space="preserve">Finnvera </v>
      </c>
      <c r="K52" s="721"/>
      <c r="L52" s="476">
        <v>0</v>
      </c>
      <c r="M52" s="775"/>
      <c r="N52" s="609"/>
      <c r="O52" s="719"/>
      <c r="P52" s="719"/>
      <c r="Q52" s="719"/>
      <c r="R52" s="719"/>
      <c r="S52" s="719"/>
      <c r="T52" s="720"/>
    </row>
    <row r="53" spans="2:20" ht="13.5" customHeight="1">
      <c r="B53" s="458">
        <v>15</v>
      </c>
      <c r="C53" s="459" t="s">
        <v>56</v>
      </c>
      <c r="D53" s="781">
        <v>80000</v>
      </c>
      <c r="E53" s="781">
        <v>0</v>
      </c>
      <c r="F53" s="781">
        <v>0</v>
      </c>
      <c r="G53" s="782">
        <v>0</v>
      </c>
      <c r="H53" s="905">
        <f t="shared" ref="H53:H59" si="1">SUM(D53:G53)</f>
        <v>80000</v>
      </c>
      <c r="I53" s="69"/>
      <c r="J53" s="1900" t="str">
        <f>C54</f>
        <v>Bank</v>
      </c>
      <c r="K53" s="721"/>
      <c r="L53" s="476"/>
      <c r="M53" s="775"/>
      <c r="N53" s="609"/>
      <c r="O53" s="719"/>
      <c r="P53" s="719"/>
      <c r="Q53" s="719"/>
      <c r="R53" s="719"/>
      <c r="S53" s="719"/>
      <c r="T53" s="720"/>
    </row>
    <row r="54" spans="2:20" ht="13.5" customHeight="1">
      <c r="B54" s="460">
        <v>16</v>
      </c>
      <c r="C54" s="462" t="s">
        <v>208</v>
      </c>
      <c r="D54" s="781">
        <v>150000</v>
      </c>
      <c r="E54" s="781">
        <v>0</v>
      </c>
      <c r="F54" s="781">
        <v>0</v>
      </c>
      <c r="G54" s="782">
        <v>0</v>
      </c>
      <c r="H54" s="905">
        <f t="shared" si="1"/>
        <v>150000</v>
      </c>
      <c r="I54" s="69"/>
      <c r="J54" s="1969" t="s">
        <v>558</v>
      </c>
      <c r="K54" s="1970"/>
      <c r="L54" s="476"/>
      <c r="M54" s="775"/>
      <c r="N54" s="609"/>
      <c r="O54" s="719"/>
      <c r="P54" s="719"/>
      <c r="Q54" s="719"/>
      <c r="R54" s="719"/>
      <c r="S54" s="719"/>
      <c r="T54" s="720"/>
    </row>
    <row r="55" spans="2:20" ht="13.5" customHeight="1">
      <c r="B55" s="460">
        <v>17</v>
      </c>
      <c r="C55" s="462" t="s">
        <v>541</v>
      </c>
      <c r="D55" s="781">
        <v>0</v>
      </c>
      <c r="E55" s="781">
        <v>0</v>
      </c>
      <c r="F55" s="781">
        <v>0</v>
      </c>
      <c r="G55" s="782">
        <v>0</v>
      </c>
      <c r="H55" s="905">
        <f t="shared" si="1"/>
        <v>0</v>
      </c>
      <c r="I55" s="72"/>
      <c r="J55" s="1969" t="s">
        <v>559</v>
      </c>
      <c r="K55" s="1970"/>
      <c r="L55" s="476">
        <v>0</v>
      </c>
      <c r="M55" s="775"/>
      <c r="N55" s="609"/>
      <c r="O55" s="719"/>
      <c r="P55" s="719"/>
      <c r="Q55" s="719"/>
      <c r="R55" s="719"/>
      <c r="S55" s="719"/>
      <c r="T55" s="720"/>
    </row>
    <row r="56" spans="2:20" ht="13.5" customHeight="1">
      <c r="B56" s="460">
        <v>18</v>
      </c>
      <c r="C56" s="708" t="s">
        <v>580</v>
      </c>
      <c r="D56" s="781">
        <v>0</v>
      </c>
      <c r="E56" s="781">
        <v>0</v>
      </c>
      <c r="F56" s="781">
        <v>0</v>
      </c>
      <c r="G56" s="782">
        <v>0</v>
      </c>
      <c r="H56" s="905">
        <f t="shared" si="1"/>
        <v>0</v>
      </c>
      <c r="I56" s="72"/>
      <c r="J56" s="1493"/>
      <c r="K56" s="953"/>
      <c r="L56" s="953"/>
      <c r="M56" s="953"/>
      <c r="N56" s="953"/>
      <c r="O56" s="953"/>
      <c r="P56" s="953"/>
      <c r="Q56" s="953"/>
      <c r="R56" s="953"/>
      <c r="S56" s="953"/>
      <c r="T56" s="578"/>
    </row>
    <row r="57" spans="2:20" ht="13.5" customHeight="1">
      <c r="B57" s="460">
        <v>19</v>
      </c>
      <c r="C57" s="708" t="s">
        <v>581</v>
      </c>
      <c r="D57" s="781">
        <v>0</v>
      </c>
      <c r="E57" s="781">
        <v>0</v>
      </c>
      <c r="F57" s="781">
        <v>0</v>
      </c>
      <c r="G57" s="782">
        <v>0</v>
      </c>
      <c r="H57" s="905">
        <f>SUM(D57:G57)</f>
        <v>0</v>
      </c>
      <c r="I57" s="72"/>
      <c r="J57" s="1493"/>
      <c r="K57" s="953"/>
      <c r="L57" s="953"/>
      <c r="M57" s="953"/>
      <c r="N57" s="953"/>
      <c r="O57" s="953"/>
      <c r="P57" s="953"/>
      <c r="Q57" s="953"/>
      <c r="R57" s="953"/>
      <c r="S57" s="953"/>
      <c r="T57" s="578"/>
    </row>
    <row r="58" spans="2:20" ht="13.5" customHeight="1">
      <c r="B58" s="460">
        <v>20</v>
      </c>
      <c r="C58" s="461" t="s">
        <v>210</v>
      </c>
      <c r="D58" s="787">
        <f>'AT1 Avustus, alv-laskenta'!C49</f>
        <v>0</v>
      </c>
      <c r="E58" s="787">
        <f>'AT1 Avustus, alv-laskenta'!D49</f>
        <v>0</v>
      </c>
      <c r="F58" s="787">
        <f>'AT1 Avustus, alv-laskenta'!E49</f>
        <v>0</v>
      </c>
      <c r="G58" s="787">
        <f>'AT1 Avustus, alv-laskenta'!F49</f>
        <v>0</v>
      </c>
      <c r="H58" s="905">
        <f t="shared" si="1"/>
        <v>0</v>
      </c>
      <c r="I58" s="69"/>
      <c r="J58" s="474">
        <v>0</v>
      </c>
      <c r="K58" s="953"/>
      <c r="L58" s="953"/>
      <c r="M58" s="953"/>
      <c r="N58" s="953"/>
      <c r="O58" s="953"/>
      <c r="P58" s="953"/>
      <c r="Q58" s="953"/>
      <c r="R58" s="953"/>
      <c r="S58" s="953"/>
      <c r="T58" s="578"/>
    </row>
    <row r="59" spans="2:20" ht="13.5" customHeight="1">
      <c r="B59" s="460">
        <v>21</v>
      </c>
      <c r="C59" s="461" t="s">
        <v>552</v>
      </c>
      <c r="D59" s="787">
        <f>'AT1 Avustus, alv-laskenta'!C50</f>
        <v>0</v>
      </c>
      <c r="E59" s="787">
        <f>'AT1 Avustus, alv-laskenta'!D50</f>
        <v>0</v>
      </c>
      <c r="F59" s="787">
        <f>'AT1 Avustus, alv-laskenta'!E50</f>
        <v>0</v>
      </c>
      <c r="G59" s="787">
        <f>'AT1 Avustus, alv-laskenta'!F50</f>
        <v>0</v>
      </c>
      <c r="H59" s="905">
        <f t="shared" si="1"/>
        <v>0</v>
      </c>
      <c r="I59" s="69"/>
      <c r="J59" s="474">
        <v>0</v>
      </c>
      <c r="K59" s="953"/>
      <c r="L59" s="953"/>
      <c r="M59" s="953"/>
      <c r="N59" s="953"/>
      <c r="O59" s="953"/>
      <c r="P59" s="953"/>
      <c r="Q59" s="953"/>
      <c r="R59" s="953"/>
      <c r="S59" s="953"/>
      <c r="T59" s="578"/>
    </row>
    <row r="60" spans="2:20" ht="13.5" customHeight="1" thickBot="1">
      <c r="B60" s="209">
        <v>22</v>
      </c>
      <c r="C60" s="210" t="s">
        <v>212</v>
      </c>
      <c r="D60" s="788">
        <f>D40</f>
        <v>230000</v>
      </c>
      <c r="E60" s="788">
        <f>E40</f>
        <v>0</v>
      </c>
      <c r="F60" s="788">
        <f>F40</f>
        <v>0</v>
      </c>
      <c r="G60" s="788">
        <f>G40</f>
        <v>0</v>
      </c>
      <c r="H60" s="907">
        <f>SUM(D60:G60)</f>
        <v>230000</v>
      </c>
      <c r="I60" s="69"/>
      <c r="J60" s="474">
        <v>0</v>
      </c>
      <c r="K60" s="953"/>
      <c r="L60" s="953"/>
      <c r="M60" s="953"/>
      <c r="N60" s="953"/>
      <c r="O60" s="953"/>
      <c r="P60" s="953"/>
      <c r="Q60" s="953"/>
      <c r="R60" s="953"/>
      <c r="S60" s="953"/>
      <c r="T60" s="578"/>
    </row>
    <row r="61" spans="2:20" ht="3" customHeight="1">
      <c r="B61" s="84"/>
      <c r="C61" s="76"/>
      <c r="D61" s="84"/>
      <c r="E61" s="84"/>
      <c r="F61" s="84"/>
      <c r="G61" s="84"/>
      <c r="H61" s="183"/>
      <c r="I61" s="69"/>
      <c r="J61" s="526"/>
      <c r="K61" s="1494"/>
      <c r="L61" s="1494"/>
      <c r="M61" s="1494"/>
      <c r="N61" s="1494"/>
      <c r="O61" s="1494"/>
      <c r="P61" s="1494"/>
      <c r="Q61" s="1494"/>
      <c r="R61" s="1494"/>
      <c r="S61" s="1494"/>
      <c r="T61" s="407"/>
    </row>
    <row r="62" spans="2:20" ht="15" customHeight="1">
      <c r="B62" s="324">
        <v>23</v>
      </c>
      <c r="C62" s="75" t="s">
        <v>213</v>
      </c>
      <c r="D62" s="789"/>
      <c r="E62" s="789"/>
      <c r="F62" s="789"/>
      <c r="G62" s="789"/>
      <c r="H62" s="325">
        <v>0</v>
      </c>
      <c r="I62" s="69"/>
      <c r="J62" s="1501"/>
      <c r="K62" s="205"/>
      <c r="L62" s="205"/>
      <c r="M62" s="579"/>
      <c r="N62" s="579"/>
      <c r="O62" s="579"/>
      <c r="P62" s="579"/>
      <c r="Q62" s="579"/>
      <c r="R62" s="579"/>
      <c r="S62" s="579"/>
      <c r="T62" s="581"/>
    </row>
    <row r="63" spans="2:20" ht="12.75" customHeight="1">
      <c r="C63" s="712" t="str">
        <f>IF(D48&lt;0,"12 INTERNFINANSIERINN MINST 0!",IF(E48&lt;0,"12 INTERNFINANSIERINN MINST 0!",IF(F48&lt;0,"12 INTERNFINANSIERINN MINST 0!",IF(G48&lt;0,"12 INTERNFINANSIERINN MINST 0!",""))))</f>
        <v/>
      </c>
    </row>
    <row r="64" spans="2:20">
      <c r="B64" s="77" t="str">
        <f>STARTSIDAN!D26</f>
        <v>FT22 Det aktiva företagets resultatplan</v>
      </c>
      <c r="C64" s="51"/>
      <c r="D64" s="51"/>
      <c r="E64" s="51"/>
      <c r="F64" s="51"/>
      <c r="G64" s="51"/>
      <c r="H64" s="93" t="str">
        <f>STARTSIDAN!J5</f>
        <v xml:space="preserve">Tjänsten erbjuds av: </v>
      </c>
      <c r="J64"/>
    </row>
    <row r="65" spans="2:10" ht="12.75" customHeight="1">
      <c r="B65" s="77" t="s">
        <v>0</v>
      </c>
      <c r="D65" s="1959" t="str">
        <f>STARTSIDAN!H7</f>
        <v>Dynamo Närpes och Kristinestads näringslivscentral Ab</v>
      </c>
      <c r="E65" s="1959"/>
      <c r="F65" s="1959"/>
      <c r="G65" s="1959"/>
      <c r="H65" s="1959"/>
      <c r="J65"/>
    </row>
    <row r="66" spans="2:10">
      <c r="B66" s="77"/>
      <c r="D66" s="1959"/>
      <c r="E66" s="1959"/>
      <c r="F66" s="1959"/>
      <c r="G66" s="1959"/>
      <c r="H66" s="1959"/>
    </row>
    <row r="67" spans="2:10" ht="14.15">
      <c r="B67" s="79" t="s">
        <v>243</v>
      </c>
      <c r="C67" s="80"/>
    </row>
    <row r="68" spans="2:10" ht="14.15">
      <c r="B68" s="79" t="s">
        <v>244</v>
      </c>
      <c r="C68" s="80"/>
    </row>
    <row r="69" spans="2:10" ht="14.15">
      <c r="B69" s="79" t="s">
        <v>245</v>
      </c>
      <c r="C69" s="80"/>
    </row>
    <row r="70" spans="2:10" ht="14.15">
      <c r="B70" s="79"/>
      <c r="C70" s="80" t="s">
        <v>246</v>
      </c>
    </row>
    <row r="71" spans="2:10" ht="14.15">
      <c r="B71" s="79"/>
      <c r="C71" s="80" t="s">
        <v>247</v>
      </c>
    </row>
    <row r="72" spans="2:10" ht="14.15">
      <c r="B72" s="79" t="s">
        <v>248</v>
      </c>
      <c r="C72" s="80"/>
    </row>
    <row r="73" spans="2:10" ht="14.15">
      <c r="B73" s="79" t="s">
        <v>249</v>
      </c>
      <c r="C73" s="80"/>
    </row>
    <row r="74" spans="2:10" ht="14.15">
      <c r="B74" s="79" t="s">
        <v>250</v>
      </c>
      <c r="C74" s="80"/>
    </row>
    <row r="75" spans="2:10" ht="14.15">
      <c r="B75" s="79" t="s">
        <v>251</v>
      </c>
      <c r="C75" s="80"/>
    </row>
    <row r="77" spans="2:10">
      <c r="B77" s="493" t="s">
        <v>238</v>
      </c>
      <c r="C77" s="649"/>
    </row>
    <row r="78" spans="2:10">
      <c r="B78" s="51" t="s">
        <v>239</v>
      </c>
      <c r="C78" s="35"/>
    </row>
    <row r="79" spans="2:10">
      <c r="B79" s="51" t="s">
        <v>240</v>
      </c>
      <c r="C79" s="35"/>
    </row>
  </sheetData>
  <sheetProtection algorithmName="SHA-512" hashValue="Xnn2NV/jHOf88PmKoaqQWr8PeZEfvMCzhXjTbNujj/OntoxNx6bwxaTwIeYG9K5oUcqC/XBohrgYLfu5+M18pw==" saltValue="yBpAOHniqjQJH7vdv1VzUg==" spinCount="100000" sheet="1" scenarios="1"/>
  <mergeCells count="22">
    <mergeCell ref="B9:D9"/>
    <mergeCell ref="B15:C16"/>
    <mergeCell ref="B42:C43"/>
    <mergeCell ref="J3:K3"/>
    <mergeCell ref="E5:F5"/>
    <mergeCell ref="B7:D7"/>
    <mergeCell ref="E7:H7"/>
    <mergeCell ref="E9:H9"/>
    <mergeCell ref="E11:H11"/>
    <mergeCell ref="E10:H10"/>
    <mergeCell ref="B6:D6"/>
    <mergeCell ref="B11:D11"/>
    <mergeCell ref="B51:C51"/>
    <mergeCell ref="B44:C44"/>
    <mergeCell ref="D65:H66"/>
    <mergeCell ref="J51:K51"/>
    <mergeCell ref="E12:H12"/>
    <mergeCell ref="E13:H13"/>
    <mergeCell ref="H15:H16"/>
    <mergeCell ref="H42:H43"/>
    <mergeCell ref="J54:K54"/>
    <mergeCell ref="J55:K55"/>
  </mergeCells>
  <printOptions horizontalCentered="1"/>
  <pageMargins left="0.23622047244094491" right="0.23622047244094491" top="0.74803149606299213" bottom="0.74803149606299213" header="0.31496062992125984" footer="0.31496062992125984"/>
  <pageSetup paperSize="9" scale="90" orientation="portrait" verticalDpi="4" r:id="rId1"/>
  <colBreaks count="1" manualBreakCount="1">
    <brk id="8" min="1" max="6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tabColor rgb="FF33CC33"/>
  </sheetPr>
  <dimension ref="A2:AF129"/>
  <sheetViews>
    <sheetView showGridLines="0" showZeros="0" defaultGridColor="0" colorId="55" zoomScaleNormal="100" workbookViewId="0">
      <selection activeCell="G21" sqref="G21"/>
    </sheetView>
  </sheetViews>
  <sheetFormatPr defaultRowHeight="12.45"/>
  <cols>
    <col min="2" max="2" width="2.84375" style="41" customWidth="1"/>
    <col min="3" max="3" width="34.3046875" customWidth="1"/>
    <col min="4" max="4" width="5.3046875" customWidth="1"/>
    <col min="5" max="5" width="12.4609375" customWidth="1"/>
    <col min="6" max="6" width="5.3046875" customWidth="1"/>
    <col min="7" max="7" width="12.4609375" customWidth="1"/>
    <col min="8" max="8" width="5.69140625" style="41" customWidth="1"/>
    <col min="9" max="9" width="12.4609375" style="4" customWidth="1"/>
    <col min="10" max="10" width="5.69140625" style="41" customWidth="1"/>
    <col min="11" max="11" width="12.4609375" customWidth="1"/>
    <col min="12" max="12" width="5.69140625" style="41" customWidth="1"/>
    <col min="13" max="13" width="12.4609375" customWidth="1"/>
    <col min="14" max="14" width="5.69140625" style="41" customWidth="1"/>
    <col min="15" max="15" width="12.4609375" customWidth="1"/>
    <col min="16" max="16" width="5.69140625" style="41" customWidth="1"/>
    <col min="17" max="17" width="3.3046875" customWidth="1"/>
  </cols>
  <sheetData>
    <row r="2" spans="1:32" ht="15.45">
      <c r="C2" s="25" t="s">
        <v>214</v>
      </c>
      <c r="G2" s="47" t="s">
        <v>169</v>
      </c>
      <c r="R2" s="25" t="s">
        <v>214</v>
      </c>
    </row>
    <row r="3" spans="1:32" ht="15.45">
      <c r="G3" s="1928">
        <f>'1. T1 INVESTERINGSP. '!E4</f>
        <v>0</v>
      </c>
      <c r="I3" s="522"/>
      <c r="K3" s="521"/>
    </row>
    <row r="4" spans="1:32" ht="20.25" customHeight="1" thickBot="1">
      <c r="B4" s="47" t="s">
        <v>171</v>
      </c>
      <c r="C4" s="44"/>
      <c r="D4" s="44"/>
      <c r="E4" s="44"/>
      <c r="F4" s="44"/>
      <c r="G4" s="44" t="s">
        <v>172</v>
      </c>
      <c r="H4" s="57"/>
      <c r="I4" s="403"/>
      <c r="K4" s="47" t="s">
        <v>173</v>
      </c>
      <c r="M4" s="44"/>
      <c r="N4" s="44" t="s">
        <v>175</v>
      </c>
      <c r="O4" s="44"/>
      <c r="P4" s="57"/>
      <c r="T4" s="212"/>
    </row>
    <row r="5" spans="1:32" ht="15" customHeight="1">
      <c r="B5" s="2032" t="str">
        <f>'1. T1 INVESTERINGSP. '!B7:D7</f>
        <v>Exempel Dagis Ab</v>
      </c>
      <c r="C5" s="2032"/>
      <c r="D5" s="2032"/>
      <c r="E5" s="1929"/>
      <c r="F5" s="1929"/>
      <c r="G5" s="2014">
        <f>'1. T1 INVESTERINGSP. '!E7</f>
        <v>0</v>
      </c>
      <c r="H5" s="2014"/>
      <c r="I5" s="2014"/>
      <c r="J5" s="2014"/>
      <c r="K5" s="2016">
        <f>'1. T1 INVESTERINGSP. '!B9</f>
        <v>0</v>
      </c>
      <c r="L5" s="2016"/>
      <c r="M5" s="2016"/>
      <c r="N5" s="2015">
        <f>'1. T1 INVESTERINGSP. '!E9</f>
        <v>0</v>
      </c>
      <c r="O5" s="2015"/>
      <c r="P5" s="2015"/>
      <c r="R5" s="481" t="s">
        <v>215</v>
      </c>
      <c r="S5" s="375"/>
      <c r="T5" s="482"/>
      <c r="U5" s="375"/>
      <c r="V5" s="375"/>
      <c r="W5" s="375"/>
      <c r="X5" s="375"/>
      <c r="Y5" s="375"/>
      <c r="Z5" s="704"/>
      <c r="AA5" s="704"/>
      <c r="AB5" s="704"/>
      <c r="AC5" s="704"/>
      <c r="AD5" s="704"/>
      <c r="AE5" s="704"/>
      <c r="AF5" s="705"/>
    </row>
    <row r="6" spans="1:32" ht="12.75" customHeight="1" thickBot="1">
      <c r="R6" s="1995"/>
      <c r="S6" s="1996"/>
      <c r="T6" s="487"/>
      <c r="U6" s="185"/>
      <c r="V6" s="185"/>
      <c r="W6" s="185"/>
      <c r="X6" s="185"/>
      <c r="Y6" s="185"/>
      <c r="Z6" s="185"/>
      <c r="AA6" s="185"/>
      <c r="AB6" s="185"/>
      <c r="AC6" s="185"/>
      <c r="AD6" s="185"/>
      <c r="AE6" s="185"/>
      <c r="AF6" s="437"/>
    </row>
    <row r="7" spans="1:32">
      <c r="A7" s="52"/>
      <c r="B7" s="2000" t="s">
        <v>0</v>
      </c>
      <c r="C7" s="2001"/>
      <c r="D7" s="2002"/>
      <c r="E7" s="2021" t="s">
        <v>241</v>
      </c>
      <c r="F7" s="2022"/>
      <c r="G7" s="2021" t="s">
        <v>241</v>
      </c>
      <c r="H7" s="2022"/>
      <c r="I7" s="2021" t="s">
        <v>179</v>
      </c>
      <c r="J7" s="2022"/>
      <c r="K7" s="2021" t="s">
        <v>180</v>
      </c>
      <c r="L7" s="2022"/>
      <c r="M7" s="2021" t="s">
        <v>181</v>
      </c>
      <c r="N7" s="2022"/>
      <c r="O7" s="2021" t="s">
        <v>182</v>
      </c>
      <c r="P7" s="2022"/>
      <c r="Q7" s="4"/>
      <c r="R7" s="477"/>
      <c r="S7" s="381"/>
      <c r="T7" s="706"/>
      <c r="U7" s="381"/>
      <c r="V7" s="381"/>
      <c r="W7" s="381"/>
      <c r="X7" s="381"/>
      <c r="Y7" s="381"/>
      <c r="Z7" s="381"/>
      <c r="AA7" s="381"/>
      <c r="AB7" s="381"/>
      <c r="AC7" s="381"/>
      <c r="AD7" s="381"/>
      <c r="AE7" s="381"/>
      <c r="AF7" s="438"/>
    </row>
    <row r="8" spans="1:32">
      <c r="B8" s="2003"/>
      <c r="C8" s="2004"/>
      <c r="D8" s="2005"/>
      <c r="E8" s="2043">
        <v>2021</v>
      </c>
      <c r="F8" s="2044"/>
      <c r="G8" s="2043">
        <v>2022</v>
      </c>
      <c r="H8" s="2044"/>
      <c r="I8" s="2046">
        <v>2023</v>
      </c>
      <c r="J8" s="2044"/>
      <c r="K8" s="2036">
        <f>I8+1</f>
        <v>2024</v>
      </c>
      <c r="L8" s="2037"/>
      <c r="M8" s="2036">
        <f>K8+1</f>
        <v>2025</v>
      </c>
      <c r="N8" s="2037"/>
      <c r="O8" s="2036">
        <f>M8+1</f>
        <v>2026</v>
      </c>
      <c r="P8" s="2037"/>
      <c r="Q8" s="4"/>
      <c r="R8" s="477"/>
      <c r="S8" s="381"/>
      <c r="T8" s="706"/>
      <c r="U8" s="381"/>
      <c r="V8" s="381"/>
      <c r="W8" s="381"/>
      <c r="X8" s="381"/>
      <c r="Y8" s="381"/>
      <c r="Z8" s="381"/>
      <c r="AA8" s="381"/>
      <c r="AB8" s="381"/>
      <c r="AC8" s="381"/>
      <c r="AD8" s="381"/>
      <c r="AE8" s="381"/>
      <c r="AF8" s="438"/>
    </row>
    <row r="9" spans="1:32" ht="12.9" thickBot="1">
      <c r="A9" s="52"/>
      <c r="B9" s="1714"/>
      <c r="C9" s="1715"/>
      <c r="D9" s="1716"/>
      <c r="E9" s="1717" t="s">
        <v>242</v>
      </c>
      <c r="F9" s="1718" t="s">
        <v>13</v>
      </c>
      <c r="G9" s="1717" t="s">
        <v>242</v>
      </c>
      <c r="H9" s="1718" t="s">
        <v>13</v>
      </c>
      <c r="I9" s="1717" t="s">
        <v>242</v>
      </c>
      <c r="J9" s="1718" t="s">
        <v>13</v>
      </c>
      <c r="K9" s="1717" t="s">
        <v>242</v>
      </c>
      <c r="L9" s="1718" t="s">
        <v>13</v>
      </c>
      <c r="M9" s="1717" t="s">
        <v>242</v>
      </c>
      <c r="N9" s="1718" t="s">
        <v>13</v>
      </c>
      <c r="O9" s="1717" t="s">
        <v>242</v>
      </c>
      <c r="P9" s="1718" t="s">
        <v>13</v>
      </c>
      <c r="Q9" s="4"/>
      <c r="R9" s="477"/>
      <c r="S9" s="381"/>
      <c r="T9" s="381"/>
      <c r="U9" s="381"/>
      <c r="V9" s="381"/>
      <c r="W9" s="381"/>
      <c r="X9" s="381"/>
      <c r="Y9" s="381"/>
      <c r="Z9" s="381"/>
      <c r="AA9" s="381"/>
      <c r="AB9" s="381"/>
      <c r="AC9" s="381"/>
      <c r="AD9" s="381"/>
      <c r="AE9" s="381"/>
      <c r="AF9" s="438"/>
    </row>
    <row r="10" spans="1:32">
      <c r="A10" s="2"/>
      <c r="B10" s="452"/>
      <c r="C10" s="429"/>
      <c r="D10" s="1335" t="s">
        <v>216</v>
      </c>
      <c r="E10" s="2038">
        <v>12</v>
      </c>
      <c r="F10" s="2039"/>
      <c r="G10" s="2038" t="s">
        <v>147</v>
      </c>
      <c r="H10" s="2039"/>
      <c r="I10" s="2038">
        <v>12</v>
      </c>
      <c r="J10" s="2039"/>
      <c r="K10" s="2038" t="s">
        <v>147</v>
      </c>
      <c r="L10" s="2039"/>
      <c r="M10" s="2038" t="s">
        <v>147</v>
      </c>
      <c r="N10" s="2039"/>
      <c r="O10" s="2038" t="s">
        <v>147</v>
      </c>
      <c r="P10" s="2039"/>
      <c r="Q10" s="4"/>
      <c r="R10" s="2041" t="s">
        <v>595</v>
      </c>
      <c r="S10" s="2042"/>
      <c r="T10" s="2042"/>
      <c r="U10" s="2042"/>
      <c r="V10" s="381"/>
      <c r="W10" s="381"/>
      <c r="X10" s="381"/>
      <c r="Y10" s="381"/>
      <c r="Z10" s="381"/>
      <c r="AA10" s="381"/>
      <c r="AB10" s="381"/>
      <c r="AC10" s="381"/>
      <c r="AD10" s="381"/>
      <c r="AE10" s="381"/>
      <c r="AF10" s="438"/>
    </row>
    <row r="11" spans="1:32" s="52" customFormat="1" ht="12.65" customHeight="1">
      <c r="B11" s="395" t="s">
        <v>2</v>
      </c>
      <c r="C11" s="1334" t="s">
        <v>217</v>
      </c>
      <c r="D11" s="397" t="s">
        <v>15</v>
      </c>
      <c r="E11" s="1234">
        <v>0</v>
      </c>
      <c r="F11" s="946">
        <v>0</v>
      </c>
      <c r="G11" s="1234">
        <v>175886</v>
      </c>
      <c r="H11" s="946">
        <v>0</v>
      </c>
      <c r="I11" s="1075">
        <f>'6. E2 OMSÄTTNING '!E70</f>
        <v>192350</v>
      </c>
      <c r="J11" s="946">
        <v>0</v>
      </c>
      <c r="K11" s="1075">
        <f>'6. E2 OMSÄTTNING '!F70</f>
        <v>219352.91999999998</v>
      </c>
      <c r="L11" s="946">
        <v>0</v>
      </c>
      <c r="M11" s="1075">
        <f>'6. E2 OMSÄTTNING '!G70</f>
        <v>258737.59649999996</v>
      </c>
      <c r="N11" s="946">
        <v>0</v>
      </c>
      <c r="O11" s="1075">
        <f>'6. E2 OMSÄTTNING '!H70</f>
        <v>266499.72439500003</v>
      </c>
      <c r="P11" s="946">
        <v>0</v>
      </c>
      <c r="Q11" s="185"/>
      <c r="R11" s="442">
        <f>I8</f>
        <v>2023</v>
      </c>
      <c r="S11" s="349">
        <f>K8</f>
        <v>2024</v>
      </c>
      <c r="T11" s="349">
        <f>M$8</f>
        <v>2025</v>
      </c>
      <c r="U11" s="349">
        <f>O$8</f>
        <v>2026</v>
      </c>
      <c r="V11" s="477"/>
      <c r="W11" s="381"/>
      <c r="X11" s="381"/>
      <c r="Y11" s="381"/>
      <c r="Z11" s="381"/>
      <c r="AA11" s="381"/>
      <c r="AB11" s="381"/>
      <c r="AC11" s="381"/>
      <c r="AD11" s="381"/>
      <c r="AE11" s="381"/>
      <c r="AF11" s="438"/>
    </row>
    <row r="12" spans="1:32" s="52" customFormat="1" ht="12.65" customHeight="1">
      <c r="A12"/>
      <c r="B12" s="382" t="s">
        <v>3</v>
      </c>
      <c r="C12" s="383" t="s">
        <v>218</v>
      </c>
      <c r="D12" s="384" t="s">
        <v>15</v>
      </c>
      <c r="E12" s="1060">
        <v>0</v>
      </c>
      <c r="F12" s="947">
        <v>0</v>
      </c>
      <c r="G12" s="1060">
        <v>540</v>
      </c>
      <c r="H12" s="947">
        <v>0</v>
      </c>
      <c r="I12" s="1060">
        <v>540</v>
      </c>
      <c r="J12" s="947"/>
      <c r="K12" s="1060">
        <f>I12+I12*S12</f>
        <v>550.79999999999995</v>
      </c>
      <c r="L12" s="947"/>
      <c r="M12" s="1060">
        <f>K12+K12*T12</f>
        <v>561.81599999999992</v>
      </c>
      <c r="N12" s="947"/>
      <c r="O12" s="1060">
        <f>M12+M12*U12</f>
        <v>573.0523199999999</v>
      </c>
      <c r="P12" s="947"/>
      <c r="Q12" s="185"/>
      <c r="R12" s="475">
        <v>0.02</v>
      </c>
      <c r="S12" s="476">
        <v>0.02</v>
      </c>
      <c r="T12" s="476">
        <f>S12</f>
        <v>0.02</v>
      </c>
      <c r="U12" s="476">
        <f>T12</f>
        <v>0.02</v>
      </c>
      <c r="V12" s="477" t="s">
        <v>0</v>
      </c>
      <c r="W12" s="381"/>
      <c r="X12" s="381"/>
      <c r="Y12" s="381"/>
      <c r="Z12" s="381"/>
      <c r="AA12" s="381"/>
      <c r="AB12" s="381"/>
      <c r="AC12" s="381"/>
      <c r="AD12" s="381"/>
      <c r="AE12" s="381"/>
      <c r="AF12" s="438"/>
    </row>
    <row r="13" spans="1:32" s="52" customFormat="1" ht="12.65" customHeight="1">
      <c r="A13"/>
      <c r="B13" s="382" t="s">
        <v>4</v>
      </c>
      <c r="C13" s="383" t="s">
        <v>230</v>
      </c>
      <c r="D13" s="384" t="s">
        <v>15</v>
      </c>
      <c r="E13" s="1060">
        <v>0</v>
      </c>
      <c r="F13" s="947"/>
      <c r="G13" s="1060">
        <v>0</v>
      </c>
      <c r="H13" s="947"/>
      <c r="I13" s="1060"/>
      <c r="J13" s="947"/>
      <c r="K13" s="1060"/>
      <c r="L13" s="947"/>
      <c r="M13" s="1060"/>
      <c r="N13" s="947"/>
      <c r="O13" s="1060"/>
      <c r="P13" s="947"/>
      <c r="Q13" s="185"/>
      <c r="R13" s="707"/>
      <c r="S13" s="615"/>
      <c r="T13" s="615"/>
      <c r="U13" s="615"/>
      <c r="V13" s="381"/>
      <c r="W13" s="381"/>
      <c r="X13" s="381"/>
      <c r="Y13" s="381"/>
      <c r="Z13" s="381"/>
      <c r="AA13" s="381"/>
      <c r="AB13" s="381"/>
      <c r="AC13" s="381"/>
      <c r="AD13" s="381"/>
      <c r="AE13" s="381"/>
      <c r="AF13" s="438"/>
    </row>
    <row r="14" spans="1:32" s="48" customFormat="1" ht="12.65" customHeight="1">
      <c r="A14" s="52"/>
      <c r="B14" s="382" t="s">
        <v>5</v>
      </c>
      <c r="C14" s="385" t="s">
        <v>219</v>
      </c>
      <c r="D14" s="386"/>
      <c r="E14" s="1235">
        <f>SUM(E11:E13)</f>
        <v>0</v>
      </c>
      <c r="F14" s="387">
        <v>100</v>
      </c>
      <c r="G14" s="1235">
        <f>SUM(G11:G13)</f>
        <v>176426</v>
      </c>
      <c r="H14" s="387">
        <v>100</v>
      </c>
      <c r="I14" s="1235">
        <f>SUM(I11:I13)</f>
        <v>192890</v>
      </c>
      <c r="J14" s="387">
        <v>100</v>
      </c>
      <c r="K14" s="1235">
        <f>SUM(K11:K13)</f>
        <v>219903.71999999997</v>
      </c>
      <c r="L14" s="387">
        <v>100</v>
      </c>
      <c r="M14" s="1235">
        <f>SUM(M11:M13)</f>
        <v>259299.41249999995</v>
      </c>
      <c r="N14" s="387">
        <v>100</v>
      </c>
      <c r="O14" s="1235">
        <f>SUM(O11:O13)</f>
        <v>267072.77671500004</v>
      </c>
      <c r="P14" s="387">
        <v>100</v>
      </c>
      <c r="Q14" s="185"/>
      <c r="R14" s="477"/>
      <c r="S14" s="381"/>
      <c r="T14" s="381"/>
      <c r="U14" s="381"/>
      <c r="V14" s="381"/>
      <c r="W14" s="381"/>
      <c r="X14" s="381"/>
      <c r="Y14" s="381"/>
      <c r="Z14" s="381"/>
      <c r="AA14" s="381"/>
      <c r="AB14" s="381"/>
      <c r="AC14" s="381"/>
      <c r="AD14" s="381"/>
      <c r="AE14" s="381"/>
      <c r="AF14" s="438"/>
    </row>
    <row r="15" spans="1:32" s="52" customFormat="1" ht="12.65" customHeight="1">
      <c r="A15"/>
      <c r="B15" s="382" t="s">
        <v>6</v>
      </c>
      <c r="C15" s="383" t="s">
        <v>220</v>
      </c>
      <c r="D15" s="384" t="s">
        <v>16</v>
      </c>
      <c r="E15" s="1060">
        <v>0</v>
      </c>
      <c r="F15" s="388">
        <f>-IF(E$14&gt;0,E15/E$14*100,0)</f>
        <v>0</v>
      </c>
      <c r="G15" s="1060">
        <v>-13609</v>
      </c>
      <c r="H15" s="388">
        <f>-IF(G$14&gt;0,G15/G$14*100,0)</f>
        <v>7.7137156654914811</v>
      </c>
      <c r="I15" s="1035">
        <f>-'6. E2 OMSÄTTNING '!E71</f>
        <v>-15388</v>
      </c>
      <c r="J15" s="388">
        <f>-IF(I$14&gt;0,I15/I$14*100,0)</f>
        <v>7.9776038156462228</v>
      </c>
      <c r="K15" s="1035">
        <f>-'6. E2 OMSÄTTNING '!F71</f>
        <v>-17548.2336</v>
      </c>
      <c r="L15" s="388">
        <f>-IF(K$14&gt;0,K15/K$14*100,0)</f>
        <v>7.9799621397946341</v>
      </c>
      <c r="M15" s="1035">
        <f>-'6. E2 OMSÄTTNING '!G71</f>
        <v>-20699.007719999998</v>
      </c>
      <c r="N15" s="388">
        <f>-IF(M$14&gt;0,M15/M$14*100,0)</f>
        <v>7.9826666479624215</v>
      </c>
      <c r="O15" s="1035">
        <f>-'6. E2 OMSÄTTNING '!H71</f>
        <v>-21319.977951599998</v>
      </c>
      <c r="P15" s="388">
        <f>-IF(O$14&gt;0,O15/O$14*100,0)</f>
        <v>7.9828345718482092</v>
      </c>
      <c r="Q15" s="185"/>
      <c r="R15" s="477"/>
      <c r="S15" s="381"/>
      <c r="T15" s="381"/>
      <c r="U15" s="381"/>
      <c r="V15" s="381"/>
      <c r="W15" s="381"/>
      <c r="X15" s="381"/>
      <c r="Y15" s="381"/>
      <c r="Z15" s="381"/>
      <c r="AA15" s="381"/>
      <c r="AB15" s="381"/>
      <c r="AC15" s="381"/>
      <c r="AD15" s="381"/>
      <c r="AE15" s="381"/>
      <c r="AF15" s="438"/>
    </row>
    <row r="16" spans="1:32" s="52" customFormat="1" ht="12.65" customHeight="1">
      <c r="B16" s="382" t="s">
        <v>7</v>
      </c>
      <c r="C16" s="383" t="s">
        <v>221</v>
      </c>
      <c r="D16" s="384" t="s">
        <v>16</v>
      </c>
      <c r="E16" s="1060">
        <v>0</v>
      </c>
      <c r="F16" s="388">
        <f>-IF(E$14&gt;0,E16/E$14*100,0)</f>
        <v>0</v>
      </c>
      <c r="G16" s="1060">
        <v>-118</v>
      </c>
      <c r="H16" s="388">
        <f>-IF(G$14&gt;0,G16/G$14*100,0)</f>
        <v>6.6883565914321014E-2</v>
      </c>
      <c r="I16" s="1035">
        <f>-J16*I14/100</f>
        <v>-129.01171029213381</v>
      </c>
      <c r="J16" s="389">
        <f>H16</f>
        <v>6.6883565914321014E-2</v>
      </c>
      <c r="K16" s="1035">
        <f>-L16*K14/100</f>
        <v>-147.07944951424389</v>
      </c>
      <c r="L16" s="389">
        <f>J16</f>
        <v>6.6883565914321014E-2</v>
      </c>
      <c r="M16" s="1035">
        <f>-N16*M14/100</f>
        <v>-173.4286934748846</v>
      </c>
      <c r="N16" s="389">
        <f>L16</f>
        <v>6.6883565914321014E-2</v>
      </c>
      <c r="O16" s="1035">
        <f>-P16*O14/100</f>
        <v>-178.62779665338442</v>
      </c>
      <c r="P16" s="389">
        <f>N16</f>
        <v>6.6883565914321014E-2</v>
      </c>
      <c r="Q16" s="185"/>
      <c r="R16" s="477"/>
      <c r="S16" s="381"/>
      <c r="T16" s="381"/>
      <c r="U16" s="381"/>
      <c r="V16" s="381"/>
      <c r="W16" s="381"/>
      <c r="X16" s="381"/>
      <c r="Y16" s="381"/>
      <c r="Z16" s="381"/>
      <c r="AA16" s="381"/>
      <c r="AB16" s="381"/>
      <c r="AC16" s="381"/>
      <c r="AD16" s="381"/>
      <c r="AE16" s="381"/>
      <c r="AF16" s="438"/>
    </row>
    <row r="17" spans="1:32" s="52" customFormat="1" ht="12.65" customHeight="1">
      <c r="A17" s="2"/>
      <c r="B17" s="382" t="s">
        <v>8</v>
      </c>
      <c r="C17" s="383" t="s">
        <v>222</v>
      </c>
      <c r="D17" s="384" t="s">
        <v>16</v>
      </c>
      <c r="E17" s="1060">
        <v>0</v>
      </c>
      <c r="F17" s="388">
        <f>-IF(E$14&gt;0,E17/E$14*100,0)</f>
        <v>0</v>
      </c>
      <c r="G17" s="1060">
        <v>-110237</v>
      </c>
      <c r="H17" s="388">
        <f>-IF(G$14&gt;0,G17/G$14*100,0)</f>
        <v>62.483420810991575</v>
      </c>
      <c r="I17" s="1035">
        <f>-'5. E1 VERKSAMHETSKOSTN.'!F44-('3. &amp; 8. T3 BALANS'!H93-'3. &amp; 8. T3 BALANS'!G93)-('3. &amp; 8. T3 BALANS'!H94-'3. &amp; 8. T3 BALANS'!G94)</f>
        <v>-124127.898</v>
      </c>
      <c r="J17" s="388">
        <f>-IF(I$14&gt;0,I17/I$14*100,0)</f>
        <v>64.351650163305507</v>
      </c>
      <c r="K17" s="1035">
        <f>-'5. E1 VERKSAMHETSKOSTN.'!H44-('3. &amp; 8. T3 BALANS'!I93-'3. &amp; 8. T3 BALANS'!H93)-('3. &amp; 8. T3 BALANS'!I94-'3. &amp; 8. T3 BALANS'!H94)</f>
        <v>-116475.73493999999</v>
      </c>
      <c r="L17" s="388">
        <f>-IF(K$14&gt;0,K17/K$14*100,0)</f>
        <v>52.966696034064363</v>
      </c>
      <c r="M17" s="1035">
        <f>-'5. E1 VERKSAMHETSKOSTN.'!J44-('3. &amp; 8. T3 BALANS'!J93-'3. &amp; 8. T3 BALANS'!I93)-('3. &amp; 8. T3 BALANS'!J94-'3. &amp; 8. T3 BALANS'!I94)</f>
        <v>-119970.00698820001</v>
      </c>
      <c r="N17" s="388">
        <f>-IF(M$14&gt;0,M17/M$14*100,0)</f>
        <v>46.266979871464244</v>
      </c>
      <c r="O17" s="1035">
        <f>-'5. E1 VERKSAMHETSKOSTN.'!L44-('3. &amp; 8. T3 BALANS'!K93-'3. &amp; 8. T3 BALANS'!J93)-('3. &amp; 8. T3 BALANS'!K94-'3. &amp; 8. T3 BALANS'!J94)</f>
        <v>-123569.10719784599</v>
      </c>
      <c r="P17" s="388">
        <f>-IF(O$14&gt;0,O17/O$14*100,0)</f>
        <v>46.267953146609784</v>
      </c>
      <c r="Q17" s="185"/>
      <c r="R17" s="477"/>
      <c r="S17" s="381"/>
      <c r="T17" s="381"/>
      <c r="U17" s="381"/>
      <c r="V17" s="381"/>
      <c r="W17" s="381"/>
      <c r="X17" s="381"/>
      <c r="Y17" s="381"/>
      <c r="Z17" s="381"/>
      <c r="AA17" s="381"/>
      <c r="AB17" s="381"/>
      <c r="AC17" s="381"/>
      <c r="AD17" s="381"/>
      <c r="AE17" s="381"/>
      <c r="AF17" s="438"/>
    </row>
    <row r="18" spans="1:32" s="52" customFormat="1" ht="12.65" customHeight="1">
      <c r="A18"/>
      <c r="B18" s="382" t="s">
        <v>9</v>
      </c>
      <c r="C18" s="390" t="s">
        <v>223</v>
      </c>
      <c r="D18" s="384" t="s">
        <v>16</v>
      </c>
      <c r="E18" s="1060">
        <v>0</v>
      </c>
      <c r="F18" s="388">
        <f>-IF(E$14&gt;0,E18/E$14*100,0)</f>
        <v>0</v>
      </c>
      <c r="G18" s="1060">
        <v>-42068</v>
      </c>
      <c r="H18" s="388">
        <f>-IF(G$14&gt;0,G18/G$14*100,0)</f>
        <v>23.844558058336073</v>
      </c>
      <c r="I18" s="1035">
        <f>-'5. E1 VERKSAMHETSKOSTN.'!F45</f>
        <v>-38496.009999999995</v>
      </c>
      <c r="J18" s="388">
        <f>-IF(I$14&gt;0,I18/I$14*100,0)</f>
        <v>19.957493908445226</v>
      </c>
      <c r="K18" s="1035">
        <f>-'5. E1 VERKSAMHETSKOSTN.'!H45</f>
        <v>-30434.766800000001</v>
      </c>
      <c r="L18" s="388">
        <f>-IF(K$14&gt;0,K18/K$14*100,0)</f>
        <v>13.840041814663257</v>
      </c>
      <c r="M18" s="1035">
        <f>-'5. E1 VERKSAMHETSKOSTN.'!J45</f>
        <v>-31212.809804000004</v>
      </c>
      <c r="N18" s="388">
        <f>-IF(M$14&gt;0,M18/M$14*100,0)</f>
        <v>12.037362330699461</v>
      </c>
      <c r="O18" s="1035">
        <f>-'5. E1 VERKSAMHETSKOSTN.'!L45</f>
        <v>-32014.194098119999</v>
      </c>
      <c r="P18" s="388">
        <f>-IF(O$14&gt;0,O18/O$14*100,0)</f>
        <v>11.987067529643104</v>
      </c>
      <c r="Q18" s="185"/>
      <c r="R18" s="477"/>
      <c r="S18" s="381"/>
      <c r="T18" s="381"/>
      <c r="U18" s="381"/>
      <c r="V18" s="381"/>
      <c r="W18" s="381"/>
      <c r="X18" s="381"/>
      <c r="Y18" s="381"/>
      <c r="Z18" s="381"/>
      <c r="AA18" s="381"/>
      <c r="AB18" s="381"/>
      <c r="AC18" s="381"/>
      <c r="AD18" s="381"/>
      <c r="AE18" s="381"/>
      <c r="AF18" s="438"/>
    </row>
    <row r="19" spans="1:32" s="52" customFormat="1" ht="12.65" customHeight="1">
      <c r="A19"/>
      <c r="B19" s="382" t="s">
        <v>10</v>
      </c>
      <c r="C19" s="390" t="s">
        <v>224</v>
      </c>
      <c r="D19" s="391" t="s">
        <v>83</v>
      </c>
      <c r="E19" s="1060">
        <v>0</v>
      </c>
      <c r="F19" s="388">
        <f>IF(E$14&gt;0,E19/E$14*100,0)</f>
        <v>0</v>
      </c>
      <c r="G19" s="1060">
        <v>0</v>
      </c>
      <c r="H19" s="388">
        <f>IF(G$14&gt;0,G19/G$14*100,0)</f>
        <v>0</v>
      </c>
      <c r="I19" s="1035">
        <f>'3. &amp; 8. T3 BALANS'!H39-'3. &amp; 8. T3 BALANS'!G39</f>
        <v>0</v>
      </c>
      <c r="J19" s="388">
        <f>IF(I$14&gt;0,I19/I$14*100,0)</f>
        <v>0</v>
      </c>
      <c r="K19" s="1035">
        <f>'3. &amp; 8. T3 BALANS'!I39-'3. &amp; 8. T3 BALANS'!H39</f>
        <v>0</v>
      </c>
      <c r="L19" s="388">
        <f>IF(K$14&gt;0,K19/K$14*100,0)</f>
        <v>0</v>
      </c>
      <c r="M19" s="1035">
        <f>'3. &amp; 8. T3 BALANS'!J39-'3. &amp; 8. T3 BALANS'!I39</f>
        <v>0</v>
      </c>
      <c r="N19" s="388">
        <f>IF(M$14&gt;0,M19/M$14*100,0)</f>
        <v>0</v>
      </c>
      <c r="O19" s="1035">
        <f>'3. &amp; 8. T3 BALANS'!K39-'3. &amp; 8. T3 BALANS'!J39</f>
        <v>0</v>
      </c>
      <c r="P19" s="388">
        <f>IF(O$14&gt;0,O19/O$14*100,0)</f>
        <v>0</v>
      </c>
      <c r="Q19" s="185"/>
      <c r="R19" s="477"/>
      <c r="S19" s="381"/>
      <c r="T19" s="381"/>
      <c r="U19" s="381"/>
      <c r="V19" s="381"/>
      <c r="W19" s="381"/>
      <c r="X19" s="381"/>
      <c r="Y19" s="381"/>
      <c r="Z19" s="381"/>
      <c r="AA19" s="381"/>
      <c r="AB19" s="381"/>
      <c r="AC19" s="381"/>
      <c r="AD19" s="381"/>
      <c r="AE19" s="381"/>
      <c r="AF19" s="438"/>
    </row>
    <row r="20" spans="1:32" s="52" customFormat="1" ht="12.65" customHeight="1">
      <c r="A20"/>
      <c r="B20" s="382" t="s">
        <v>11</v>
      </c>
      <c r="C20" s="392" t="s">
        <v>225</v>
      </c>
      <c r="D20" s="393"/>
      <c r="E20" s="1235">
        <f>SUM(E14:E19)</f>
        <v>0</v>
      </c>
      <c r="F20" s="388">
        <f>IF(E$14&gt;0,E20/E$14*100,0)</f>
        <v>0</v>
      </c>
      <c r="G20" s="1235">
        <f>SUM(G14:G19)</f>
        <v>10394</v>
      </c>
      <c r="H20" s="388">
        <f>IF(G$14&gt;0,G20/G$14*100,0)</f>
        <v>5.8914218992665486</v>
      </c>
      <c r="I20" s="1235">
        <f>SUM(I14:I19)</f>
        <v>14749.080289707868</v>
      </c>
      <c r="J20" s="388">
        <f>IF(I$14&gt;0,I20/I$14*100,0)</f>
        <v>7.6463685466887181</v>
      </c>
      <c r="K20" s="1235">
        <f>SUM(K14:K19)</f>
        <v>55297.905210485726</v>
      </c>
      <c r="L20" s="388">
        <f>IF(K$14&gt;0,K20/K$14*100,0)</f>
        <v>25.146416445563418</v>
      </c>
      <c r="M20" s="1235">
        <f>SUM(M14:M19)</f>
        <v>87244.159294325058</v>
      </c>
      <c r="N20" s="388">
        <f>IF(M$14&gt;0,M20/M$14*100,0)</f>
        <v>33.646107583959555</v>
      </c>
      <c r="O20" s="1235">
        <f>SUM(O14:O19)</f>
        <v>89990.869670780667</v>
      </c>
      <c r="P20" s="388">
        <f>IF(O$14&gt;0,O20/O$14*100,0)</f>
        <v>33.695261185984577</v>
      </c>
      <c r="Q20" s="185"/>
      <c r="R20" s="477"/>
      <c r="S20" s="381"/>
      <c r="T20" s="381"/>
      <c r="U20" s="381"/>
      <c r="V20" s="381"/>
      <c r="W20" s="381"/>
      <c r="X20" s="381"/>
      <c r="Y20" s="381"/>
      <c r="Z20" s="381"/>
      <c r="AA20" s="381"/>
      <c r="AB20" s="381"/>
      <c r="AC20" s="381"/>
      <c r="AD20" s="381"/>
      <c r="AE20" s="381"/>
      <c r="AF20" s="438"/>
    </row>
    <row r="21" spans="1:32" s="52" customFormat="1" ht="12.65" customHeight="1">
      <c r="A21"/>
      <c r="B21" s="382" t="s">
        <v>39</v>
      </c>
      <c r="C21" s="390" t="s">
        <v>226</v>
      </c>
      <c r="D21" s="384" t="s">
        <v>16</v>
      </c>
      <c r="E21" s="1060">
        <v>0</v>
      </c>
      <c r="F21" s="388">
        <f>-IF(E$14&gt;0,E21/E$14*100,0)</f>
        <v>0</v>
      </c>
      <c r="G21" s="1060">
        <v>-6668</v>
      </c>
      <c r="H21" s="388">
        <f>-IF(G$14&gt;0,G21/G$14*100,0)</f>
        <v>3.7794882840397679</v>
      </c>
      <c r="I21" s="1035">
        <f>-('3. &amp; 8. T3 BALANS'!H17+'3. &amp; 8. T3 BALANS'!H25+'3. &amp; 8. T3 BALANS'!H29+'3. &amp; 8. T3 BALANS'!H33)</f>
        <v>-21675.200000000004</v>
      </c>
      <c r="J21" s="388">
        <f>-IF(I$11&gt;0,I21/I$14*100,0)</f>
        <v>11.237078127430143</v>
      </c>
      <c r="K21" s="1035">
        <f>-('3. &amp; 8. T3 BALANS'!I17+'3. &amp; 8. T3 BALANS'!I25+'3. &amp; 8. T3 BALANS'!I29+'3. &amp; 8. T3 BALANS'!I33)</f>
        <v>-19063.7</v>
      </c>
      <c r="L21" s="388">
        <f>-IF(K$11&gt;0,K21/K$14*100,0)</f>
        <v>8.6691121005138072</v>
      </c>
      <c r="M21" s="1035">
        <f>-('3. &amp; 8. T3 BALANS'!J17+'3. &amp; 8. T3 BALANS'!J25+'3. &amp; 8. T3 BALANS'!J29+'3. &amp; 8. T3 BALANS'!J33)</f>
        <v>-16853.852200000001</v>
      </c>
      <c r="N21" s="388">
        <f>-IF(M$11&gt;0,M21/M$14*100,0)</f>
        <v>6.4997649001615088</v>
      </c>
      <c r="O21" s="1035">
        <f>-('3. &amp; 8. T3 BALANS'!K17+'3. &amp; 8. T3 BALANS'!K25+'3. &amp; 8. T3 BALANS'!K29+'3. &amp; 8. T3 BALANS'!K33)</f>
        <v>-14973.771506000003</v>
      </c>
      <c r="P21" s="388">
        <f>-IF(O$11&gt;0,O21/O$14*100,0)</f>
        <v>5.6066259130479947</v>
      </c>
      <c r="Q21" s="185"/>
      <c r="R21" s="477"/>
      <c r="S21" s="381"/>
      <c r="T21" s="381"/>
      <c r="U21" s="381"/>
      <c r="V21" s="381"/>
      <c r="W21" s="381"/>
      <c r="X21" s="381"/>
      <c r="Y21" s="381"/>
      <c r="Z21" s="381"/>
      <c r="AA21" s="381"/>
      <c r="AB21" s="381"/>
      <c r="AC21" s="381"/>
      <c r="AD21" s="381"/>
      <c r="AE21" s="381"/>
      <c r="AF21" s="438"/>
    </row>
    <row r="22" spans="1:32" s="52" customFormat="1" ht="12.65" customHeight="1">
      <c r="A22"/>
      <c r="B22" s="382" t="s">
        <v>40</v>
      </c>
      <c r="C22" s="392" t="s">
        <v>227</v>
      </c>
      <c r="D22" s="394"/>
      <c r="E22" s="1235">
        <f>SUM(E20:E21)</f>
        <v>0</v>
      </c>
      <c r="F22" s="388">
        <f>IF(E$14&gt;0,E22/E$14*100,0)</f>
        <v>0</v>
      </c>
      <c r="G22" s="1235">
        <f>SUM(G20:G21)</f>
        <v>3726</v>
      </c>
      <c r="H22" s="388">
        <f>IF(G$14&gt;0,G22/G$14*100,0)</f>
        <v>2.1119336152267807</v>
      </c>
      <c r="I22" s="1235">
        <f>SUM(I20:I21)</f>
        <v>-6926.119710292136</v>
      </c>
      <c r="J22" s="388">
        <f>IF(I$11&gt;0,I22/I$14*100,0)</f>
        <v>-3.5907095807414255</v>
      </c>
      <c r="K22" s="1235">
        <f>SUM(K20:K21)</f>
        <v>36234.205210485728</v>
      </c>
      <c r="L22" s="388">
        <f>IF(K$11&gt;0,K22/K$14*100,0)</f>
        <v>16.47730434504961</v>
      </c>
      <c r="M22" s="1235">
        <f>SUM(M20:M21)</f>
        <v>70390.30709432505</v>
      </c>
      <c r="N22" s="388">
        <f>IF(M$11&gt;0,M22/M$14*100,0)</f>
        <v>27.146342683798046</v>
      </c>
      <c r="O22" s="1235">
        <f>SUM(O20:O21)</f>
        <v>75017.098164780662</v>
      </c>
      <c r="P22" s="388">
        <f>IF(O$11&gt;0,O22/O$14*100,0)</f>
        <v>28.088635272936585</v>
      </c>
      <c r="Q22" s="185"/>
      <c r="R22" s="477"/>
      <c r="S22" s="381"/>
      <c r="T22" s="381"/>
      <c r="U22" s="381"/>
      <c r="V22" s="381"/>
      <c r="W22" s="381"/>
      <c r="X22" s="381"/>
      <c r="Y22" s="381"/>
      <c r="Z22" s="381"/>
      <c r="AA22" s="381"/>
      <c r="AB22" s="381"/>
      <c r="AC22" s="381"/>
      <c r="AD22" s="381"/>
      <c r="AE22" s="381"/>
      <c r="AF22" s="438"/>
    </row>
    <row r="23" spans="1:32" s="52" customFormat="1" ht="12.65" customHeight="1">
      <c r="A23"/>
      <c r="B23" s="382" t="s">
        <v>124</v>
      </c>
      <c r="C23" s="390" t="s">
        <v>228</v>
      </c>
      <c r="D23" s="384" t="s">
        <v>15</v>
      </c>
      <c r="E23" s="1060">
        <v>0</v>
      </c>
      <c r="F23" s="480">
        <f>IF(E$14&gt;0,E23/E$14*100,0)</f>
        <v>0</v>
      </c>
      <c r="G23" s="1060">
        <v>0</v>
      </c>
      <c r="H23" s="480">
        <f>IF(G$14&gt;0,G23/G$14*100,0)</f>
        <v>0</v>
      </c>
      <c r="I23" s="1060">
        <v>0</v>
      </c>
      <c r="J23" s="480">
        <f>IF(I$14&gt;0,I23/I$14*100,0)</f>
        <v>0</v>
      </c>
      <c r="K23" s="1060">
        <v>0</v>
      </c>
      <c r="L23" s="480">
        <f>IF(K$14&gt;0,K23/K$14*100,0)</f>
        <v>0</v>
      </c>
      <c r="M23" s="1060"/>
      <c r="N23" s="480">
        <f>IF(M$14&gt;0,M23/M$14*100,0)</f>
        <v>0</v>
      </c>
      <c r="O23" s="1060"/>
      <c r="P23" s="480">
        <f>IF(O$14&gt;0,O23/O$14*100,0)</f>
        <v>0</v>
      </c>
      <c r="Q23" s="185"/>
      <c r="R23" s="477"/>
      <c r="S23" s="381"/>
      <c r="T23" s="381"/>
      <c r="U23" s="381"/>
      <c r="V23" s="381"/>
      <c r="W23" s="381"/>
      <c r="X23" s="381"/>
      <c r="Y23" s="381"/>
      <c r="Z23" s="381"/>
      <c r="AA23" s="381"/>
      <c r="AB23" s="381"/>
      <c r="AC23" s="381"/>
      <c r="AD23" s="381"/>
      <c r="AE23" s="381"/>
      <c r="AF23" s="438"/>
    </row>
    <row r="24" spans="1:32" s="52" customFormat="1" ht="12.65" customHeight="1">
      <c r="A24"/>
      <c r="B24" s="395" t="s">
        <v>41</v>
      </c>
      <c r="C24" s="396" t="s">
        <v>532</v>
      </c>
      <c r="D24" s="397" t="s">
        <v>15</v>
      </c>
      <c r="E24" s="1060">
        <v>0</v>
      </c>
      <c r="F24" s="480">
        <f>IF(E$14&gt;0,E24/E$14*100,0)</f>
        <v>0</v>
      </c>
      <c r="G24" s="1060">
        <v>16</v>
      </c>
      <c r="H24" s="480">
        <f>IF(G$14&gt;0,G24/G$14*100,0)</f>
        <v>9.0689580900774266E-3</v>
      </c>
      <c r="I24" s="1060">
        <v>0</v>
      </c>
      <c r="J24" s="480">
        <f>IF(I$14&gt;0,I24/I$14*100,0)</f>
        <v>0</v>
      </c>
      <c r="K24" s="1060">
        <v>0</v>
      </c>
      <c r="L24" s="480">
        <f>IF(K$14&gt;0,K24/K$14*100,0)</f>
        <v>0</v>
      </c>
      <c r="M24" s="1060">
        <v>0</v>
      </c>
      <c r="N24" s="480">
        <f>IF(M$14&gt;0,M24/M$14*100,0)</f>
        <v>0</v>
      </c>
      <c r="O24" s="1060">
        <v>0</v>
      </c>
      <c r="P24" s="480">
        <f>IF(O$14&gt;0,O24/O$14*100,0)</f>
        <v>0</v>
      </c>
      <c r="Q24" s="185"/>
      <c r="R24" s="477"/>
      <c r="S24" s="381"/>
      <c r="T24" s="381"/>
      <c r="U24" s="381"/>
      <c r="V24" s="381"/>
      <c r="W24" s="381"/>
      <c r="X24" s="381"/>
      <c r="Y24" s="381"/>
      <c r="Z24" s="381"/>
      <c r="AA24" s="381"/>
      <c r="AB24" s="381"/>
      <c r="AC24" s="381"/>
      <c r="AD24" s="381"/>
      <c r="AE24" s="381"/>
      <c r="AF24" s="438"/>
    </row>
    <row r="25" spans="1:32" s="52" customFormat="1" ht="12.65" customHeight="1">
      <c r="A25"/>
      <c r="B25" s="382" t="s">
        <v>42</v>
      </c>
      <c r="C25" s="383" t="s">
        <v>229</v>
      </c>
      <c r="D25" s="384" t="s">
        <v>16</v>
      </c>
      <c r="E25" s="1060">
        <v>0</v>
      </c>
      <c r="F25" s="388">
        <f>-IF(E$14&gt;0,E25/E$14*100,0)</f>
        <v>0</v>
      </c>
      <c r="G25" s="1060">
        <v>-276</v>
      </c>
      <c r="H25" s="388">
        <f>-IF(G$14&gt;0,G25/G$14*100,0)</f>
        <v>0.1564395270538356</v>
      </c>
      <c r="I25" s="1035">
        <f>-'4. T7 LÅN '!H56</f>
        <v>-8828.0969999999998</v>
      </c>
      <c r="J25" s="388">
        <f>-IF(I$14&gt;0,I25/I$14*100,0)</f>
        <v>4.5767520348385089</v>
      </c>
      <c r="K25" s="1035">
        <f>-'4. T7 LÅN '!K56</f>
        <v>-8190.6662500000002</v>
      </c>
      <c r="L25" s="388">
        <f>-IF(K$14&gt;0,K25/K$14*100,0)</f>
        <v>3.7246601603647274</v>
      </c>
      <c r="M25" s="1035">
        <f>-'4. T7 LÅN '!N56</f>
        <v>-7233.2</v>
      </c>
      <c r="N25" s="388">
        <f>-IF(M$14&gt;0,M25/M$14*100,0)</f>
        <v>2.7895165400731488</v>
      </c>
      <c r="O25" s="1035">
        <f>-'4. T7 LÅN '!Q56</f>
        <v>-6299.76</v>
      </c>
      <c r="P25" s="388">
        <f>-IF(O$14&gt;0,O25/O$14*100,0)</f>
        <v>2.3588177265714467</v>
      </c>
      <c r="Q25" s="185"/>
      <c r="R25" s="477"/>
      <c r="S25" s="381"/>
      <c r="T25" s="381"/>
      <c r="U25" s="381"/>
      <c r="V25" s="381"/>
      <c r="W25" s="381"/>
      <c r="X25" s="381"/>
      <c r="Y25" s="381"/>
      <c r="Z25" s="381"/>
      <c r="AA25" s="381"/>
      <c r="AB25" s="381"/>
      <c r="AC25" s="381"/>
      <c r="AD25" s="381"/>
      <c r="AE25" s="381"/>
      <c r="AF25" s="438"/>
    </row>
    <row r="26" spans="1:32" s="52" customFormat="1" ht="24.75" customHeight="1">
      <c r="B26" s="382" t="s">
        <v>43</v>
      </c>
      <c r="C26" s="2011" t="s">
        <v>231</v>
      </c>
      <c r="D26" s="2012"/>
      <c r="E26" s="1236">
        <f>E22+E23+E24+E25</f>
        <v>0</v>
      </c>
      <c r="F26" s="388">
        <f>IF(E$14&gt;0,E26/E$14*100,0)</f>
        <v>0</v>
      </c>
      <c r="G26" s="1236">
        <f>G22+G23+G24+G25</f>
        <v>3466</v>
      </c>
      <c r="H26" s="388">
        <f>IF(G$14&gt;0,G26/G$14*100,0)</f>
        <v>1.9645630462630224</v>
      </c>
      <c r="I26" s="1236">
        <f>I22+I23+I24+I25</f>
        <v>-15754.216710292136</v>
      </c>
      <c r="J26" s="388">
        <f>IF(I$11&gt;0,I26/I$14*100,0)</f>
        <v>-8.1674616155799349</v>
      </c>
      <c r="K26" s="1236">
        <f>K22+K23+K24+K25</f>
        <v>28043.538960485726</v>
      </c>
      <c r="L26" s="388">
        <f>IF(K$11&gt;0,K26/K$14*100,0)</f>
        <v>12.752644184684883</v>
      </c>
      <c r="M26" s="1236">
        <f>M22+M23+M24+M25</f>
        <v>63157.107094325052</v>
      </c>
      <c r="N26" s="388">
        <f>IF(M$11&gt;0,M26/M$14*100,0)</f>
        <v>24.356826143724895</v>
      </c>
      <c r="O26" s="1236">
        <f>O22+O23+O24+O25</f>
        <v>68717.338164780667</v>
      </c>
      <c r="P26" s="388">
        <f>IF(O$11&gt;0,O26/O$14*100,0)</f>
        <v>25.729817546365137</v>
      </c>
      <c r="Q26" s="185"/>
      <c r="R26" s="477"/>
      <c r="S26" s="381"/>
      <c r="T26" s="381"/>
      <c r="U26" s="381"/>
      <c r="V26" s="381"/>
      <c r="W26" s="381"/>
      <c r="X26" s="381"/>
      <c r="Y26" s="381"/>
      <c r="Z26" s="381"/>
      <c r="AA26" s="381"/>
      <c r="AB26" s="381"/>
      <c r="AC26" s="381"/>
      <c r="AD26" s="381"/>
      <c r="AE26" s="381"/>
      <c r="AF26" s="438"/>
    </row>
    <row r="27" spans="1:32" s="52" customFormat="1" ht="12.65" customHeight="1">
      <c r="B27" s="382" t="s">
        <v>44</v>
      </c>
      <c r="C27" s="383" t="s">
        <v>232</v>
      </c>
      <c r="D27" s="384" t="s">
        <v>16</v>
      </c>
      <c r="E27" s="1237">
        <v>0</v>
      </c>
      <c r="F27" s="480">
        <f>-IF(E$14&gt;0,E27/E$14*100,0)</f>
        <v>0</v>
      </c>
      <c r="G27" s="1237">
        <v>-704</v>
      </c>
      <c r="H27" s="480">
        <f>-IF(G$14&gt;0,G27/G$14*100,0)</f>
        <v>0.3990341559634068</v>
      </c>
      <c r="I27" s="1238">
        <v>0</v>
      </c>
      <c r="J27" s="388">
        <f>-IF(I$14&gt;0,I27/I$14*100,0)</f>
        <v>0</v>
      </c>
      <c r="K27" s="1238">
        <f>-IF(K28*(K26+K29+K30+0.5*'5. E1 VERKSAMHETSKOSTN.'!H86)&lt;0,0,K28*(K26+K29+K30+0.5*'5. E1 VERKSAMHETSKOSTN.'!H86))</f>
        <v>-5608.707792097146</v>
      </c>
      <c r="L27" s="388">
        <f>-IF(K$14&gt;0,K27/K$14*100,0)</f>
        <v>2.5505288369369774</v>
      </c>
      <c r="M27" s="1238">
        <f>-IF(M28*(M26+M29+M30+0.5*'5. E1 VERKSAMHETSKOSTN.'!J86)&lt;0,0,M28*(M26+M29+M30+0.5*'5. E1 VERKSAMHETSKOSTN.'!J86))</f>
        <v>-12631.421418865011</v>
      </c>
      <c r="N27" s="388">
        <f>-IF(M$14&gt;0,M27/M$14*100,0)</f>
        <v>4.8713652287449793</v>
      </c>
      <c r="O27" s="1238">
        <f>-IF(O28*(O26+O29+O30+0.5*'5. E1 VERKSAMHETSKOSTN.'!L86)&lt;0,0,O28*(O26+O29+O30+0.5*'5. E1 VERKSAMHETSKOSTN.'!L86))</f>
        <v>-13743.467632956133</v>
      </c>
      <c r="P27" s="388">
        <f>-IF(O$14&gt;0,O27/O$14*100,0)</f>
        <v>5.1459635092730283</v>
      </c>
      <c r="Q27" s="185"/>
      <c r="R27" s="477">
        <v>0</v>
      </c>
      <c r="S27" s="381"/>
      <c r="T27" s="381"/>
      <c r="U27" s="381"/>
      <c r="V27" s="381"/>
      <c r="W27" s="381"/>
      <c r="X27" s="381"/>
      <c r="Y27" s="381"/>
      <c r="Z27" s="381"/>
      <c r="AA27" s="381"/>
      <c r="AB27" s="381"/>
      <c r="AC27" s="381"/>
      <c r="AD27" s="381"/>
      <c r="AE27" s="381"/>
      <c r="AF27" s="438"/>
    </row>
    <row r="28" spans="1:32" s="52" customFormat="1" ht="12.65" customHeight="1">
      <c r="A28"/>
      <c r="B28" s="382"/>
      <c r="C28" s="2028" t="s">
        <v>233</v>
      </c>
      <c r="D28" s="2029"/>
      <c r="E28" s="1239"/>
      <c r="F28" s="480"/>
      <c r="G28" s="1239"/>
      <c r="H28" s="480"/>
      <c r="I28" s="1240">
        <v>0.2</v>
      </c>
      <c r="J28" s="524"/>
      <c r="K28" s="1240">
        <f>I28</f>
        <v>0.2</v>
      </c>
      <c r="L28" s="524"/>
      <c r="M28" s="1240">
        <f>K28</f>
        <v>0.2</v>
      </c>
      <c r="N28" s="524"/>
      <c r="O28" s="1240">
        <f>M28</f>
        <v>0.2</v>
      </c>
      <c r="P28" s="388"/>
      <c r="Q28" s="185"/>
      <c r="R28" s="477"/>
      <c r="S28" s="381"/>
      <c r="T28" s="381"/>
      <c r="U28" s="381"/>
      <c r="V28" s="381"/>
      <c r="W28" s="381"/>
      <c r="X28" s="381"/>
      <c r="Y28" s="381"/>
      <c r="Z28" s="381"/>
      <c r="AA28" s="381"/>
      <c r="AB28" s="381"/>
      <c r="AC28" s="381"/>
      <c r="AD28" s="381"/>
      <c r="AE28" s="381"/>
      <c r="AF28" s="438"/>
    </row>
    <row r="29" spans="1:32" s="52" customFormat="1" ht="12.65" customHeight="1">
      <c r="A29"/>
      <c r="B29" s="382" t="s">
        <v>45</v>
      </c>
      <c r="C29" s="383" t="s">
        <v>234</v>
      </c>
      <c r="D29" s="391" t="s">
        <v>97</v>
      </c>
      <c r="E29" s="1237">
        <v>0</v>
      </c>
      <c r="F29" s="480">
        <f>IF(E$14&gt;0,E29/E$14*100,0)</f>
        <v>0</v>
      </c>
      <c r="G29" s="1237">
        <v>0</v>
      </c>
      <c r="H29" s="480">
        <f>IF(G$14&gt;0,G29/G$14*100,0)</f>
        <v>0</v>
      </c>
      <c r="I29" s="1237">
        <v>0</v>
      </c>
      <c r="J29" s="480">
        <f>IF(I$14&gt;0,I29/I$14*100,0)</f>
        <v>0</v>
      </c>
      <c r="K29" s="1237">
        <v>0</v>
      </c>
      <c r="L29" s="480">
        <f>IF(K$14&gt;0,K29/K$14*100,0)</f>
        <v>0</v>
      </c>
      <c r="M29" s="1237">
        <v>0</v>
      </c>
      <c r="N29" s="480">
        <f>IF(M$14&gt;0,M29/M$14*100,0)</f>
        <v>0</v>
      </c>
      <c r="O29" s="1237">
        <v>0</v>
      </c>
      <c r="P29" s="388">
        <f>IF(O$14&gt;0,O29/O$14*100,0)</f>
        <v>0</v>
      </c>
      <c r="Q29" s="185"/>
      <c r="R29" s="477"/>
      <c r="S29" s="381"/>
      <c r="T29" s="381"/>
      <c r="U29" s="381"/>
      <c r="V29" s="381"/>
      <c r="W29" s="381"/>
      <c r="X29" s="381"/>
      <c r="Y29" s="381"/>
      <c r="Z29" s="381"/>
      <c r="AA29" s="381"/>
      <c r="AB29" s="381"/>
      <c r="AC29" s="381"/>
      <c r="AD29" s="381"/>
      <c r="AE29" s="381"/>
      <c r="AF29" s="438"/>
    </row>
    <row r="30" spans="1:32" s="52" customFormat="1" ht="12.65" customHeight="1">
      <c r="A30"/>
      <c r="B30" s="382" t="s">
        <v>46</v>
      </c>
      <c r="C30" s="383" t="s">
        <v>237</v>
      </c>
      <c r="D30" s="391" t="s">
        <v>97</v>
      </c>
      <c r="E30" s="1237">
        <v>0</v>
      </c>
      <c r="F30" s="388">
        <f>-IF(E$14&gt;0,E30/E$14*100,0)</f>
        <v>0</v>
      </c>
      <c r="G30" s="1237">
        <v>0</v>
      </c>
      <c r="H30" s="388">
        <f>-IF(G$14&gt;0,G30/G$14*100,0)</f>
        <v>0</v>
      </c>
      <c r="I30" s="1236">
        <f>-('3. &amp; 8. T3 BALANS'!H64-'3. &amp; 8. T3 BALANS'!G64)</f>
        <v>0</v>
      </c>
      <c r="J30" s="388">
        <f>-IF(I$14&gt;0,I30/I$14*100,0)</f>
        <v>0</v>
      </c>
      <c r="K30" s="1236">
        <f>-('3. &amp; 8. T3 BALANS'!I64-'3. &amp; 8. T3 BALANS'!H64)</f>
        <v>0</v>
      </c>
      <c r="L30" s="388">
        <f>-IF(K$14&gt;0,K30/K$14*100,0)</f>
        <v>0</v>
      </c>
      <c r="M30" s="1236">
        <f>-('3. &amp; 8. T3 BALANS'!J64-'3. &amp; 8. T3 BALANS'!I64)</f>
        <v>0</v>
      </c>
      <c r="N30" s="388">
        <f>-IF(M$14&gt;0,M30/M$14*100,0)</f>
        <v>0</v>
      </c>
      <c r="O30" s="1236">
        <f>-('3. &amp; 8. T3 BALANS'!K64-'3. &amp; 8. T3 BALANS'!J64)</f>
        <v>0</v>
      </c>
      <c r="P30" s="388">
        <f>-IF(O$14&gt;0,O30/O$14*100,0)</f>
        <v>0</v>
      </c>
      <c r="Q30" s="185"/>
      <c r="R30" s="477"/>
      <c r="S30" s="381"/>
      <c r="T30" s="381"/>
      <c r="U30" s="381"/>
      <c r="V30" s="381"/>
      <c r="W30" s="381"/>
      <c r="X30" s="381"/>
      <c r="Y30" s="381"/>
      <c r="Z30" s="381"/>
      <c r="AA30" s="381"/>
      <c r="AB30" s="381"/>
      <c r="AC30" s="381"/>
      <c r="AD30" s="381"/>
      <c r="AE30" s="381"/>
      <c r="AF30" s="438"/>
    </row>
    <row r="31" spans="1:32" s="52" customFormat="1" ht="12.65" customHeight="1" thickBot="1">
      <c r="B31" s="398" t="s">
        <v>533</v>
      </c>
      <c r="C31" s="399" t="s">
        <v>235</v>
      </c>
      <c r="D31" s="400"/>
      <c r="E31" s="1241">
        <f>SUM(E26:E30)</f>
        <v>0</v>
      </c>
      <c r="F31" s="401">
        <f>IF(E$14&gt;0,E31/E$14*100,0)</f>
        <v>0</v>
      </c>
      <c r="G31" s="1241">
        <f>SUM(G26:G30)</f>
        <v>2762</v>
      </c>
      <c r="H31" s="401">
        <f>IF(G$14&gt;0,G31/G$14*100,0)</f>
        <v>1.5655288902996156</v>
      </c>
      <c r="I31" s="1241">
        <f>I26+I27+I29+I30</f>
        <v>-15754.216710292136</v>
      </c>
      <c r="J31" s="401">
        <f>IF(I$11&gt;0,I31/I$14*100,0)</f>
        <v>-8.1674616155799349</v>
      </c>
      <c r="K31" s="1241">
        <f>K26+K27+K29+K30</f>
        <v>22434.83116838858</v>
      </c>
      <c r="L31" s="401">
        <f>IF(K$11&gt;0,K31/K$14*100,0)</f>
        <v>10.202115347747908</v>
      </c>
      <c r="M31" s="1241">
        <f>M26+M27+M29+M30</f>
        <v>50525.685675460045</v>
      </c>
      <c r="N31" s="401">
        <f>IF(M$11&gt;0,M31/M$14*100,0)</f>
        <v>19.485460914979917</v>
      </c>
      <c r="O31" s="1241">
        <f>O26+O27+O29+O30</f>
        <v>54973.870531824534</v>
      </c>
      <c r="P31" s="401">
        <f>IF(O$11&gt;0,O31/O$14*100,0)</f>
        <v>20.583854037092113</v>
      </c>
      <c r="Q31" s="185"/>
      <c r="R31" s="499"/>
      <c r="S31" s="439"/>
      <c r="T31" s="439"/>
      <c r="U31" s="439"/>
      <c r="V31" s="439"/>
      <c r="W31" s="439"/>
      <c r="X31" s="439"/>
      <c r="Y31" s="439"/>
      <c r="Z31" s="439"/>
      <c r="AA31" s="439"/>
      <c r="AB31" s="439"/>
      <c r="AC31" s="439"/>
      <c r="AD31" s="439"/>
      <c r="AE31" s="439"/>
      <c r="AF31" s="440"/>
    </row>
    <row r="32" spans="1:32" ht="3.75" customHeight="1" thickBot="1">
      <c r="B32" s="58"/>
      <c r="C32" s="185"/>
      <c r="D32" s="185"/>
      <c r="E32" s="185"/>
      <c r="F32" s="185"/>
      <c r="G32" s="185"/>
      <c r="H32" s="186"/>
      <c r="I32" s="185"/>
      <c r="J32" s="186"/>
      <c r="K32" s="185"/>
      <c r="L32" s="186"/>
      <c r="M32" s="185"/>
      <c r="N32" s="186"/>
      <c r="O32" s="185"/>
      <c r="P32" s="186"/>
      <c r="R32" s="86"/>
      <c r="S32" s="86"/>
      <c r="T32" s="86"/>
      <c r="U32" s="86"/>
      <c r="V32" s="86"/>
      <c r="W32" s="86"/>
      <c r="X32" s="86"/>
      <c r="Y32" s="86"/>
      <c r="Z32" s="86"/>
      <c r="AA32" s="86"/>
      <c r="AB32" s="86"/>
      <c r="AC32" s="86"/>
      <c r="AD32" s="86"/>
      <c r="AE32" s="86"/>
      <c r="AF32" s="86"/>
    </row>
    <row r="33" spans="1:17" ht="12.65" customHeight="1" thickBot="1">
      <c r="B33" s="87"/>
      <c r="C33" s="402" t="s">
        <v>236</v>
      </c>
      <c r="D33" s="187"/>
      <c r="E33" s="2045">
        <v>1</v>
      </c>
      <c r="F33" s="2045"/>
      <c r="G33" s="2033">
        <v>4</v>
      </c>
      <c r="H33" s="2034"/>
      <c r="I33" s="2033">
        <f>G33</f>
        <v>4</v>
      </c>
      <c r="J33" s="2034"/>
      <c r="K33" s="2033">
        <f>I33</f>
        <v>4</v>
      </c>
      <c r="L33" s="2034"/>
      <c r="M33" s="2033">
        <f>K33</f>
        <v>4</v>
      </c>
      <c r="N33" s="2034"/>
      <c r="O33" s="2033">
        <f>M33</f>
        <v>4</v>
      </c>
      <c r="P33" s="2034"/>
    </row>
    <row r="34" spans="1:17" ht="12.75" customHeight="1">
      <c r="B34" s="58"/>
      <c r="C34" s="1"/>
      <c r="D34" s="4"/>
      <c r="E34" s="4"/>
      <c r="F34" s="4"/>
      <c r="G34" s="88"/>
      <c r="H34" s="88"/>
      <c r="I34" s="404"/>
      <c r="J34" s="88"/>
      <c r="K34" s="88"/>
      <c r="L34" s="88"/>
      <c r="M34" s="88"/>
      <c r="N34" s="88"/>
      <c r="O34" s="88"/>
      <c r="P34" s="88"/>
    </row>
    <row r="35" spans="1:17" ht="12.75" customHeight="1">
      <c r="B35" s="77" t="str">
        <f>'1. T1 INVESTERINGSP. '!B64</f>
        <v>FT22 Det aktiva företagets resultatplan</v>
      </c>
      <c r="C35" s="1"/>
      <c r="D35" s="4"/>
      <c r="E35" s="4"/>
      <c r="F35" s="4"/>
      <c r="G35" s="88"/>
      <c r="H35" s="88"/>
      <c r="I35" s="404"/>
      <c r="J35" s="88"/>
      <c r="K35" s="88"/>
      <c r="L35" s="88"/>
      <c r="P35" s="164" t="str">
        <f>STARTSIDAN!J5</f>
        <v xml:space="preserve">Tjänsten erbjuds av: </v>
      </c>
    </row>
    <row r="36" spans="1:17" s="1889" customFormat="1" ht="14.25" customHeight="1">
      <c r="B36" s="1890" t="str">
        <f>'1. T1 INVESTERINGSP. '!B65</f>
        <v xml:space="preserve"> </v>
      </c>
      <c r="C36" s="1891"/>
      <c r="D36" s="1891"/>
      <c r="E36" s="1891"/>
      <c r="F36" s="1891"/>
      <c r="G36" s="1891"/>
      <c r="H36" s="1892"/>
      <c r="I36" s="2040" t="str">
        <f>STARTSIDAN!H7</f>
        <v>Dynamo Närpes och Kristinestads näringslivscentral Ab</v>
      </c>
      <c r="J36" s="2040"/>
      <c r="K36" s="2040"/>
      <c r="L36" s="2040"/>
      <c r="M36" s="2040"/>
      <c r="N36" s="2040"/>
      <c r="O36" s="2040"/>
      <c r="P36" s="2040"/>
    </row>
    <row r="37" spans="1:17">
      <c r="A37" s="2"/>
      <c r="B37" s="2024"/>
      <c r="C37" s="2024"/>
      <c r="D37" s="2024"/>
      <c r="E37" s="619"/>
      <c r="F37" s="619"/>
      <c r="G37" s="2018"/>
      <c r="H37" s="2018"/>
      <c r="I37" s="2018"/>
      <c r="J37" s="2018"/>
      <c r="K37" s="2018"/>
      <c r="L37" s="2018"/>
      <c r="M37" s="2018"/>
      <c r="N37" s="2018"/>
      <c r="O37" s="2018"/>
      <c r="P37" s="2018"/>
      <c r="Q37" s="140"/>
    </row>
    <row r="38" spans="1:17">
      <c r="B38" s="141"/>
      <c r="C38" s="142"/>
      <c r="D38" s="142"/>
      <c r="E38" s="142"/>
      <c r="F38" s="142"/>
      <c r="G38" s="2010"/>
      <c r="H38" s="2010"/>
      <c r="I38" s="2010"/>
      <c r="J38" s="2010"/>
      <c r="K38" s="2010"/>
      <c r="L38" s="2010"/>
      <c r="M38" s="2010"/>
      <c r="N38" s="2010"/>
      <c r="O38" s="2010"/>
      <c r="P38" s="2010"/>
      <c r="Q38" s="140"/>
    </row>
    <row r="39" spans="1:17">
      <c r="B39" s="141"/>
      <c r="C39" s="493" t="s">
        <v>238</v>
      </c>
      <c r="D39" s="142"/>
      <c r="E39" s="142"/>
      <c r="F39" s="142"/>
      <c r="G39" s="507"/>
      <c r="H39" s="507"/>
      <c r="I39" s="507"/>
      <c r="J39" s="507"/>
      <c r="K39" s="2010"/>
      <c r="L39" s="2010"/>
      <c r="M39" s="2010"/>
      <c r="N39" s="2010"/>
      <c r="O39" s="2010"/>
      <c r="P39" s="2010"/>
      <c r="Q39" s="140"/>
    </row>
    <row r="40" spans="1:17">
      <c r="B40" s="141"/>
      <c r="C40" s="51" t="s">
        <v>239</v>
      </c>
      <c r="D40" s="142"/>
      <c r="E40" s="142"/>
      <c r="F40" s="142"/>
      <c r="G40" s="140"/>
      <c r="H40" s="140"/>
      <c r="I40" s="507"/>
      <c r="J40" s="507"/>
      <c r="K40" s="2010"/>
      <c r="L40" s="2010"/>
      <c r="M40" s="2010"/>
      <c r="N40" s="2010"/>
      <c r="O40" s="2010"/>
      <c r="P40" s="2010"/>
      <c r="Q40" s="140"/>
    </row>
    <row r="41" spans="1:17">
      <c r="B41" s="141"/>
      <c r="C41" s="51" t="s">
        <v>240</v>
      </c>
      <c r="D41" s="142"/>
      <c r="E41" s="142"/>
      <c r="F41" s="142"/>
      <c r="G41" s="507"/>
      <c r="H41" s="507"/>
      <c r="I41" s="507"/>
      <c r="J41" s="507"/>
      <c r="K41" s="2010"/>
      <c r="L41" s="2010"/>
      <c r="M41" s="2010"/>
      <c r="N41" s="2010"/>
      <c r="O41" s="2010"/>
      <c r="P41" s="2010"/>
      <c r="Q41" s="140"/>
    </row>
    <row r="42" spans="1:17">
      <c r="B42" s="141"/>
      <c r="C42" s="142"/>
      <c r="D42" s="142"/>
      <c r="E42" s="142"/>
      <c r="F42" s="142"/>
      <c r="G42" s="2010"/>
      <c r="H42" s="2010"/>
      <c r="I42" s="2010"/>
      <c r="J42" s="2010"/>
      <c r="K42" s="2010"/>
      <c r="L42" s="2010"/>
      <c r="M42" s="2010"/>
      <c r="N42" s="2010"/>
      <c r="O42" s="2010"/>
      <c r="P42" s="2010"/>
      <c r="Q42" s="140"/>
    </row>
    <row r="43" spans="1:17">
      <c r="B43" s="141"/>
      <c r="C43" s="142"/>
      <c r="D43" s="142"/>
      <c r="E43" s="142"/>
      <c r="F43" s="142"/>
      <c r="G43" s="2010"/>
      <c r="H43" s="2010"/>
      <c r="I43" s="2010"/>
      <c r="J43" s="2010"/>
      <c r="K43" s="2010"/>
      <c r="L43" s="2010"/>
      <c r="M43" s="2010"/>
      <c r="N43" s="2010"/>
      <c r="O43" s="2010"/>
      <c r="P43" s="2010"/>
      <c r="Q43" s="140"/>
    </row>
    <row r="44" spans="1:17">
      <c r="B44" s="141"/>
      <c r="C44" s="142"/>
      <c r="D44" s="142"/>
      <c r="E44" s="142"/>
      <c r="F44" s="142"/>
      <c r="G44" s="2010"/>
      <c r="H44" s="2010"/>
      <c r="I44" s="2010"/>
      <c r="J44" s="2010"/>
      <c r="K44" s="2010"/>
      <c r="L44" s="2010"/>
      <c r="M44" s="2010"/>
      <c r="N44" s="2010"/>
      <c r="O44" s="2010"/>
      <c r="P44" s="2010"/>
      <c r="Q44" s="140"/>
    </row>
    <row r="45" spans="1:17">
      <c r="B45" s="141"/>
      <c r="C45" s="142"/>
      <c r="D45" s="142"/>
      <c r="E45" s="142"/>
      <c r="F45" s="142"/>
      <c r="G45" s="2010"/>
      <c r="H45" s="2010"/>
      <c r="I45" s="2010"/>
      <c r="J45" s="2010"/>
      <c r="K45" s="2010"/>
      <c r="L45" s="2010"/>
      <c r="M45" s="2010"/>
      <c r="N45" s="2010"/>
      <c r="O45" s="2010"/>
      <c r="P45" s="2010"/>
      <c r="Q45" s="140"/>
    </row>
    <row r="46" spans="1:17">
      <c r="B46" s="141"/>
      <c r="C46" s="142"/>
      <c r="D46" s="142"/>
      <c r="E46" s="142"/>
      <c r="F46" s="142"/>
      <c r="G46" s="2035"/>
      <c r="H46" s="2035"/>
      <c r="I46" s="2035"/>
      <c r="J46" s="2035"/>
      <c r="K46" s="2035"/>
      <c r="L46" s="2035"/>
      <c r="M46" s="2035"/>
      <c r="N46" s="2035"/>
      <c r="O46" s="2035"/>
      <c r="P46" s="2035"/>
      <c r="Q46" s="140"/>
    </row>
    <row r="47" spans="1:17">
      <c r="B47" s="2008"/>
      <c r="C47" s="2008"/>
      <c r="D47" s="2008"/>
      <c r="E47" s="144"/>
      <c r="F47" s="144"/>
      <c r="G47" s="2010"/>
      <c r="H47" s="2010"/>
      <c r="I47" s="2010"/>
      <c r="J47" s="2010"/>
      <c r="K47" s="2010"/>
      <c r="L47" s="2010"/>
      <c r="M47" s="2010"/>
      <c r="N47" s="2010"/>
      <c r="O47" s="2010"/>
      <c r="P47" s="2010"/>
      <c r="Q47" s="140"/>
    </row>
    <row r="48" spans="1:17">
      <c r="B48" s="141"/>
      <c r="C48" s="142"/>
      <c r="D48" s="142"/>
      <c r="E48" s="142"/>
      <c r="F48" s="142"/>
      <c r="G48" s="2010"/>
      <c r="H48" s="2010"/>
      <c r="I48" s="2010"/>
      <c r="J48" s="2010"/>
      <c r="K48" s="2010"/>
      <c r="L48" s="2010"/>
      <c r="M48" s="2010"/>
      <c r="N48" s="2010"/>
      <c r="O48" s="2010"/>
      <c r="P48" s="2010"/>
      <c r="Q48" s="140"/>
    </row>
    <row r="49" spans="2:21">
      <c r="B49" s="141"/>
      <c r="C49" s="142"/>
      <c r="D49" s="142"/>
      <c r="E49" s="142"/>
      <c r="F49" s="142"/>
      <c r="G49" s="2010"/>
      <c r="H49" s="2010"/>
      <c r="I49" s="2010"/>
      <c r="J49" s="2010"/>
      <c r="K49" s="2010"/>
      <c r="L49" s="2010"/>
      <c r="M49" s="2010"/>
      <c r="N49" s="2010"/>
      <c r="O49" s="2010"/>
      <c r="P49" s="2010"/>
      <c r="Q49" s="140"/>
    </row>
    <row r="50" spans="2:21">
      <c r="B50" s="141"/>
      <c r="C50" s="2025"/>
      <c r="D50" s="2025"/>
      <c r="E50" s="145"/>
      <c r="F50" s="145"/>
      <c r="G50" s="2010"/>
      <c r="H50" s="2010"/>
      <c r="I50" s="2010"/>
      <c r="J50" s="2010"/>
      <c r="K50" s="2010"/>
      <c r="L50" s="2010"/>
      <c r="M50" s="2010"/>
      <c r="N50" s="2010"/>
      <c r="O50" s="2010"/>
      <c r="P50" s="2010"/>
      <c r="Q50" s="140"/>
      <c r="R50" s="1" t="s">
        <v>0</v>
      </c>
    </row>
    <row r="51" spans="2:21">
      <c r="B51" s="141"/>
      <c r="C51" s="142"/>
      <c r="D51" s="142"/>
      <c r="E51" s="142"/>
      <c r="F51" s="142"/>
      <c r="G51" s="2010"/>
      <c r="H51" s="2010"/>
      <c r="I51" s="2010"/>
      <c r="J51" s="2010"/>
      <c r="K51" s="2010"/>
      <c r="L51" s="2010"/>
      <c r="M51" s="2010"/>
      <c r="N51" s="2010"/>
      <c r="O51" s="2010"/>
      <c r="P51" s="2010"/>
      <c r="Q51" s="140"/>
      <c r="R51" s="1" t="s">
        <v>0</v>
      </c>
    </row>
    <row r="52" spans="2:21">
      <c r="B52" s="141"/>
      <c r="C52" s="142"/>
      <c r="D52" s="142"/>
      <c r="E52" s="142"/>
      <c r="F52" s="142"/>
      <c r="G52" s="2010"/>
      <c r="H52" s="2010"/>
      <c r="I52" s="2010"/>
      <c r="J52" s="2010"/>
      <c r="K52" s="2010"/>
      <c r="L52" s="2010"/>
      <c r="M52" s="2010"/>
      <c r="N52" s="2010"/>
      <c r="O52" s="2010"/>
      <c r="P52" s="2010"/>
      <c r="Q52" s="140"/>
    </row>
    <row r="53" spans="2:21">
      <c r="B53" s="2024"/>
      <c r="C53" s="2024"/>
      <c r="D53" s="2024"/>
      <c r="E53" s="619"/>
      <c r="F53" s="619"/>
      <c r="G53" s="2010"/>
      <c r="H53" s="2010"/>
      <c r="I53" s="2010"/>
      <c r="J53" s="2010"/>
      <c r="K53" s="2010"/>
      <c r="L53" s="2010"/>
      <c r="M53" s="2010"/>
      <c r="N53" s="2010"/>
      <c r="O53" s="2010"/>
      <c r="P53" s="2010"/>
      <c r="Q53" s="140"/>
    </row>
    <row r="54" spans="2:21">
      <c r="B54" s="146"/>
      <c r="C54" s="140"/>
      <c r="D54" s="140"/>
      <c r="E54" s="140"/>
      <c r="F54" s="140"/>
      <c r="G54" s="140"/>
      <c r="H54" s="146"/>
      <c r="I54" s="142"/>
      <c r="J54" s="146"/>
      <c r="K54" s="140"/>
      <c r="L54" s="146"/>
      <c r="M54" s="140"/>
      <c r="N54" s="146"/>
      <c r="O54" s="140"/>
      <c r="P54" s="146"/>
      <c r="Q54" s="140"/>
    </row>
    <row r="55" spans="2:21">
      <c r="B55" s="2026"/>
      <c r="C55" s="2026"/>
      <c r="D55" s="2026"/>
      <c r="E55" s="620"/>
      <c r="F55" s="620"/>
      <c r="G55" s="2019"/>
      <c r="H55" s="2020"/>
      <c r="I55" s="2019"/>
      <c r="J55" s="2020"/>
      <c r="K55" s="2019"/>
      <c r="L55" s="2020"/>
      <c r="M55" s="2019"/>
      <c r="N55" s="2020"/>
      <c r="O55" s="2019"/>
      <c r="P55" s="2020"/>
      <c r="Q55" s="140"/>
    </row>
    <row r="56" spans="2:21">
      <c r="B56" s="1999"/>
      <c r="C56" s="1999"/>
      <c r="D56" s="1999"/>
      <c r="E56" s="122"/>
      <c r="F56" s="122"/>
      <c r="G56" s="2010"/>
      <c r="H56" s="2010"/>
      <c r="I56" s="2010"/>
      <c r="J56" s="2010"/>
      <c r="K56" s="2010"/>
      <c r="L56" s="2010"/>
      <c r="M56" s="2010"/>
      <c r="N56" s="2010"/>
      <c r="O56" s="2010"/>
      <c r="P56" s="2010"/>
      <c r="Q56" s="140"/>
    </row>
    <row r="57" spans="2:21">
      <c r="B57" s="1999"/>
      <c r="C57" s="1999"/>
      <c r="D57" s="1999"/>
      <c r="E57" s="122"/>
      <c r="F57" s="122"/>
      <c r="G57" s="2010"/>
      <c r="H57" s="2010"/>
      <c r="I57" s="2010"/>
      <c r="J57" s="2010"/>
      <c r="K57" s="2010"/>
      <c r="L57" s="2010"/>
      <c r="M57" s="2010"/>
      <c r="N57" s="2010"/>
      <c r="O57" s="2010"/>
      <c r="P57" s="2010"/>
      <c r="Q57" s="140"/>
    </row>
    <row r="58" spans="2:21">
      <c r="B58" s="1999"/>
      <c r="C58" s="1999"/>
      <c r="D58" s="1999"/>
      <c r="E58" s="122"/>
      <c r="F58" s="122"/>
      <c r="G58" s="2010"/>
      <c r="H58" s="2010"/>
      <c r="I58" s="2010"/>
      <c r="J58" s="2010"/>
      <c r="K58" s="2010"/>
      <c r="L58" s="2010"/>
      <c r="M58" s="2010"/>
      <c r="N58" s="2010"/>
      <c r="O58" s="2010"/>
      <c r="P58" s="2010"/>
      <c r="Q58" s="140"/>
    </row>
    <row r="59" spans="2:21">
      <c r="B59" s="1999"/>
      <c r="C59" s="1999"/>
      <c r="D59" s="1999"/>
      <c r="E59" s="122"/>
      <c r="F59" s="122"/>
      <c r="G59" s="2010"/>
      <c r="H59" s="2010"/>
      <c r="I59" s="2010"/>
      <c r="J59" s="2010"/>
      <c r="K59" s="2010"/>
      <c r="L59" s="2010"/>
      <c r="M59" s="2010"/>
      <c r="N59" s="2010"/>
      <c r="O59" s="2010"/>
      <c r="P59" s="2010"/>
      <c r="Q59" s="140"/>
    </row>
    <row r="60" spans="2:21">
      <c r="B60" s="122"/>
      <c r="C60" s="122"/>
      <c r="D60" s="122"/>
      <c r="E60" s="122"/>
      <c r="F60" s="122"/>
      <c r="G60" s="2010"/>
      <c r="H60" s="2010"/>
      <c r="I60" s="162"/>
      <c r="J60" s="143"/>
      <c r="K60" s="143"/>
      <c r="L60" s="143"/>
      <c r="M60" s="143"/>
      <c r="N60" s="143"/>
      <c r="O60" s="143"/>
      <c r="P60" s="143"/>
      <c r="Q60" s="140"/>
    </row>
    <row r="61" spans="2:21">
      <c r="B61" s="1999"/>
      <c r="C61" s="1999"/>
      <c r="D61" s="1999"/>
      <c r="E61" s="122"/>
      <c r="F61" s="122"/>
      <c r="G61" s="2010"/>
      <c r="H61" s="2010"/>
      <c r="I61" s="2010"/>
      <c r="J61" s="2010"/>
      <c r="K61" s="2010"/>
      <c r="L61" s="2010"/>
      <c r="M61" s="2010"/>
      <c r="N61" s="2010"/>
      <c r="O61" s="2010"/>
      <c r="P61" s="2010"/>
      <c r="Q61" s="140"/>
      <c r="U61" s="1" t="s">
        <v>17</v>
      </c>
    </row>
    <row r="62" spans="2:21">
      <c r="B62" s="1999"/>
      <c r="C62" s="1999"/>
      <c r="D62" s="1999"/>
      <c r="E62" s="122"/>
      <c r="F62" s="122"/>
      <c r="G62" s="2010"/>
      <c r="H62" s="2010"/>
      <c r="I62" s="2010"/>
      <c r="J62" s="2010"/>
      <c r="K62" s="2010"/>
      <c r="L62" s="2010"/>
      <c r="M62" s="2010"/>
      <c r="N62" s="2010"/>
      <c r="O62" s="2010"/>
      <c r="P62" s="2010"/>
      <c r="Q62" s="140"/>
    </row>
    <row r="63" spans="2:21">
      <c r="B63" s="1999"/>
      <c r="C63" s="1999"/>
      <c r="D63" s="1999"/>
      <c r="E63" s="122"/>
      <c r="F63" s="122"/>
      <c r="G63" s="2017"/>
      <c r="H63" s="2017"/>
      <c r="I63" s="2017"/>
      <c r="J63" s="2017"/>
      <c r="K63" s="2017"/>
      <c r="L63" s="2017"/>
      <c r="M63" s="2017"/>
      <c r="N63" s="2017"/>
      <c r="O63" s="2017"/>
      <c r="P63" s="2017"/>
      <c r="Q63" s="140"/>
    </row>
    <row r="64" spans="2:21">
      <c r="B64" s="122"/>
      <c r="C64" s="122"/>
      <c r="D64" s="122"/>
      <c r="E64" s="122"/>
      <c r="F64" s="122"/>
      <c r="G64" s="148"/>
      <c r="H64" s="148"/>
      <c r="I64" s="405"/>
      <c r="J64" s="148"/>
      <c r="K64" s="148"/>
      <c r="L64" s="148"/>
      <c r="M64" s="148"/>
      <c r="N64" s="148"/>
      <c r="O64" s="148"/>
      <c r="P64" s="148"/>
      <c r="Q64" s="140"/>
    </row>
    <row r="65" spans="2:17">
      <c r="B65" s="122"/>
      <c r="C65" s="122"/>
      <c r="D65" s="122"/>
      <c r="E65" s="122"/>
      <c r="F65" s="122"/>
      <c r="G65" s="148"/>
      <c r="H65" s="148"/>
      <c r="I65" s="405"/>
      <c r="J65" s="148"/>
      <c r="K65" s="148"/>
      <c r="L65" s="148"/>
      <c r="M65" s="148"/>
      <c r="N65" s="148"/>
      <c r="O65" s="148"/>
      <c r="P65" s="148"/>
      <c r="Q65" s="140"/>
    </row>
    <row r="66" spans="2:17">
      <c r="B66" s="122"/>
      <c r="C66" s="122"/>
      <c r="D66" s="122"/>
      <c r="E66" s="122"/>
      <c r="F66" s="122"/>
      <c r="G66" s="148"/>
      <c r="H66" s="148"/>
      <c r="I66" s="405"/>
      <c r="J66" s="148"/>
      <c r="K66" s="148"/>
      <c r="L66" s="148"/>
      <c r="M66" s="148"/>
      <c r="N66" s="148"/>
      <c r="O66" s="148"/>
      <c r="P66" s="148"/>
      <c r="Q66" s="140"/>
    </row>
    <row r="67" spans="2:17">
      <c r="B67" s="122"/>
      <c r="C67" s="122"/>
      <c r="D67" s="122"/>
      <c r="E67" s="122"/>
      <c r="F67" s="122"/>
      <c r="G67" s="148"/>
      <c r="H67" s="148"/>
      <c r="I67" s="405"/>
      <c r="J67" s="148"/>
      <c r="K67" s="148"/>
      <c r="L67" s="148"/>
      <c r="M67" s="148"/>
      <c r="N67" s="148"/>
      <c r="O67" s="148"/>
      <c r="P67" s="148"/>
      <c r="Q67" s="140"/>
    </row>
    <row r="68" spans="2:17">
      <c r="B68" s="122"/>
      <c r="C68" s="122"/>
      <c r="D68" s="122"/>
      <c r="E68" s="122"/>
      <c r="F68" s="122"/>
      <c r="G68" s="148"/>
      <c r="H68" s="148"/>
      <c r="I68" s="405"/>
      <c r="J68" s="148"/>
      <c r="K68" s="148"/>
      <c r="L68" s="148"/>
      <c r="M68" s="148"/>
      <c r="N68" s="148"/>
      <c r="O68" s="148"/>
      <c r="P68" s="148"/>
      <c r="Q68" s="140"/>
    </row>
    <row r="69" spans="2:17">
      <c r="B69" s="122"/>
      <c r="C69" s="122"/>
      <c r="D69" s="122"/>
      <c r="E69" s="122"/>
      <c r="F69" s="122"/>
      <c r="G69" s="148"/>
      <c r="H69" s="148"/>
      <c r="I69" s="405"/>
      <c r="J69" s="148"/>
      <c r="K69" s="148"/>
      <c r="L69" s="148"/>
      <c r="M69" s="148"/>
      <c r="N69" s="148"/>
      <c r="O69" s="148"/>
      <c r="P69" s="148"/>
      <c r="Q69" s="140"/>
    </row>
    <row r="70" spans="2:17">
      <c r="B70" s="122"/>
      <c r="C70" s="122"/>
      <c r="D70" s="122"/>
      <c r="E70" s="122"/>
      <c r="F70" s="122"/>
      <c r="G70" s="148"/>
      <c r="H70" s="148"/>
      <c r="I70" s="405"/>
      <c r="J70" s="148"/>
      <c r="K70" s="148"/>
      <c r="L70" s="148"/>
      <c r="M70" s="148"/>
      <c r="N70" s="148"/>
      <c r="O70" s="148"/>
      <c r="P70" s="148"/>
      <c r="Q70" s="140"/>
    </row>
    <row r="71" spans="2:17">
      <c r="B71" s="122"/>
      <c r="C71" s="122"/>
      <c r="D71" s="122"/>
      <c r="E71" s="122"/>
      <c r="F71" s="122"/>
      <c r="G71" s="148"/>
      <c r="H71" s="148"/>
      <c r="I71" s="405"/>
      <c r="J71" s="148"/>
      <c r="K71" s="148"/>
      <c r="L71" s="148"/>
      <c r="M71" s="148"/>
      <c r="N71" s="148"/>
      <c r="O71" s="148"/>
      <c r="P71" s="148"/>
      <c r="Q71" s="140"/>
    </row>
    <row r="72" spans="2:17">
      <c r="B72" s="122"/>
      <c r="C72" s="122"/>
      <c r="D72" s="122"/>
      <c r="E72" s="122"/>
      <c r="F72" s="122"/>
      <c r="G72" s="148"/>
      <c r="H72" s="148"/>
      <c r="I72" s="405"/>
      <c r="J72" s="148"/>
      <c r="K72" s="148"/>
      <c r="L72" s="148"/>
      <c r="M72" s="148"/>
      <c r="N72" s="148"/>
      <c r="O72" s="148"/>
      <c r="P72" s="148"/>
      <c r="Q72" s="140"/>
    </row>
    <row r="73" spans="2:17">
      <c r="B73" s="122"/>
      <c r="C73" s="122"/>
      <c r="D73" s="122"/>
      <c r="E73" s="122"/>
      <c r="F73" s="122"/>
      <c r="G73" s="148"/>
      <c r="H73" s="148"/>
      <c r="I73" s="405"/>
      <c r="J73" s="148"/>
      <c r="K73" s="148"/>
      <c r="L73" s="148"/>
      <c r="M73" s="148"/>
      <c r="N73" s="148"/>
      <c r="O73" s="148"/>
      <c r="P73" s="148"/>
      <c r="Q73" s="140"/>
    </row>
    <row r="74" spans="2:17">
      <c r="B74" s="122"/>
      <c r="C74" s="122"/>
      <c r="D74" s="122"/>
      <c r="E74" s="122"/>
      <c r="F74" s="122"/>
      <c r="G74" s="148"/>
      <c r="H74" s="148"/>
      <c r="I74" s="405"/>
      <c r="J74" s="148"/>
      <c r="K74" s="148"/>
      <c r="L74" s="148"/>
      <c r="M74" s="148"/>
      <c r="N74" s="148"/>
      <c r="O74" s="148"/>
      <c r="P74" s="148"/>
      <c r="Q74" s="140"/>
    </row>
    <row r="75" spans="2:17">
      <c r="B75" s="122"/>
      <c r="C75" s="122"/>
      <c r="D75" s="122"/>
      <c r="E75" s="122"/>
      <c r="F75" s="122"/>
      <c r="G75" s="148"/>
      <c r="H75" s="148"/>
      <c r="I75" s="405"/>
      <c r="J75" s="148"/>
      <c r="K75" s="148"/>
      <c r="L75" s="148"/>
      <c r="M75" s="148"/>
      <c r="N75" s="148"/>
      <c r="O75" s="148"/>
      <c r="P75" s="148"/>
      <c r="Q75" s="140"/>
    </row>
    <row r="76" spans="2:17">
      <c r="B76" s="146"/>
      <c r="C76" s="149"/>
      <c r="D76" s="140"/>
      <c r="E76" s="140"/>
      <c r="F76" s="140"/>
      <c r="G76" s="147"/>
      <c r="H76" s="150"/>
      <c r="I76" s="142"/>
      <c r="J76" s="150"/>
      <c r="K76" s="147"/>
      <c r="L76" s="150"/>
      <c r="M76" s="147"/>
      <c r="N76" s="150"/>
      <c r="O76" s="147"/>
      <c r="P76" s="150"/>
      <c r="Q76" s="140"/>
    </row>
    <row r="77" spans="2:17">
      <c r="B77" s="146"/>
      <c r="C77" s="149"/>
      <c r="D77" s="140"/>
      <c r="E77" s="140"/>
      <c r="F77" s="140"/>
      <c r="G77" s="140"/>
      <c r="H77" s="146"/>
      <c r="I77" s="142"/>
      <c r="J77" s="146"/>
      <c r="K77" s="140"/>
      <c r="L77" s="146"/>
      <c r="M77" s="140"/>
      <c r="N77" s="146"/>
      <c r="O77" s="140"/>
      <c r="P77" s="146"/>
      <c r="Q77" s="140"/>
    </row>
    <row r="78" spans="2:17">
      <c r="B78" s="146"/>
      <c r="C78" s="149"/>
      <c r="D78" s="140"/>
      <c r="E78" s="140"/>
      <c r="F78" s="140"/>
      <c r="G78" s="140"/>
      <c r="H78" s="146"/>
      <c r="I78" s="142"/>
      <c r="J78" s="146"/>
      <c r="K78" s="140"/>
      <c r="L78" s="146"/>
      <c r="M78" s="140"/>
      <c r="N78" s="146"/>
      <c r="O78" s="140"/>
      <c r="P78" s="146"/>
      <c r="Q78" s="140"/>
    </row>
    <row r="79" spans="2:17">
      <c r="B79" s="151"/>
      <c r="C79" s="149"/>
      <c r="D79" s="149"/>
      <c r="E79" s="149"/>
      <c r="F79" s="149"/>
      <c r="G79" s="149"/>
      <c r="H79" s="151"/>
      <c r="I79" s="406"/>
      <c r="J79" s="151"/>
      <c r="K79" s="149"/>
      <c r="L79" s="151"/>
      <c r="M79" s="149"/>
      <c r="N79" s="151"/>
      <c r="O79" s="149"/>
      <c r="P79" s="151"/>
      <c r="Q79" s="140"/>
    </row>
    <row r="80" spans="2:17">
      <c r="B80" s="1999"/>
      <c r="C80" s="1999"/>
      <c r="D80" s="1999"/>
      <c r="E80" s="122"/>
      <c r="F80" s="122"/>
      <c r="G80" s="2013"/>
      <c r="H80" s="2013"/>
      <c r="I80" s="2013"/>
      <c r="J80" s="2013"/>
      <c r="K80" s="2013"/>
      <c r="L80" s="2023"/>
      <c r="M80" s="2020"/>
      <c r="N80" s="2020"/>
      <c r="O80" s="146"/>
      <c r="P80" s="146"/>
      <c r="Q80" s="140"/>
    </row>
    <row r="81" spans="2:17">
      <c r="B81" s="150"/>
      <c r="C81" s="122"/>
      <c r="D81" s="122"/>
      <c r="E81" s="122"/>
      <c r="F81" s="122"/>
      <c r="G81" s="152"/>
      <c r="H81" s="154"/>
      <c r="I81" s="376"/>
      <c r="J81" s="154"/>
      <c r="K81" s="152"/>
      <c r="L81" s="153"/>
      <c r="M81" s="146"/>
      <c r="N81" s="146"/>
      <c r="O81" s="146"/>
      <c r="P81" s="146"/>
      <c r="Q81" s="140"/>
    </row>
    <row r="82" spans="2:17">
      <c r="B82" s="150"/>
      <c r="C82" s="122"/>
      <c r="D82" s="122"/>
      <c r="E82" s="122"/>
      <c r="F82" s="122"/>
      <c r="G82" s="152"/>
      <c r="H82" s="154"/>
      <c r="I82" s="376"/>
      <c r="J82" s="154"/>
      <c r="K82" s="152"/>
      <c r="L82" s="153"/>
      <c r="M82" s="146"/>
      <c r="N82" s="146"/>
      <c r="O82" s="146"/>
      <c r="P82" s="146"/>
      <c r="Q82" s="140"/>
    </row>
    <row r="83" spans="2:17">
      <c r="B83" s="150"/>
      <c r="C83" s="122"/>
      <c r="D83" s="122"/>
      <c r="E83" s="122"/>
      <c r="F83" s="122"/>
      <c r="G83" s="152"/>
      <c r="H83" s="154"/>
      <c r="I83" s="376"/>
      <c r="J83" s="154"/>
      <c r="K83" s="152"/>
      <c r="L83" s="153"/>
      <c r="M83" s="146"/>
      <c r="N83" s="146"/>
      <c r="O83" s="146"/>
      <c r="P83" s="146"/>
      <c r="Q83" s="140"/>
    </row>
    <row r="84" spans="2:17" ht="17.600000000000001">
      <c r="B84" s="150"/>
      <c r="C84" s="122"/>
      <c r="D84" s="155"/>
      <c r="E84" s="155"/>
      <c r="F84" s="155"/>
      <c r="G84" s="140"/>
      <c r="H84" s="154"/>
      <c r="I84" s="376"/>
      <c r="J84" s="154"/>
      <c r="K84" s="152"/>
      <c r="L84" s="153"/>
      <c r="M84" s="146"/>
      <c r="N84" s="146"/>
      <c r="O84" s="146"/>
      <c r="P84" s="146"/>
      <c r="Q84" s="140"/>
    </row>
    <row r="85" spans="2:17" ht="17.600000000000001">
      <c r="B85" s="150"/>
      <c r="C85" s="122"/>
      <c r="D85" s="155"/>
      <c r="E85" s="155"/>
      <c r="F85" s="155"/>
      <c r="G85" s="140"/>
      <c r="H85" s="154"/>
      <c r="I85" s="376"/>
      <c r="J85" s="154"/>
      <c r="K85" s="152"/>
      <c r="L85" s="153"/>
      <c r="M85" s="146"/>
      <c r="N85" s="146"/>
      <c r="O85" s="146"/>
      <c r="P85" s="146"/>
      <c r="Q85" s="140"/>
    </row>
    <row r="86" spans="2:17">
      <c r="B86" s="146"/>
      <c r="C86" s="140"/>
      <c r="D86" s="140"/>
      <c r="E86" s="140"/>
      <c r="F86" s="140"/>
      <c r="G86" s="140"/>
      <c r="H86" s="146"/>
      <c r="I86" s="142"/>
      <c r="J86" s="146"/>
      <c r="K86" s="140"/>
      <c r="L86" s="146"/>
      <c r="M86" s="140"/>
      <c r="N86" s="146"/>
      <c r="O86" s="140"/>
      <c r="P86" s="146"/>
      <c r="Q86" s="140"/>
    </row>
    <row r="87" spans="2:17">
      <c r="B87" s="146"/>
      <c r="C87" s="140"/>
      <c r="D87" s="140"/>
      <c r="E87" s="140"/>
      <c r="F87" s="140"/>
      <c r="G87" s="140"/>
      <c r="H87" s="146"/>
      <c r="I87" s="142"/>
      <c r="J87" s="146"/>
      <c r="K87" s="140"/>
      <c r="L87" s="146"/>
      <c r="M87" s="140"/>
      <c r="N87" s="146"/>
      <c r="O87" s="140"/>
      <c r="P87" s="146"/>
      <c r="Q87" s="140"/>
    </row>
    <row r="88" spans="2:17">
      <c r="B88" s="146"/>
      <c r="C88" s="140"/>
      <c r="D88" s="140"/>
      <c r="E88" s="140"/>
      <c r="F88" s="140"/>
      <c r="G88" s="140"/>
      <c r="H88" s="146"/>
      <c r="I88" s="142"/>
      <c r="J88" s="146"/>
      <c r="K88" s="140"/>
      <c r="L88" s="146"/>
      <c r="M88" s="140"/>
      <c r="N88" s="146"/>
      <c r="O88" s="140"/>
      <c r="P88" s="146"/>
      <c r="Q88" s="140"/>
    </row>
    <row r="89" spans="2:17">
      <c r="B89" s="146"/>
      <c r="C89" s="140"/>
      <c r="D89" s="140"/>
      <c r="E89" s="140"/>
      <c r="F89" s="140"/>
      <c r="G89" s="140"/>
      <c r="H89" s="146"/>
      <c r="I89" s="142"/>
      <c r="J89" s="146"/>
      <c r="K89" s="140"/>
      <c r="L89" s="146"/>
      <c r="M89" s="140"/>
      <c r="N89" s="146"/>
      <c r="O89" s="140"/>
      <c r="P89" s="146"/>
      <c r="Q89" s="140"/>
    </row>
    <row r="90" spans="2:17">
      <c r="B90" s="146"/>
      <c r="C90" s="140"/>
      <c r="D90" s="140"/>
      <c r="E90" s="140"/>
      <c r="F90" s="140"/>
      <c r="G90" s="140"/>
      <c r="H90" s="146"/>
      <c r="I90" s="142"/>
      <c r="J90" s="146"/>
      <c r="K90" s="140"/>
      <c r="L90" s="146"/>
      <c r="M90" s="140"/>
      <c r="N90" s="146"/>
      <c r="O90" s="140"/>
      <c r="P90" s="146"/>
      <c r="Q90" s="140"/>
    </row>
    <row r="91" spans="2:17">
      <c r="B91" s="146"/>
      <c r="C91" s="140"/>
      <c r="D91" s="140"/>
      <c r="E91" s="140"/>
      <c r="F91" s="140"/>
      <c r="G91" s="140"/>
      <c r="H91" s="146"/>
      <c r="I91" s="142"/>
      <c r="J91" s="146"/>
      <c r="K91" s="140"/>
      <c r="L91" s="146"/>
      <c r="M91" s="140"/>
      <c r="N91" s="146"/>
      <c r="O91" s="140"/>
      <c r="P91" s="146"/>
      <c r="Q91" s="140"/>
    </row>
    <row r="92" spans="2:17">
      <c r="B92" s="146"/>
      <c r="C92" s="140"/>
      <c r="D92" s="140"/>
      <c r="E92" s="140"/>
      <c r="F92" s="140"/>
      <c r="G92" s="140"/>
      <c r="H92" s="146"/>
      <c r="I92" s="142"/>
      <c r="J92" s="146"/>
      <c r="K92" s="140"/>
      <c r="L92" s="146"/>
      <c r="M92" s="140"/>
      <c r="N92" s="146"/>
      <c r="O92" s="140"/>
      <c r="P92" s="146"/>
      <c r="Q92" s="140"/>
    </row>
    <row r="93" spans="2:17">
      <c r="B93" s="146"/>
      <c r="C93" s="140"/>
      <c r="D93" s="140"/>
      <c r="E93" s="140"/>
      <c r="F93" s="140"/>
      <c r="G93" s="140"/>
      <c r="H93" s="146"/>
      <c r="I93" s="142"/>
      <c r="J93" s="146"/>
      <c r="K93" s="140"/>
      <c r="L93" s="146"/>
      <c r="M93" s="140"/>
      <c r="N93" s="146"/>
      <c r="O93" s="140"/>
      <c r="P93" s="146"/>
      <c r="Q93" s="140"/>
    </row>
    <row r="94" spans="2:17">
      <c r="B94" s="146"/>
      <c r="C94" s="140"/>
      <c r="D94" s="140"/>
      <c r="E94" s="140"/>
      <c r="F94" s="140"/>
      <c r="G94" s="140"/>
      <c r="H94" s="146"/>
      <c r="I94" s="142"/>
      <c r="J94" s="146"/>
      <c r="K94" s="140"/>
      <c r="L94" s="146"/>
      <c r="M94" s="140"/>
      <c r="N94" s="146"/>
      <c r="O94" s="140"/>
      <c r="P94" s="146"/>
      <c r="Q94" s="140"/>
    </row>
    <row r="95" spans="2:17">
      <c r="B95" s="146"/>
      <c r="C95" s="140"/>
      <c r="D95" s="140"/>
      <c r="E95" s="140"/>
      <c r="F95" s="140"/>
      <c r="G95" s="140"/>
      <c r="H95" s="146"/>
      <c r="I95" s="142"/>
      <c r="J95" s="146"/>
      <c r="K95" s="140"/>
      <c r="L95" s="146"/>
      <c r="M95" s="140"/>
      <c r="N95" s="146"/>
      <c r="O95" s="140"/>
      <c r="P95" s="146"/>
      <c r="Q95" s="140"/>
    </row>
    <row r="96" spans="2:17">
      <c r="B96" s="146"/>
      <c r="C96" s="140"/>
      <c r="D96" s="140"/>
      <c r="E96" s="140"/>
      <c r="F96" s="140"/>
      <c r="G96" s="140"/>
      <c r="H96" s="146"/>
      <c r="I96" s="142"/>
      <c r="J96" s="146"/>
      <c r="K96" s="140"/>
      <c r="L96" s="146"/>
      <c r="M96" s="140"/>
      <c r="N96" s="146"/>
      <c r="O96" s="140"/>
      <c r="P96" s="146"/>
      <c r="Q96" s="140"/>
    </row>
    <row r="97" spans="2:17">
      <c r="B97" s="146"/>
      <c r="C97" s="140"/>
      <c r="D97" s="140"/>
      <c r="E97" s="140"/>
      <c r="F97" s="140"/>
      <c r="G97" s="140"/>
      <c r="H97" s="146"/>
      <c r="I97" s="142"/>
      <c r="J97" s="146"/>
      <c r="K97" s="140"/>
      <c r="L97" s="146"/>
      <c r="M97" s="140"/>
      <c r="N97" s="146"/>
      <c r="O97" s="140"/>
      <c r="P97" s="146"/>
      <c r="Q97" s="140"/>
    </row>
    <row r="98" spans="2:17">
      <c r="B98" s="146"/>
      <c r="C98" s="140"/>
      <c r="D98" s="140"/>
      <c r="E98" s="140"/>
      <c r="F98" s="140"/>
      <c r="G98" s="140"/>
      <c r="H98" s="146"/>
      <c r="I98" s="142"/>
      <c r="J98" s="146"/>
      <c r="K98" s="140"/>
      <c r="L98" s="146"/>
      <c r="M98" s="140"/>
      <c r="N98" s="146"/>
      <c r="O98" s="140"/>
      <c r="P98" s="146"/>
      <c r="Q98" s="140"/>
    </row>
    <row r="99" spans="2:17">
      <c r="B99" s="146"/>
      <c r="C99" s="140"/>
      <c r="D99" s="140"/>
      <c r="E99" s="140"/>
      <c r="F99" s="140"/>
      <c r="G99" s="140"/>
      <c r="H99" s="146"/>
      <c r="I99" s="142"/>
      <c r="J99" s="146"/>
      <c r="K99" s="140"/>
      <c r="L99" s="146"/>
      <c r="M99" s="140"/>
      <c r="N99" s="146"/>
      <c r="O99" s="140"/>
      <c r="P99" s="146"/>
      <c r="Q99" s="140"/>
    </row>
    <row r="100" spans="2:17">
      <c r="B100" s="146"/>
      <c r="C100" s="140"/>
      <c r="D100" s="140"/>
      <c r="E100" s="140"/>
      <c r="F100" s="140"/>
      <c r="G100" s="140"/>
      <c r="H100" s="146"/>
      <c r="I100" s="142"/>
      <c r="J100" s="146"/>
      <c r="K100" s="140"/>
      <c r="L100" s="146"/>
      <c r="M100" s="140"/>
      <c r="N100" s="146"/>
      <c r="O100" s="140"/>
      <c r="P100" s="146"/>
      <c r="Q100" s="140"/>
    </row>
    <row r="101" spans="2:17">
      <c r="B101" s="146"/>
      <c r="C101" s="140"/>
      <c r="D101" s="140"/>
      <c r="E101" s="140"/>
      <c r="F101" s="140"/>
      <c r="G101" s="140"/>
      <c r="H101" s="146"/>
      <c r="I101" s="142"/>
      <c r="J101" s="146"/>
      <c r="K101" s="140"/>
      <c r="L101" s="146"/>
      <c r="M101" s="140"/>
      <c r="N101" s="146"/>
      <c r="O101" s="140"/>
      <c r="P101" s="146"/>
      <c r="Q101" s="140"/>
    </row>
    <row r="102" spans="2:17">
      <c r="B102" s="146"/>
      <c r="C102" s="140"/>
      <c r="D102" s="140"/>
      <c r="E102" s="140"/>
      <c r="F102" s="140"/>
      <c r="G102" s="140"/>
      <c r="H102" s="146"/>
      <c r="I102" s="142"/>
      <c r="J102" s="146"/>
      <c r="K102" s="140"/>
      <c r="L102" s="146"/>
      <c r="M102" s="140"/>
      <c r="N102" s="146"/>
      <c r="O102" s="140"/>
      <c r="P102" s="146"/>
      <c r="Q102" s="140"/>
    </row>
    <row r="103" spans="2:17">
      <c r="B103" s="146"/>
      <c r="C103" s="140"/>
      <c r="D103" s="140"/>
      <c r="E103" s="140"/>
      <c r="F103" s="140"/>
      <c r="G103" s="140"/>
      <c r="H103" s="146"/>
      <c r="I103" s="142"/>
      <c r="J103" s="146"/>
      <c r="K103" s="140"/>
      <c r="L103" s="146"/>
      <c r="M103" s="140"/>
      <c r="N103" s="146"/>
      <c r="O103" s="140"/>
      <c r="P103" s="146"/>
      <c r="Q103" s="140"/>
    </row>
    <row r="104" spans="2:17">
      <c r="B104" s="146"/>
      <c r="C104" s="140"/>
      <c r="D104" s="140"/>
      <c r="E104" s="140"/>
      <c r="F104" s="140"/>
      <c r="G104" s="140"/>
      <c r="H104" s="146"/>
      <c r="I104" s="142"/>
      <c r="J104" s="146"/>
      <c r="K104" s="140"/>
      <c r="L104" s="146"/>
      <c r="M104" s="140"/>
      <c r="N104" s="146"/>
      <c r="O104" s="140"/>
      <c r="P104" s="146"/>
      <c r="Q104" s="140"/>
    </row>
    <row r="105" spans="2:17">
      <c r="B105" s="146"/>
      <c r="C105" s="140"/>
      <c r="D105" s="140"/>
      <c r="E105" s="140"/>
      <c r="F105" s="140"/>
      <c r="G105" s="140"/>
      <c r="H105" s="146"/>
      <c r="I105" s="142"/>
      <c r="J105" s="146"/>
      <c r="K105" s="140"/>
      <c r="L105" s="146"/>
      <c r="M105" s="140"/>
      <c r="N105" s="146"/>
      <c r="O105" s="140"/>
      <c r="P105" s="146"/>
      <c r="Q105" s="140"/>
    </row>
    <row r="106" spans="2:17">
      <c r="B106" s="146"/>
      <c r="C106" s="140"/>
      <c r="D106" s="140"/>
      <c r="E106" s="140"/>
      <c r="F106" s="140"/>
      <c r="G106" s="140"/>
      <c r="H106" s="146"/>
      <c r="I106" s="142"/>
      <c r="J106" s="146"/>
      <c r="K106" s="140"/>
      <c r="L106" s="146"/>
      <c r="M106" s="140"/>
      <c r="N106" s="146"/>
      <c r="O106" s="140"/>
      <c r="P106" s="146"/>
      <c r="Q106" s="140"/>
    </row>
    <row r="107" spans="2:17">
      <c r="B107" s="146"/>
      <c r="C107" s="140"/>
      <c r="D107" s="140"/>
      <c r="E107" s="140"/>
      <c r="F107" s="140"/>
      <c r="G107" s="140"/>
      <c r="H107" s="146"/>
      <c r="I107" s="142"/>
      <c r="J107" s="146"/>
      <c r="K107" s="140"/>
      <c r="L107" s="146"/>
      <c r="M107" s="140"/>
      <c r="N107" s="146"/>
      <c r="O107" s="140"/>
      <c r="P107" s="146"/>
      <c r="Q107" s="140"/>
    </row>
    <row r="108" spans="2:17">
      <c r="B108" s="146"/>
      <c r="C108" s="140"/>
      <c r="D108" s="140"/>
      <c r="E108" s="140"/>
      <c r="F108" s="140"/>
      <c r="G108" s="140"/>
      <c r="H108" s="146"/>
      <c r="I108" s="142"/>
      <c r="J108" s="146"/>
      <c r="K108" s="140"/>
      <c r="L108" s="146"/>
      <c r="M108" s="140"/>
      <c r="N108" s="146"/>
      <c r="O108" s="140"/>
      <c r="P108" s="146"/>
      <c r="Q108" s="140"/>
    </row>
    <row r="109" spans="2:17">
      <c r="B109" s="146"/>
      <c r="C109" s="140"/>
      <c r="D109" s="140"/>
      <c r="E109" s="140"/>
      <c r="F109" s="140"/>
      <c r="G109" s="140"/>
      <c r="H109" s="146"/>
      <c r="I109" s="142"/>
      <c r="J109" s="146"/>
      <c r="K109" s="140"/>
      <c r="L109" s="146"/>
      <c r="M109" s="140"/>
      <c r="N109" s="146"/>
      <c r="O109" s="140"/>
      <c r="P109" s="146"/>
      <c r="Q109" s="140"/>
    </row>
    <row r="110" spans="2:17">
      <c r="B110" s="146"/>
      <c r="C110" s="140"/>
      <c r="D110" s="140"/>
      <c r="E110" s="140"/>
      <c r="F110" s="140"/>
      <c r="G110" s="140"/>
      <c r="H110" s="146"/>
      <c r="I110" s="142"/>
      <c r="J110" s="146"/>
      <c r="K110" s="140"/>
      <c r="L110" s="146"/>
      <c r="M110" s="140"/>
      <c r="N110" s="146"/>
      <c r="O110" s="140"/>
      <c r="P110" s="146"/>
      <c r="Q110" s="140"/>
    </row>
    <row r="111" spans="2:17">
      <c r="B111" s="146"/>
      <c r="C111" s="140"/>
      <c r="D111" s="140"/>
      <c r="E111" s="140"/>
      <c r="F111" s="140"/>
      <c r="G111" s="140"/>
      <c r="H111" s="146"/>
      <c r="I111" s="142"/>
      <c r="J111" s="146"/>
      <c r="K111" s="140"/>
      <c r="L111" s="146"/>
      <c r="M111" s="140"/>
      <c r="N111" s="146"/>
      <c r="O111" s="140"/>
      <c r="P111" s="146"/>
      <c r="Q111" s="140"/>
    </row>
    <row r="112" spans="2:17">
      <c r="B112" s="146"/>
      <c r="C112" s="140"/>
      <c r="D112" s="140"/>
      <c r="E112" s="140"/>
      <c r="F112" s="140"/>
      <c r="G112" s="140"/>
      <c r="H112" s="146"/>
      <c r="I112" s="142"/>
      <c r="J112" s="146"/>
      <c r="K112" s="140"/>
      <c r="L112" s="146"/>
      <c r="M112" s="140"/>
      <c r="N112" s="146"/>
      <c r="O112" s="140"/>
      <c r="P112" s="146"/>
      <c r="Q112" s="140"/>
    </row>
    <row r="113" spans="2:17">
      <c r="B113" s="146"/>
      <c r="C113" s="140"/>
      <c r="D113" s="140"/>
      <c r="E113" s="140"/>
      <c r="F113" s="140"/>
      <c r="G113" s="140"/>
      <c r="H113" s="146"/>
      <c r="I113" s="142"/>
      <c r="J113" s="146"/>
      <c r="K113" s="140"/>
      <c r="L113" s="146"/>
      <c r="M113" s="140"/>
      <c r="N113" s="146"/>
      <c r="O113" s="140"/>
      <c r="P113" s="146"/>
      <c r="Q113" s="140"/>
    </row>
    <row r="114" spans="2:17">
      <c r="B114" s="146"/>
      <c r="C114" s="2030"/>
      <c r="D114" s="2031"/>
      <c r="E114" s="2031"/>
      <c r="F114" s="2031"/>
      <c r="G114" s="2031"/>
      <c r="H114" s="2008"/>
      <c r="I114" s="2008"/>
      <c r="J114" s="2008"/>
      <c r="K114" s="2008"/>
      <c r="L114" s="2008"/>
      <c r="M114" s="2008"/>
      <c r="N114" s="144"/>
      <c r="O114" s="144"/>
      <c r="P114" s="144"/>
      <c r="Q114" s="144"/>
    </row>
    <row r="115" spans="2:17">
      <c r="B115" s="146"/>
      <c r="C115" s="2031"/>
      <c r="D115" s="2031"/>
      <c r="E115" s="2031"/>
      <c r="F115" s="2031"/>
      <c r="G115" s="2031"/>
      <c r="H115" s="2009"/>
      <c r="I115" s="2009"/>
      <c r="J115" s="2009"/>
      <c r="K115" s="2009"/>
      <c r="L115" s="2009"/>
      <c r="M115" s="2009"/>
      <c r="N115" s="156"/>
      <c r="O115" s="156"/>
      <c r="P115" s="156"/>
      <c r="Q115" s="156"/>
    </row>
    <row r="116" spans="2:17">
      <c r="B116" s="146"/>
      <c r="C116" s="157"/>
      <c r="D116" s="2025"/>
      <c r="E116" s="2025"/>
      <c r="F116" s="2025"/>
      <c r="G116" s="2025"/>
      <c r="H116" s="2006"/>
      <c r="I116" s="2006"/>
      <c r="J116" s="2006"/>
      <c r="K116" s="2006"/>
      <c r="L116" s="2006"/>
      <c r="M116" s="2006"/>
      <c r="N116" s="158"/>
      <c r="O116" s="158"/>
      <c r="P116" s="158"/>
      <c r="Q116" s="158"/>
    </row>
    <row r="117" spans="2:17">
      <c r="B117" s="146"/>
      <c r="C117" s="157"/>
      <c r="D117" s="145"/>
      <c r="E117" s="145"/>
      <c r="F117" s="145"/>
      <c r="G117" s="159"/>
      <c r="H117" s="2006"/>
      <c r="I117" s="2006"/>
      <c r="J117" s="2006"/>
      <c r="K117" s="2007"/>
      <c r="L117" s="2006"/>
      <c r="M117" s="2007"/>
      <c r="N117" s="158"/>
      <c r="O117" s="158"/>
      <c r="P117" s="158"/>
      <c r="Q117" s="160"/>
    </row>
    <row r="118" spans="2:17">
      <c r="B118" s="146"/>
      <c r="C118" s="157"/>
      <c r="D118" s="145"/>
      <c r="E118" s="145"/>
      <c r="F118" s="145"/>
      <c r="G118" s="159"/>
      <c r="H118" s="2006"/>
      <c r="I118" s="2006"/>
      <c r="J118" s="2006"/>
      <c r="K118" s="2007"/>
      <c r="L118" s="2006"/>
      <c r="M118" s="2007"/>
      <c r="N118" s="158"/>
      <c r="O118" s="158"/>
      <c r="P118" s="158"/>
      <c r="Q118" s="160"/>
    </row>
    <row r="119" spans="2:17">
      <c r="B119" s="146"/>
      <c r="C119" s="157"/>
      <c r="D119" s="145"/>
      <c r="E119" s="145"/>
      <c r="F119" s="145"/>
      <c r="G119" s="159"/>
      <c r="H119" s="2006"/>
      <c r="I119" s="2006"/>
      <c r="J119" s="2006"/>
      <c r="K119" s="2007"/>
      <c r="L119" s="2006"/>
      <c r="M119" s="2007"/>
      <c r="N119" s="158"/>
      <c r="O119" s="158"/>
      <c r="P119" s="158"/>
      <c r="Q119" s="160"/>
    </row>
    <row r="120" spans="2:17">
      <c r="B120" s="146"/>
      <c r="C120" s="157"/>
      <c r="D120" s="145"/>
      <c r="E120" s="145"/>
      <c r="F120" s="145"/>
      <c r="G120" s="159"/>
      <c r="H120" s="2006"/>
      <c r="I120" s="2006"/>
      <c r="J120" s="1997"/>
      <c r="K120" s="1997"/>
      <c r="L120" s="1997"/>
      <c r="M120" s="1997"/>
      <c r="N120" s="161"/>
      <c r="O120" s="161"/>
      <c r="P120" s="161"/>
      <c r="Q120" s="161"/>
    </row>
    <row r="121" spans="2:17">
      <c r="B121" s="146"/>
      <c r="C121" s="157"/>
      <c r="D121" s="2025"/>
      <c r="E121" s="2025"/>
      <c r="F121" s="2025"/>
      <c r="G121" s="2025"/>
      <c r="H121" s="2006"/>
      <c r="I121" s="2006"/>
      <c r="J121" s="2027"/>
      <c r="K121" s="2027"/>
      <c r="L121" s="2027"/>
      <c r="M121" s="2027"/>
      <c r="N121" s="162"/>
      <c r="O121" s="162"/>
      <c r="P121" s="162"/>
      <c r="Q121" s="162"/>
    </row>
    <row r="122" spans="2:17">
      <c r="B122" s="146"/>
      <c r="C122" s="157"/>
      <c r="D122" s="1998"/>
      <c r="E122" s="1998"/>
      <c r="F122" s="1998"/>
      <c r="G122" s="1998"/>
      <c r="H122" s="2006"/>
      <c r="I122" s="2007"/>
      <c r="J122" s="2006"/>
      <c r="K122" s="2007"/>
      <c r="L122" s="2006"/>
      <c r="M122" s="2007"/>
      <c r="N122" s="158"/>
      <c r="O122" s="158"/>
      <c r="P122" s="158"/>
      <c r="Q122" s="160"/>
    </row>
    <row r="123" spans="2:17">
      <c r="B123" s="146"/>
      <c r="C123" s="2030"/>
      <c r="D123" s="2031"/>
      <c r="E123" s="2031"/>
      <c r="F123" s="2031"/>
      <c r="G123" s="2031"/>
      <c r="H123" s="2008"/>
      <c r="I123" s="2008"/>
      <c r="J123" s="2008"/>
      <c r="K123" s="2008"/>
      <c r="L123" s="2008"/>
      <c r="M123" s="2008"/>
      <c r="N123" s="144"/>
      <c r="O123" s="144"/>
      <c r="P123" s="144"/>
      <c r="Q123" s="144"/>
    </row>
    <row r="124" spans="2:17">
      <c r="B124" s="146"/>
      <c r="C124" s="2031"/>
      <c r="D124" s="2031"/>
      <c r="E124" s="2031"/>
      <c r="F124" s="2031"/>
      <c r="G124" s="2031"/>
      <c r="H124" s="2009"/>
      <c r="I124" s="2009"/>
      <c r="J124" s="2009"/>
      <c r="K124" s="2009"/>
      <c r="L124" s="2009"/>
      <c r="M124" s="2009"/>
      <c r="N124" s="156"/>
      <c r="O124" s="156"/>
      <c r="P124" s="156"/>
      <c r="Q124" s="156"/>
    </row>
    <row r="125" spans="2:17">
      <c r="B125" s="146"/>
      <c r="C125" s="157"/>
      <c r="D125" s="142"/>
      <c r="E125" s="142"/>
      <c r="F125" s="142"/>
      <c r="G125" s="163"/>
      <c r="H125" s="2006"/>
      <c r="I125" s="2007"/>
      <c r="J125" s="2006"/>
      <c r="K125" s="2007"/>
      <c r="L125" s="2006"/>
      <c r="M125" s="2007"/>
      <c r="N125" s="158"/>
      <c r="O125" s="158"/>
      <c r="P125" s="158"/>
      <c r="Q125" s="160"/>
    </row>
    <row r="126" spans="2:17">
      <c r="B126" s="146"/>
      <c r="C126" s="157"/>
      <c r="D126" s="142"/>
      <c r="E126" s="142"/>
      <c r="F126" s="142"/>
      <c r="G126" s="163"/>
      <c r="H126" s="2006"/>
      <c r="I126" s="2007"/>
      <c r="J126" s="2006"/>
      <c r="K126" s="2007"/>
      <c r="L126" s="2006"/>
      <c r="M126" s="2007"/>
      <c r="N126" s="158"/>
      <c r="O126" s="158"/>
      <c r="P126" s="158"/>
      <c r="Q126" s="160"/>
    </row>
    <row r="127" spans="2:17">
      <c r="B127" s="146"/>
      <c r="C127" s="157"/>
      <c r="D127" s="142"/>
      <c r="E127" s="142"/>
      <c r="F127" s="142"/>
      <c r="G127" s="163"/>
      <c r="H127" s="2027"/>
      <c r="I127" s="2027"/>
      <c r="J127" s="2006"/>
      <c r="K127" s="2007"/>
      <c r="L127" s="2006"/>
      <c r="M127" s="2007"/>
      <c r="N127" s="158"/>
      <c r="O127" s="158"/>
      <c r="P127" s="158"/>
      <c r="Q127" s="160"/>
    </row>
    <row r="128" spans="2:17">
      <c r="B128" s="146"/>
      <c r="C128" s="157"/>
      <c r="D128" s="142"/>
      <c r="E128" s="142"/>
      <c r="F128" s="142"/>
      <c r="G128" s="163"/>
      <c r="H128" s="2006"/>
      <c r="I128" s="2007"/>
      <c r="J128" s="2006"/>
      <c r="K128" s="2007"/>
      <c r="L128" s="2006"/>
      <c r="M128" s="2007"/>
      <c r="N128" s="158"/>
      <c r="O128" s="158"/>
      <c r="P128" s="158"/>
      <c r="Q128" s="160"/>
    </row>
    <row r="129" spans="2:17">
      <c r="B129" s="146"/>
      <c r="C129" s="157"/>
      <c r="D129" s="142"/>
      <c r="E129" s="142"/>
      <c r="F129" s="142"/>
      <c r="G129" s="163"/>
      <c r="H129" s="2006"/>
      <c r="I129" s="2007"/>
      <c r="J129" s="2006"/>
      <c r="K129" s="2007"/>
      <c r="L129" s="2006"/>
      <c r="M129" s="2007"/>
      <c r="N129" s="158"/>
      <c r="O129" s="158"/>
      <c r="P129" s="158"/>
      <c r="Q129" s="160"/>
    </row>
  </sheetData>
  <sheetProtection algorithmName="SHA-512" hashValue="k7gwo71i8FyOTFzdgMHQoJv2bNq2z3npGp1/iTEQFZeHCLr/c+t/ZGjEkCz6IseWgwoiHVeLrt771ORYXxPiTw==" saltValue="4qTYcgoUDf50KfyfZt2H5A==" spinCount="100000" sheet="1" objects="1" scenarios="1" selectLockedCells="1"/>
  <mergeCells count="222">
    <mergeCell ref="R10:U10"/>
    <mergeCell ref="E7:F7"/>
    <mergeCell ref="E8:F8"/>
    <mergeCell ref="E10:F10"/>
    <mergeCell ref="E33:F33"/>
    <mergeCell ref="O47:P47"/>
    <mergeCell ref="O48:P48"/>
    <mergeCell ref="O63:P63"/>
    <mergeCell ref="O51:P51"/>
    <mergeCell ref="O52:P52"/>
    <mergeCell ref="O53:P53"/>
    <mergeCell ref="O55:P55"/>
    <mergeCell ref="O62:P62"/>
    <mergeCell ref="O56:P56"/>
    <mergeCell ref="O49:P49"/>
    <mergeCell ref="O50:P50"/>
    <mergeCell ref="O58:P58"/>
    <mergeCell ref="O59:P59"/>
    <mergeCell ref="O61:P61"/>
    <mergeCell ref="O57:P57"/>
    <mergeCell ref="G8:H8"/>
    <mergeCell ref="I8:J8"/>
    <mergeCell ref="K8:L8"/>
    <mergeCell ref="M8:N8"/>
    <mergeCell ref="G33:H33"/>
    <mergeCell ref="I38:J38"/>
    <mergeCell ref="I7:J7"/>
    <mergeCell ref="K7:L7"/>
    <mergeCell ref="M7:N7"/>
    <mergeCell ref="G10:H10"/>
    <mergeCell ref="I10:J10"/>
    <mergeCell ref="K10:L10"/>
    <mergeCell ref="M10:N10"/>
    <mergeCell ref="M38:N38"/>
    <mergeCell ref="I36:P36"/>
    <mergeCell ref="O43:P43"/>
    <mergeCell ref="O44:P44"/>
    <mergeCell ref="M44:N44"/>
    <mergeCell ref="O45:P45"/>
    <mergeCell ref="O46:P46"/>
    <mergeCell ref="O7:P7"/>
    <mergeCell ref="O8:P8"/>
    <mergeCell ref="O33:P33"/>
    <mergeCell ref="O37:P37"/>
    <mergeCell ref="O38:P38"/>
    <mergeCell ref="O10:P10"/>
    <mergeCell ref="M37:N37"/>
    <mergeCell ref="G46:H46"/>
    <mergeCell ref="I46:J46"/>
    <mergeCell ref="K46:L46"/>
    <mergeCell ref="M46:N46"/>
    <mergeCell ref="I47:J47"/>
    <mergeCell ref="O39:P39"/>
    <mergeCell ref="G49:H49"/>
    <mergeCell ref="G48:H48"/>
    <mergeCell ref="G53:H53"/>
    <mergeCell ref="I53:J53"/>
    <mergeCell ref="K53:L53"/>
    <mergeCell ref="M53:N53"/>
    <mergeCell ref="K51:L51"/>
    <mergeCell ref="M51:N51"/>
    <mergeCell ref="I49:J49"/>
    <mergeCell ref="K41:L41"/>
    <mergeCell ref="I43:J43"/>
    <mergeCell ref="M41:N41"/>
    <mergeCell ref="K43:L43"/>
    <mergeCell ref="M43:N43"/>
    <mergeCell ref="M42:N42"/>
    <mergeCell ref="O40:P40"/>
    <mergeCell ref="O41:P41"/>
    <mergeCell ref="O42:P42"/>
    <mergeCell ref="G51:H51"/>
    <mergeCell ref="I51:J51"/>
    <mergeCell ref="I48:J48"/>
    <mergeCell ref="I57:J57"/>
    <mergeCell ref="M49:N49"/>
    <mergeCell ref="B5:D5"/>
    <mergeCell ref="G52:H52"/>
    <mergeCell ref="I52:J52"/>
    <mergeCell ref="K52:L52"/>
    <mergeCell ref="K45:L45"/>
    <mergeCell ref="I44:J44"/>
    <mergeCell ref="I50:J50"/>
    <mergeCell ref="M50:N50"/>
    <mergeCell ref="I33:J33"/>
    <mergeCell ref="K33:L33"/>
    <mergeCell ref="M33:N33"/>
    <mergeCell ref="K44:L44"/>
    <mergeCell ref="M39:N39"/>
    <mergeCell ref="M47:N47"/>
    <mergeCell ref="I42:J42"/>
    <mergeCell ref="K42:L42"/>
    <mergeCell ref="K49:L49"/>
    <mergeCell ref="K48:L48"/>
    <mergeCell ref="M48:N48"/>
    <mergeCell ref="H126:I126"/>
    <mergeCell ref="C114:G115"/>
    <mergeCell ref="J118:K118"/>
    <mergeCell ref="L118:M118"/>
    <mergeCell ref="L114:M114"/>
    <mergeCell ref="H125:I125"/>
    <mergeCell ref="J119:K119"/>
    <mergeCell ref="L119:M119"/>
    <mergeCell ref="H119:I119"/>
    <mergeCell ref="H122:I122"/>
    <mergeCell ref="L125:M125"/>
    <mergeCell ref="J121:K121"/>
    <mergeCell ref="H121:I121"/>
    <mergeCell ref="J126:K126"/>
    <mergeCell ref="L126:M126"/>
    <mergeCell ref="J125:K125"/>
    <mergeCell ref="J122:K122"/>
    <mergeCell ref="H124:I124"/>
    <mergeCell ref="H114:I114"/>
    <mergeCell ref="L122:M122"/>
    <mergeCell ref="D121:G121"/>
    <mergeCell ref="J117:K117"/>
    <mergeCell ref="C28:D28"/>
    <mergeCell ref="J124:K124"/>
    <mergeCell ref="J123:K123"/>
    <mergeCell ref="H118:I118"/>
    <mergeCell ref="H120:I120"/>
    <mergeCell ref="D116:G116"/>
    <mergeCell ref="J120:K120"/>
    <mergeCell ref="C123:G124"/>
    <mergeCell ref="H123:I123"/>
    <mergeCell ref="K50:L50"/>
    <mergeCell ref="K37:L37"/>
    <mergeCell ref="K39:L39"/>
    <mergeCell ref="K47:L47"/>
    <mergeCell ref="K38:L38"/>
    <mergeCell ref="I45:J45"/>
    <mergeCell ref="G44:H44"/>
    <mergeCell ref="H115:I115"/>
    <mergeCell ref="I56:J56"/>
    <mergeCell ref="K61:L61"/>
    <mergeCell ref="K57:L57"/>
    <mergeCell ref="K56:L56"/>
    <mergeCell ref="L123:M123"/>
    <mergeCell ref="L121:M121"/>
    <mergeCell ref="L124:M124"/>
    <mergeCell ref="L129:M129"/>
    <mergeCell ref="L128:M128"/>
    <mergeCell ref="H127:I127"/>
    <mergeCell ref="J127:K127"/>
    <mergeCell ref="L127:M127"/>
    <mergeCell ref="J129:K129"/>
    <mergeCell ref="J128:K128"/>
    <mergeCell ref="H128:I128"/>
    <mergeCell ref="H129:I129"/>
    <mergeCell ref="L80:N80"/>
    <mergeCell ref="B37:D37"/>
    <mergeCell ref="B47:D47"/>
    <mergeCell ref="I61:J61"/>
    <mergeCell ref="B53:D53"/>
    <mergeCell ref="G38:H38"/>
    <mergeCell ref="G42:H42"/>
    <mergeCell ref="C50:D50"/>
    <mergeCell ref="G50:H50"/>
    <mergeCell ref="B55:D55"/>
    <mergeCell ref="B56:D56"/>
    <mergeCell ref="B61:D61"/>
    <mergeCell ref="G55:H55"/>
    <mergeCell ref="I55:J55"/>
    <mergeCell ref="K40:L40"/>
    <mergeCell ref="M40:N40"/>
    <mergeCell ref="M52:N52"/>
    <mergeCell ref="M45:N45"/>
    <mergeCell ref="M63:N63"/>
    <mergeCell ref="M61:N61"/>
    <mergeCell ref="M58:N58"/>
    <mergeCell ref="M55:N55"/>
    <mergeCell ref="M59:N59"/>
    <mergeCell ref="M56:N56"/>
    <mergeCell ref="G5:J5"/>
    <mergeCell ref="N5:P5"/>
    <mergeCell ref="K5:M5"/>
    <mergeCell ref="G60:H60"/>
    <mergeCell ref="G63:H63"/>
    <mergeCell ref="I63:J63"/>
    <mergeCell ref="K63:L63"/>
    <mergeCell ref="G37:H37"/>
    <mergeCell ref="G59:H59"/>
    <mergeCell ref="G62:H62"/>
    <mergeCell ref="K55:L55"/>
    <mergeCell ref="I58:J58"/>
    <mergeCell ref="I59:J59"/>
    <mergeCell ref="G7:H7"/>
    <mergeCell ref="G56:H56"/>
    <mergeCell ref="I37:J37"/>
    <mergeCell ref="K58:L58"/>
    <mergeCell ref="G57:H57"/>
    <mergeCell ref="G61:H61"/>
    <mergeCell ref="G58:H58"/>
    <mergeCell ref="M57:N57"/>
    <mergeCell ref="I62:J62"/>
    <mergeCell ref="K62:L62"/>
    <mergeCell ref="K59:L59"/>
    <mergeCell ref="R6:S6"/>
    <mergeCell ref="L120:M120"/>
    <mergeCell ref="D122:G122"/>
    <mergeCell ref="B59:D59"/>
    <mergeCell ref="B7:D8"/>
    <mergeCell ref="B62:D62"/>
    <mergeCell ref="B58:D58"/>
    <mergeCell ref="B63:D63"/>
    <mergeCell ref="B57:D57"/>
    <mergeCell ref="L116:M116"/>
    <mergeCell ref="L117:M117"/>
    <mergeCell ref="J114:K114"/>
    <mergeCell ref="J115:K115"/>
    <mergeCell ref="J116:K116"/>
    <mergeCell ref="M62:N62"/>
    <mergeCell ref="L115:M115"/>
    <mergeCell ref="H116:I116"/>
    <mergeCell ref="H117:I117"/>
    <mergeCell ref="G43:H43"/>
    <mergeCell ref="G45:H45"/>
    <mergeCell ref="G47:H47"/>
    <mergeCell ref="C26:D26"/>
    <mergeCell ref="B80:D80"/>
    <mergeCell ref="G80:K80"/>
  </mergeCells>
  <printOptions horizontalCentered="1" verticalCentered="1"/>
  <pageMargins left="0.23622047244094491" right="0.23622047244094491" top="0.74803149606299213" bottom="0.74803149606299213" header="0.31496062992125984" footer="0.31496062992125984"/>
  <pageSetup paperSize="9" scale="95" orientation="landscape" verticalDpi="4" r:id="rId1"/>
  <colBreaks count="1" manualBreakCount="1">
    <brk id="16" max="32" man="1"/>
  </colBreaks>
  <ignoredErrors>
    <ignoredError sqref="G3" emptyCellReferenc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tabColor rgb="FF33CC33"/>
  </sheetPr>
  <dimension ref="A2:U106"/>
  <sheetViews>
    <sheetView showGridLines="0" showZeros="0" defaultGridColor="0" topLeftCell="A49" colorId="23" zoomScaleNormal="100" zoomScalePageLayoutView="85" workbookViewId="0">
      <selection activeCell="G60" sqref="G60"/>
    </sheetView>
  </sheetViews>
  <sheetFormatPr defaultRowHeight="12.45"/>
  <cols>
    <col min="1" max="1" width="11.3046875" style="41" customWidth="1"/>
    <col min="2" max="2" width="2.84375" customWidth="1"/>
    <col min="3" max="3" width="18.4609375" customWidth="1"/>
    <col min="4" max="4" width="10.53515625" customWidth="1"/>
    <col min="5" max="5" width="5.07421875" customWidth="1"/>
    <col min="6" max="11" width="11.4609375" customWidth="1"/>
    <col min="12" max="12" width="5" customWidth="1"/>
    <col min="13" max="21" width="11.3046875" customWidth="1"/>
  </cols>
  <sheetData>
    <row r="2" spans="1:21" ht="15.45">
      <c r="B2" s="968" t="s">
        <v>252</v>
      </c>
      <c r="C2" s="969"/>
      <c r="D2" s="969"/>
      <c r="E2" s="140"/>
      <c r="F2" s="140"/>
      <c r="G2" s="648" t="s">
        <v>169</v>
      </c>
      <c r="H2" s="140"/>
      <c r="I2" s="140"/>
      <c r="J2" s="970"/>
      <c r="K2" s="970"/>
      <c r="L2" s="140"/>
      <c r="M2" s="968" t="s">
        <v>252</v>
      </c>
      <c r="N2" s="969"/>
      <c r="O2" s="140"/>
      <c r="P2" s="140"/>
      <c r="Q2" s="140"/>
      <c r="R2" s="140"/>
      <c r="S2" s="140"/>
      <c r="T2" s="140"/>
      <c r="U2" s="140"/>
    </row>
    <row r="3" spans="1:21">
      <c r="B3" s="140"/>
      <c r="C3" s="140"/>
      <c r="D3" s="140"/>
      <c r="E3" s="140"/>
      <c r="F3" s="140"/>
      <c r="G3" s="971">
        <f>'2. &amp; 7. T2  RESULTATB.'!G3</f>
        <v>0</v>
      </c>
      <c r="H3" s="140"/>
      <c r="I3" s="140"/>
      <c r="J3" s="140"/>
      <c r="K3" s="140"/>
      <c r="L3" s="140"/>
      <c r="M3" s="2047"/>
      <c r="N3" s="2047"/>
      <c r="O3" s="140"/>
      <c r="P3" s="140"/>
      <c r="Q3" s="140"/>
      <c r="R3" s="140"/>
      <c r="S3" s="140"/>
      <c r="T3" s="140"/>
      <c r="U3" s="140"/>
    </row>
    <row r="4" spans="1:21">
      <c r="B4" s="958"/>
      <c r="C4" s="140"/>
      <c r="D4" s="140"/>
      <c r="E4" s="140"/>
      <c r="F4" s="140"/>
      <c r="G4" s="140"/>
      <c r="H4" s="972">
        <v>0</v>
      </c>
      <c r="I4" s="140"/>
      <c r="J4" s="140"/>
      <c r="K4" s="140"/>
      <c r="L4" s="140"/>
      <c r="M4" s="140"/>
      <c r="N4" s="140"/>
      <c r="O4" s="996"/>
      <c r="P4" s="140"/>
      <c r="Q4" s="140"/>
      <c r="R4" s="140"/>
      <c r="S4" s="140"/>
      <c r="T4" s="140"/>
      <c r="U4" s="140"/>
    </row>
    <row r="5" spans="1:21">
      <c r="B5" s="973" t="s">
        <v>171</v>
      </c>
      <c r="C5" s="974"/>
      <c r="D5" s="974"/>
      <c r="E5" s="974"/>
      <c r="F5" s="974"/>
      <c r="G5" s="974"/>
      <c r="H5" s="974" t="s">
        <v>172</v>
      </c>
      <c r="I5" s="753"/>
      <c r="J5" s="974"/>
      <c r="K5" s="974"/>
      <c r="L5" s="149"/>
      <c r="M5" s="1506"/>
      <c r="N5" s="1507"/>
      <c r="O5" s="1508"/>
      <c r="P5" s="1507"/>
      <c r="Q5" s="1507"/>
      <c r="R5" s="1507"/>
      <c r="S5" s="1507"/>
      <c r="T5" s="1507"/>
      <c r="U5" s="1509"/>
    </row>
    <row r="6" spans="1:21">
      <c r="B6" s="330" t="str">
        <f>'2. &amp; 7. T2  RESULTATB.'!B5:D5</f>
        <v>Exempel Dagis Ab</v>
      </c>
      <c r="C6" s="975"/>
      <c r="D6" s="975"/>
      <c r="E6" s="976"/>
      <c r="F6" s="977"/>
      <c r="G6" s="753"/>
      <c r="H6" s="2088">
        <f>'2. &amp; 7. T2  RESULTATB.'!G5</f>
        <v>0</v>
      </c>
      <c r="I6" s="2088"/>
      <c r="J6" s="2088"/>
      <c r="K6" s="2088"/>
      <c r="L6" s="140"/>
      <c r="M6" s="1510" t="s">
        <v>215</v>
      </c>
      <c r="N6" s="1511"/>
      <c r="O6" s="996"/>
      <c r="P6" s="996"/>
      <c r="Q6" s="996"/>
      <c r="R6" s="996"/>
      <c r="S6" s="996"/>
      <c r="T6" s="996"/>
      <c r="U6" s="1512"/>
    </row>
    <row r="7" spans="1:21">
      <c r="B7" s="973" t="s">
        <v>173</v>
      </c>
      <c r="C7" s="974"/>
      <c r="D7" s="974"/>
      <c r="E7" s="974"/>
      <c r="F7" s="974"/>
      <c r="G7" s="974"/>
      <c r="H7" s="974" t="s">
        <v>175</v>
      </c>
      <c r="I7" s="753"/>
      <c r="J7" s="974"/>
      <c r="K7" s="974"/>
      <c r="L7" s="149"/>
      <c r="M7" s="1513"/>
      <c r="N7" s="1511"/>
      <c r="O7" s="996"/>
      <c r="P7" s="996"/>
      <c r="Q7" s="996"/>
      <c r="R7" s="996"/>
      <c r="S7" s="996"/>
      <c r="T7" s="996"/>
      <c r="U7" s="1512"/>
    </row>
    <row r="8" spans="1:21">
      <c r="B8" s="2098">
        <f>'2. &amp; 7. T2  RESULTATB.'!K5</f>
        <v>0</v>
      </c>
      <c r="C8" s="2088"/>
      <c r="D8" s="2088"/>
      <c r="E8" s="2088"/>
      <c r="F8" s="979"/>
      <c r="G8" s="980"/>
      <c r="H8" s="981">
        <f>'2. &amp; 7. T2  RESULTATB.'!N5</f>
        <v>0</v>
      </c>
      <c r="I8" s="982"/>
      <c r="J8" s="982"/>
      <c r="K8" s="753"/>
      <c r="L8" s="140"/>
      <c r="M8" s="1513"/>
      <c r="N8" s="1511"/>
      <c r="O8" s="1514"/>
      <c r="P8" s="1511"/>
      <c r="Q8" s="1511"/>
      <c r="R8" s="1511"/>
      <c r="S8" s="1511"/>
      <c r="T8" s="1511"/>
      <c r="U8" s="1512"/>
    </row>
    <row r="9" spans="1:21" ht="12.9" thickBot="1">
      <c r="B9" s="41"/>
      <c r="M9" s="1513"/>
      <c r="N9" s="1511"/>
      <c r="O9" s="1511"/>
      <c r="P9" s="1511"/>
      <c r="Q9" s="1511"/>
      <c r="R9" s="1511"/>
      <c r="S9" s="1511"/>
      <c r="T9" s="1511"/>
      <c r="U9" s="1512"/>
    </row>
    <row r="10" spans="1:21" ht="12.75" customHeight="1">
      <c r="B10" s="2093" t="s">
        <v>253</v>
      </c>
      <c r="C10" s="2094"/>
      <c r="D10" s="1719"/>
      <c r="E10" s="1720"/>
      <c r="F10" s="1721" t="str">
        <f>'3. &amp; 8. T3 BALANS'!G10</f>
        <v>Realiserad</v>
      </c>
      <c r="G10" s="1721" t="s">
        <v>241</v>
      </c>
      <c r="H10" s="1721" t="s">
        <v>179</v>
      </c>
      <c r="I10" s="1721" t="s">
        <v>180</v>
      </c>
      <c r="J10" s="1722" t="s">
        <v>181</v>
      </c>
      <c r="K10" s="1723" t="s">
        <v>182</v>
      </c>
      <c r="M10" s="2059" t="s">
        <v>253</v>
      </c>
      <c r="N10" s="2060"/>
      <c r="O10" s="2060"/>
      <c r="P10" s="2060"/>
      <c r="Q10" s="2060"/>
      <c r="R10" s="2060"/>
      <c r="S10" s="2060"/>
      <c r="T10" s="2060"/>
      <c r="U10" s="2061"/>
    </row>
    <row r="11" spans="1:21" ht="12.75" customHeight="1">
      <c r="B11" s="2095"/>
      <c r="C11" s="2086"/>
      <c r="D11" s="1724"/>
      <c r="E11" s="1724"/>
      <c r="F11" s="1725">
        <f>'2. &amp; 7. T2  RESULTATB.'!E8</f>
        <v>2021</v>
      </c>
      <c r="G11" s="1725">
        <f>'2. &amp; 7. T2  RESULTATB.'!G8:H8</f>
        <v>2022</v>
      </c>
      <c r="H11" s="1725">
        <f>'2. &amp; 7. T2  RESULTATB.'!I8</f>
        <v>2023</v>
      </c>
      <c r="I11" s="1725">
        <f>'2. &amp; 7. T2  RESULTATB.'!K8</f>
        <v>2024</v>
      </c>
      <c r="J11" s="1725">
        <f>'2. &amp; 7. T2  RESULTATB.'!M8</f>
        <v>2025</v>
      </c>
      <c r="K11" s="1726">
        <f>'2. &amp; 7. T2  RESULTATB.'!O8</f>
        <v>2026</v>
      </c>
      <c r="M11" s="474"/>
      <c r="N11" s="953"/>
      <c r="O11" s="953"/>
      <c r="P11" s="953"/>
      <c r="Q11" s="953"/>
      <c r="R11" s="953"/>
      <c r="S11" s="953"/>
      <c r="T11" s="953"/>
      <c r="U11" s="578"/>
    </row>
    <row r="12" spans="1:21" ht="12.75" customHeight="1" thickBot="1">
      <c r="A12" s="286"/>
      <c r="B12" s="2096"/>
      <c r="C12" s="2097"/>
      <c r="D12" s="2089"/>
      <c r="E12" s="2089"/>
      <c r="F12" s="1727" t="s">
        <v>242</v>
      </c>
      <c r="G12" s="1727" t="s">
        <v>242</v>
      </c>
      <c r="H12" s="1727" t="s">
        <v>242</v>
      </c>
      <c r="I12" s="1727" t="s">
        <v>242</v>
      </c>
      <c r="J12" s="1728" t="s">
        <v>242</v>
      </c>
      <c r="K12" s="1729" t="s">
        <v>242</v>
      </c>
      <c r="M12" s="474"/>
      <c r="N12" s="953"/>
      <c r="O12" s="953"/>
      <c r="P12" s="953"/>
      <c r="Q12" s="953"/>
      <c r="R12" s="953"/>
      <c r="S12" s="953"/>
      <c r="T12" s="953"/>
      <c r="U12" s="578"/>
    </row>
    <row r="13" spans="1:21">
      <c r="A13" s="286"/>
      <c r="B13" s="1386" t="s">
        <v>67</v>
      </c>
      <c r="C13" s="120" t="s">
        <v>254</v>
      </c>
      <c r="D13" s="120"/>
      <c r="E13" s="171"/>
      <c r="F13" s="1164">
        <f t="shared" ref="F13:K13" si="0">F14+F18+F34</f>
        <v>0</v>
      </c>
      <c r="G13" s="1164">
        <f t="shared" si="0"/>
        <v>12086</v>
      </c>
      <c r="H13" s="1164">
        <f t="shared" si="0"/>
        <v>220410.8</v>
      </c>
      <c r="I13" s="1164">
        <f t="shared" si="0"/>
        <v>201347.09999999998</v>
      </c>
      <c r="J13" s="1095">
        <f t="shared" si="0"/>
        <v>184493.24780000001</v>
      </c>
      <c r="K13" s="1098">
        <f t="shared" si="0"/>
        <v>169519.47629399999</v>
      </c>
      <c r="M13" s="474"/>
      <c r="N13" s="953"/>
      <c r="O13" s="953"/>
      <c r="P13" s="953"/>
      <c r="Q13" s="953"/>
      <c r="R13" s="953"/>
      <c r="S13" s="953"/>
      <c r="T13" s="953"/>
      <c r="U13" s="578"/>
    </row>
    <row r="14" spans="1:21">
      <c r="A14"/>
      <c r="B14" s="220" t="s">
        <v>161</v>
      </c>
      <c r="C14" s="221" t="s">
        <v>194</v>
      </c>
      <c r="D14" s="221"/>
      <c r="E14" s="222"/>
      <c r="F14" s="1165">
        <v>0</v>
      </c>
      <c r="G14" s="1165">
        <v>4916</v>
      </c>
      <c r="H14" s="1154">
        <f>G14+H15-H16-H17</f>
        <v>3932.8</v>
      </c>
      <c r="I14" s="1154">
        <f>H14+I15-I16-I17</f>
        <v>3146.2400000000002</v>
      </c>
      <c r="J14" s="1166">
        <f>I14+J15-J16-J17</f>
        <v>2516.9920000000002</v>
      </c>
      <c r="K14" s="387">
        <f>J14+K15-K16-K17</f>
        <v>2013.5936000000002</v>
      </c>
      <c r="M14" s="474"/>
      <c r="N14" s="953"/>
      <c r="O14" s="953"/>
      <c r="P14" s="953"/>
      <c r="Q14" s="953"/>
      <c r="R14" s="953"/>
      <c r="S14" s="953"/>
      <c r="T14" s="953"/>
      <c r="U14" s="578"/>
    </row>
    <row r="15" spans="1:21">
      <c r="A15" s="52"/>
      <c r="B15" s="223" t="s">
        <v>0</v>
      </c>
      <c r="C15" s="256" t="s">
        <v>256</v>
      </c>
      <c r="D15" s="256"/>
      <c r="E15" s="257" t="s">
        <v>15</v>
      </c>
      <c r="F15" s="1167"/>
      <c r="G15" s="1167"/>
      <c r="H15" s="1090">
        <f>'AT1 Avustus, alv-laskenta'!C47</f>
        <v>0</v>
      </c>
      <c r="I15" s="1090">
        <f>'AT1 Avustus, alv-laskenta'!D47</f>
        <v>0</v>
      </c>
      <c r="J15" s="1099">
        <f>'AT1 Avustus, alv-laskenta'!E47</f>
        <v>0</v>
      </c>
      <c r="K15" s="900">
        <f>'AT1 Avustus, alv-laskenta'!F47</f>
        <v>0</v>
      </c>
      <c r="M15" s="2077" t="s">
        <v>255</v>
      </c>
      <c r="N15" s="2078"/>
      <c r="O15" s="2078"/>
      <c r="P15" s="2078"/>
      <c r="Q15" s="953"/>
      <c r="R15" s="953"/>
      <c r="S15" s="953"/>
      <c r="T15" s="953"/>
      <c r="U15" s="578"/>
    </row>
    <row r="16" spans="1:21" ht="22.85" customHeight="1">
      <c r="A16"/>
      <c r="B16" s="223" t="s">
        <v>0</v>
      </c>
      <c r="C16" s="2083" t="s">
        <v>746</v>
      </c>
      <c r="D16" s="2083"/>
      <c r="E16" s="258" t="s">
        <v>16</v>
      </c>
      <c r="F16" s="1167"/>
      <c r="G16" s="1167"/>
      <c r="H16" s="774">
        <v>0</v>
      </c>
      <c r="I16" s="774">
        <v>0</v>
      </c>
      <c r="J16" s="1168"/>
      <c r="K16" s="1169"/>
      <c r="M16" s="518">
        <f>H$11</f>
        <v>2023</v>
      </c>
      <c r="N16" s="518">
        <f>I$11</f>
        <v>2024</v>
      </c>
      <c r="O16" s="518">
        <f>J$11</f>
        <v>2025</v>
      </c>
      <c r="P16" s="518">
        <f>K$11</f>
        <v>2026</v>
      </c>
      <c r="Q16" s="953"/>
      <c r="R16" s="953"/>
      <c r="S16" s="953"/>
      <c r="T16" s="953"/>
      <c r="U16" s="578"/>
    </row>
    <row r="17" spans="1:21">
      <c r="A17" s="52"/>
      <c r="B17" s="204"/>
      <c r="C17" s="205" t="s">
        <v>258</v>
      </c>
      <c r="D17" s="224" t="s">
        <v>259</v>
      </c>
      <c r="E17" s="255">
        <v>0.2</v>
      </c>
      <c r="F17" s="1167"/>
      <c r="G17" s="1167"/>
      <c r="H17" s="1090">
        <f>(G14+H15*M17/12-H16)*$E$17</f>
        <v>983.2</v>
      </c>
      <c r="I17" s="1090">
        <f>(H14+I15*N17/12-I16)*$E$17</f>
        <v>786.56000000000006</v>
      </c>
      <c r="J17" s="1090">
        <f>(I14+J15*O17/12-J16)*$E$17</f>
        <v>629.24800000000005</v>
      </c>
      <c r="K17" s="900">
        <f>(J14+K15*P17/12-K16)*$E$17</f>
        <v>503.39840000000004</v>
      </c>
      <c r="M17" s="519">
        <v>12</v>
      </c>
      <c r="N17" s="519">
        <v>12</v>
      </c>
      <c r="O17" s="519">
        <v>12</v>
      </c>
      <c r="P17" s="519">
        <v>12</v>
      </c>
      <c r="Q17" s="953"/>
      <c r="R17" s="953"/>
      <c r="S17" s="953"/>
      <c r="T17" s="953"/>
      <c r="U17" s="578"/>
    </row>
    <row r="18" spans="1:21">
      <c r="A18" s="2"/>
      <c r="B18" s="220" t="s">
        <v>162</v>
      </c>
      <c r="C18" s="563" t="s">
        <v>260</v>
      </c>
      <c r="D18" s="563"/>
      <c r="E18" s="564"/>
      <c r="F18" s="1170">
        <f t="shared" ref="F18:K18" si="1">F19+F22+F26+F30</f>
        <v>0</v>
      </c>
      <c r="G18" s="1170">
        <f t="shared" si="1"/>
        <v>7170</v>
      </c>
      <c r="H18" s="1170">
        <f t="shared" si="1"/>
        <v>216478</v>
      </c>
      <c r="I18" s="1170">
        <f t="shared" si="1"/>
        <v>198200.86</v>
      </c>
      <c r="J18" s="1171">
        <f t="shared" si="1"/>
        <v>181976.25580000001</v>
      </c>
      <c r="K18" s="1172">
        <f t="shared" si="1"/>
        <v>167505.882694</v>
      </c>
      <c r="M18" s="474"/>
      <c r="N18" s="953"/>
      <c r="O18" s="953"/>
      <c r="P18" s="953"/>
      <c r="Q18" s="953"/>
      <c r="R18" s="953"/>
      <c r="S18" s="953"/>
      <c r="T18" s="953"/>
      <c r="U18" s="578"/>
    </row>
    <row r="19" spans="1:21">
      <c r="A19" s="52"/>
      <c r="B19" s="223" t="s">
        <v>0</v>
      </c>
      <c r="C19" s="561" t="s">
        <v>261</v>
      </c>
      <c r="D19" s="561"/>
      <c r="E19" s="562"/>
      <c r="F19" s="1165">
        <v>0</v>
      </c>
      <c r="G19" s="1165">
        <v>0</v>
      </c>
      <c r="H19" s="1154">
        <f>G19+H20-H21</f>
        <v>10600</v>
      </c>
      <c r="I19" s="1154">
        <f>H19+I20-I21</f>
        <v>10600</v>
      </c>
      <c r="J19" s="1166">
        <f>I19+J20-J21</f>
        <v>10600</v>
      </c>
      <c r="K19" s="387">
        <f>J19+K20-K21</f>
        <v>10600</v>
      </c>
      <c r="M19" s="474"/>
      <c r="N19" s="953"/>
      <c r="O19" s="953"/>
      <c r="P19" s="953"/>
      <c r="Q19" s="953"/>
      <c r="R19" s="953"/>
      <c r="S19" s="953"/>
      <c r="T19" s="953"/>
      <c r="U19" s="578"/>
    </row>
    <row r="20" spans="1:21">
      <c r="A20"/>
      <c r="B20" s="223" t="s">
        <v>0</v>
      </c>
      <c r="C20" s="256" t="s">
        <v>256</v>
      </c>
      <c r="D20" s="256"/>
      <c r="E20" s="259" t="s">
        <v>15</v>
      </c>
      <c r="F20" s="1167"/>
      <c r="G20" s="1167"/>
      <c r="H20" s="1090">
        <f>'AT1 Avustus, alv-laskenta'!C7</f>
        <v>10600</v>
      </c>
      <c r="I20" s="1090">
        <f>'AT1 Avustus, alv-laskenta'!D7</f>
        <v>0</v>
      </c>
      <c r="J20" s="1099">
        <f>'AT1 Avustus, alv-laskenta'!E7</f>
        <v>0</v>
      </c>
      <c r="K20" s="900">
        <f>'AT1 Avustus, alv-laskenta'!F7</f>
        <v>0</v>
      </c>
      <c r="M20" s="1515"/>
      <c r="N20" s="953"/>
      <c r="O20" s="953"/>
      <c r="P20" s="953"/>
      <c r="Q20" s="953"/>
      <c r="R20" s="953"/>
      <c r="S20" s="953"/>
      <c r="T20" s="953"/>
      <c r="U20" s="578"/>
    </row>
    <row r="21" spans="1:21" ht="22.85" customHeight="1">
      <c r="A21" s="52"/>
      <c r="B21" s="223" t="s">
        <v>0</v>
      </c>
      <c r="C21" s="2083" t="s">
        <v>746</v>
      </c>
      <c r="D21" s="2083"/>
      <c r="E21" s="258" t="s">
        <v>16</v>
      </c>
      <c r="F21" s="1167"/>
      <c r="G21" s="1167"/>
      <c r="H21" s="774"/>
      <c r="I21" s="774">
        <v>0</v>
      </c>
      <c r="J21" s="1168"/>
      <c r="K21" s="1169"/>
      <c r="M21" s="474"/>
      <c r="N21" s="953"/>
      <c r="O21" s="953"/>
      <c r="P21" s="953"/>
      <c r="Q21" s="953"/>
      <c r="R21" s="953"/>
      <c r="S21" s="953"/>
      <c r="T21" s="953"/>
      <c r="U21" s="578"/>
    </row>
    <row r="22" spans="1:21">
      <c r="A22"/>
      <c r="B22" s="223"/>
      <c r="C22" s="260" t="s">
        <v>262</v>
      </c>
      <c r="D22" s="260"/>
      <c r="E22" s="261"/>
      <c r="F22" s="1165">
        <v>0</v>
      </c>
      <c r="G22" s="1165">
        <v>0</v>
      </c>
      <c r="H22" s="1154">
        <f>G22+H23-H24-H25</f>
        <v>176142</v>
      </c>
      <c r="I22" s="1154">
        <f>H22+I23-I24-I25</f>
        <v>163812.06</v>
      </c>
      <c r="J22" s="1166">
        <f>I22+J23-J24-J25</f>
        <v>152345.21580000001</v>
      </c>
      <c r="K22" s="387">
        <f>J22+K23-K24-K25</f>
        <v>141681.05069400001</v>
      </c>
      <c r="M22" s="474"/>
      <c r="N22" s="953"/>
      <c r="O22" s="953"/>
      <c r="P22" s="953"/>
      <c r="Q22" s="953"/>
      <c r="R22" s="953"/>
      <c r="S22" s="953"/>
      <c r="T22" s="953"/>
      <c r="U22" s="578"/>
    </row>
    <row r="23" spans="1:21">
      <c r="A23" s="52"/>
      <c r="B23" s="223" t="s">
        <v>0</v>
      </c>
      <c r="C23" s="256" t="s">
        <v>256</v>
      </c>
      <c r="D23" s="256"/>
      <c r="E23" s="259" t="s">
        <v>15</v>
      </c>
      <c r="F23" s="1167"/>
      <c r="G23" s="1167"/>
      <c r="H23" s="1090">
        <f>'AT1 Avustus, alv-laskenta'!C14+'AT1 Avustus, alv-laskenta'!C18</f>
        <v>189400</v>
      </c>
      <c r="I23" s="1090">
        <f>'AT1 Avustus, alv-laskenta'!D14+'AT1 Avustus, alv-laskenta'!D18</f>
        <v>0</v>
      </c>
      <c r="J23" s="1099">
        <f>'AT1 Avustus, alv-laskenta'!E14+'AT1 Avustus, alv-laskenta'!E18</f>
        <v>0</v>
      </c>
      <c r="K23" s="900">
        <f>'AT1 Avustus, alv-laskenta'!F14+'AT1 Avustus, alv-laskenta'!F18</f>
        <v>0</v>
      </c>
      <c r="M23" s="2077" t="s">
        <v>255</v>
      </c>
      <c r="N23" s="2078"/>
      <c r="O23" s="2078"/>
      <c r="P23" s="2078"/>
      <c r="Q23" s="953"/>
      <c r="R23" s="953"/>
      <c r="S23" s="953"/>
      <c r="T23" s="953"/>
      <c r="U23" s="578"/>
    </row>
    <row r="24" spans="1:21" ht="22.85" customHeight="1">
      <c r="A24" s="2"/>
      <c r="B24" s="223" t="s">
        <v>0</v>
      </c>
      <c r="C24" s="2083" t="s">
        <v>746</v>
      </c>
      <c r="D24" s="2083"/>
      <c r="E24" s="258" t="s">
        <v>16</v>
      </c>
      <c r="F24" s="1167"/>
      <c r="G24" s="1167"/>
      <c r="H24" s="774"/>
      <c r="I24" s="774"/>
      <c r="J24" s="1168"/>
      <c r="K24" s="1169"/>
      <c r="M24" s="518">
        <f>H$11</f>
        <v>2023</v>
      </c>
      <c r="N24" s="518">
        <f>I$11</f>
        <v>2024</v>
      </c>
      <c r="O24" s="518">
        <f>J$11</f>
        <v>2025</v>
      </c>
      <c r="P24" s="518">
        <f>K$11</f>
        <v>2026</v>
      </c>
      <c r="Q24" s="953"/>
      <c r="R24" s="953"/>
      <c r="S24" s="953"/>
      <c r="T24" s="953"/>
      <c r="U24" s="578"/>
    </row>
    <row r="25" spans="1:21">
      <c r="A25" s="52"/>
      <c r="B25" s="223"/>
      <c r="C25" s="256" t="s">
        <v>258</v>
      </c>
      <c r="D25" s="262" t="s">
        <v>259</v>
      </c>
      <c r="E25" s="263">
        <v>7.0000000000000007E-2</v>
      </c>
      <c r="F25" s="1167"/>
      <c r="G25" s="1167"/>
      <c r="H25" s="1090">
        <f>(G22+H23*M25/12-H24)*$E$25</f>
        <v>13258.000000000002</v>
      </c>
      <c r="I25" s="1090">
        <f>(H22+I23*N25/12-I24)*$E$25</f>
        <v>12329.94</v>
      </c>
      <c r="J25" s="1090">
        <f>(I22+J23*O25/12-J24)*$E$25</f>
        <v>11466.844200000001</v>
      </c>
      <c r="K25" s="900">
        <f>(J22+K23*P25/12-K24)*$E$25</f>
        <v>10664.165106000002</v>
      </c>
      <c r="M25" s="519">
        <v>12</v>
      </c>
      <c r="N25" s="519">
        <v>12</v>
      </c>
      <c r="O25" s="519">
        <v>12</v>
      </c>
      <c r="P25" s="519">
        <v>12</v>
      </c>
      <c r="Q25" s="953"/>
      <c r="R25" s="953"/>
      <c r="S25" s="953"/>
      <c r="T25" s="953"/>
      <c r="U25" s="578"/>
    </row>
    <row r="26" spans="1:21">
      <c r="A26"/>
      <c r="B26" s="223"/>
      <c r="C26" s="260" t="s">
        <v>263</v>
      </c>
      <c r="D26" s="260"/>
      <c r="E26" s="261"/>
      <c r="F26" s="1173">
        <v>0</v>
      </c>
      <c r="G26" s="1173">
        <v>7170</v>
      </c>
      <c r="H26" s="1154">
        <f>G26+H27-H28-H29</f>
        <v>29736</v>
      </c>
      <c r="I26" s="1154">
        <f>H26+I27-I28-I29</f>
        <v>23788.799999999999</v>
      </c>
      <c r="J26" s="1166">
        <f>I26+J27-J28-J29</f>
        <v>19031.04</v>
      </c>
      <c r="K26" s="387">
        <f>J26+K27-K28-K29</f>
        <v>15224.832</v>
      </c>
      <c r="M26" s="474"/>
      <c r="N26" s="953"/>
      <c r="O26" s="953"/>
      <c r="P26" s="953"/>
      <c r="Q26" s="953"/>
      <c r="R26" s="953"/>
      <c r="S26" s="953"/>
      <c r="T26" s="953"/>
      <c r="U26" s="578"/>
    </row>
    <row r="27" spans="1:21">
      <c r="A27" s="52"/>
      <c r="B27" s="223" t="s">
        <v>0</v>
      </c>
      <c r="C27" s="256" t="s">
        <v>256</v>
      </c>
      <c r="D27" s="256"/>
      <c r="E27" s="259" t="s">
        <v>15</v>
      </c>
      <c r="F27" s="1167"/>
      <c r="G27" s="1167"/>
      <c r="H27" s="1090">
        <f>'AT1 Avustus, alv-laskenta'!C27+'AT1 Avustus, alv-laskenta'!C33</f>
        <v>30000</v>
      </c>
      <c r="I27" s="1090">
        <f>'AT1 Avustus, alv-laskenta'!D27+'AT1 Avustus, alv-laskenta'!D33</f>
        <v>0</v>
      </c>
      <c r="J27" s="1099">
        <f>'AT1 Avustus, alv-laskenta'!E27+'AT1 Avustus, alv-laskenta'!E33</f>
        <v>0</v>
      </c>
      <c r="K27" s="900">
        <f>'AT1 Avustus, alv-laskenta'!F27+'AT1 Avustus, alv-laskenta'!F33</f>
        <v>0</v>
      </c>
      <c r="M27" s="2077" t="s">
        <v>255</v>
      </c>
      <c r="N27" s="2078"/>
      <c r="O27" s="2078"/>
      <c r="P27" s="2078"/>
      <c r="Q27" s="953"/>
      <c r="R27" s="953"/>
      <c r="S27" s="953"/>
      <c r="T27" s="953"/>
      <c r="U27" s="578"/>
    </row>
    <row r="28" spans="1:21" ht="22.85" customHeight="1">
      <c r="A28"/>
      <c r="B28" s="223" t="s">
        <v>0</v>
      </c>
      <c r="C28" s="2083" t="s">
        <v>746</v>
      </c>
      <c r="D28" s="2083"/>
      <c r="E28" s="258" t="s">
        <v>16</v>
      </c>
      <c r="F28" s="1167"/>
      <c r="G28" s="1167"/>
      <c r="H28" s="774"/>
      <c r="I28" s="774"/>
      <c r="J28" s="1168">
        <v>0</v>
      </c>
      <c r="K28" s="1169"/>
      <c r="M28" s="518">
        <f>H$11</f>
        <v>2023</v>
      </c>
      <c r="N28" s="518">
        <f>I$11</f>
        <v>2024</v>
      </c>
      <c r="O28" s="518">
        <f>J$11</f>
        <v>2025</v>
      </c>
      <c r="P28" s="518">
        <f>K$11</f>
        <v>2026</v>
      </c>
      <c r="Q28" s="953"/>
      <c r="R28" s="953"/>
      <c r="S28" s="953"/>
      <c r="T28" s="953"/>
      <c r="U28" s="578"/>
    </row>
    <row r="29" spans="1:21">
      <c r="A29" s="52"/>
      <c r="B29" s="223"/>
      <c r="C29" s="256" t="s">
        <v>258</v>
      </c>
      <c r="D29" s="262" t="s">
        <v>259</v>
      </c>
      <c r="E29" s="263">
        <v>0.2</v>
      </c>
      <c r="F29" s="1174"/>
      <c r="G29" s="1174"/>
      <c r="H29" s="1090">
        <f>(G26+H27*M29/12-H28)*$E$29</f>
        <v>7434</v>
      </c>
      <c r="I29" s="1090">
        <f>(H26+I27*N29/12-I28)*$E$29</f>
        <v>5947.2000000000007</v>
      </c>
      <c r="J29" s="1090">
        <f>(I26+J27*O29/12-J28)*$E$29</f>
        <v>4757.76</v>
      </c>
      <c r="K29" s="900">
        <f>(J26+K27*P29/12-K28)*$E$29</f>
        <v>3806.2080000000005</v>
      </c>
      <c r="M29" s="519">
        <v>12</v>
      </c>
      <c r="N29" s="519">
        <v>12</v>
      </c>
      <c r="O29" s="519">
        <v>12</v>
      </c>
      <c r="P29" s="519">
        <v>12</v>
      </c>
      <c r="Q29" s="953"/>
      <c r="R29" s="953"/>
      <c r="S29" s="953"/>
      <c r="T29" s="953"/>
      <c r="U29" s="578"/>
    </row>
    <row r="30" spans="1:21">
      <c r="A30" s="2"/>
      <c r="B30" s="223"/>
      <c r="C30" s="2079" t="s">
        <v>516</v>
      </c>
      <c r="D30" s="2079"/>
      <c r="E30" s="2082"/>
      <c r="F30" s="1165">
        <v>0</v>
      </c>
      <c r="G30" s="1165">
        <v>0</v>
      </c>
      <c r="H30" s="1154">
        <f>G30+H31-H32-H33</f>
        <v>0</v>
      </c>
      <c r="I30" s="1154">
        <f>H30+I31-I32-I33</f>
        <v>0</v>
      </c>
      <c r="J30" s="1166">
        <f>I30+J31-J32-J33</f>
        <v>0</v>
      </c>
      <c r="K30" s="387">
        <f>J30+K31-K32-K33</f>
        <v>0</v>
      </c>
      <c r="M30" s="474"/>
      <c r="N30" s="953"/>
      <c r="O30" s="953"/>
      <c r="P30" s="953"/>
      <c r="Q30" s="953"/>
      <c r="R30" s="953"/>
      <c r="S30" s="953"/>
      <c r="T30" s="953"/>
      <c r="U30" s="578"/>
    </row>
    <row r="31" spans="1:21">
      <c r="A31" s="52"/>
      <c r="B31" s="223" t="s">
        <v>0</v>
      </c>
      <c r="C31" s="256" t="s">
        <v>256</v>
      </c>
      <c r="D31" s="256"/>
      <c r="E31" s="259" t="s">
        <v>15</v>
      </c>
      <c r="F31" s="1167"/>
      <c r="G31" s="1167"/>
      <c r="H31" s="1090">
        <f>'AT1 Avustus, alv-laskenta'!C40</f>
        <v>0</v>
      </c>
      <c r="I31" s="1090">
        <f>'AT1 Avustus, alv-laskenta'!D40</f>
        <v>0</v>
      </c>
      <c r="J31" s="1099">
        <f>'AT1 Avustus, alv-laskenta'!E40</f>
        <v>0</v>
      </c>
      <c r="K31" s="900">
        <f>'AT1 Avustus, alv-laskenta'!F40</f>
        <v>0</v>
      </c>
      <c r="M31" s="2077" t="s">
        <v>255</v>
      </c>
      <c r="N31" s="2078"/>
      <c r="O31" s="2078"/>
      <c r="P31" s="2078"/>
      <c r="Q31" s="953"/>
      <c r="R31" s="953"/>
      <c r="S31" s="953"/>
      <c r="T31" s="953"/>
      <c r="U31" s="578"/>
    </row>
    <row r="32" spans="1:21" ht="22.85" customHeight="1">
      <c r="A32"/>
      <c r="B32" s="223" t="s">
        <v>0</v>
      </c>
      <c r="C32" s="2083" t="s">
        <v>746</v>
      </c>
      <c r="D32" s="2083"/>
      <c r="E32" s="258" t="s">
        <v>16</v>
      </c>
      <c r="F32" s="1167"/>
      <c r="G32" s="1167"/>
      <c r="H32" s="774">
        <v>0</v>
      </c>
      <c r="I32" s="774"/>
      <c r="J32" s="1168"/>
      <c r="K32" s="1169"/>
      <c r="M32" s="518">
        <f>H$11</f>
        <v>2023</v>
      </c>
      <c r="N32" s="518">
        <f>I$11</f>
        <v>2024</v>
      </c>
      <c r="O32" s="518">
        <f>J$11</f>
        <v>2025</v>
      </c>
      <c r="P32" s="518">
        <f>K$11</f>
        <v>2026</v>
      </c>
      <c r="Q32" s="953"/>
      <c r="R32" s="953"/>
      <c r="S32" s="953"/>
      <c r="T32" s="953"/>
      <c r="U32" s="578"/>
    </row>
    <row r="33" spans="1:21">
      <c r="A33" s="52"/>
      <c r="B33" s="204"/>
      <c r="C33" s="205" t="s">
        <v>258</v>
      </c>
      <c r="D33" s="224" t="s">
        <v>259</v>
      </c>
      <c r="E33" s="255">
        <v>0.2</v>
      </c>
      <c r="F33" s="1167"/>
      <c r="G33" s="1167"/>
      <c r="H33" s="1090">
        <f>(G30+H31*M33/12-H32)*$E$33</f>
        <v>0</v>
      </c>
      <c r="I33" s="1090">
        <f>(H30+I31*N33/12-I32)*$E$33</f>
        <v>0</v>
      </c>
      <c r="J33" s="1090">
        <f>(I30+J31*O33/12-J32)*$E$33</f>
        <v>0</v>
      </c>
      <c r="K33" s="900">
        <f>(J30+K31*P33/12-K32)*$E$33</f>
        <v>0</v>
      </c>
      <c r="M33" s="775">
        <v>12</v>
      </c>
      <c r="N33" s="775">
        <v>12</v>
      </c>
      <c r="O33" s="775">
        <v>12</v>
      </c>
      <c r="P33" s="775">
        <v>12</v>
      </c>
      <c r="Q33" s="953"/>
      <c r="R33" s="953"/>
      <c r="S33" s="953"/>
      <c r="T33" s="953"/>
      <c r="U33" s="578"/>
    </row>
    <row r="34" spans="1:21">
      <c r="A34" s="2"/>
      <c r="B34" s="220" t="s">
        <v>163</v>
      </c>
      <c r="C34" s="563" t="s">
        <v>195</v>
      </c>
      <c r="D34" s="565"/>
      <c r="E34" s="566"/>
      <c r="F34" s="1175">
        <v>0</v>
      </c>
      <c r="G34" s="1175">
        <v>0</v>
      </c>
      <c r="H34" s="1176">
        <f>G34+H35-H36</f>
        <v>0</v>
      </c>
      <c r="I34" s="1176">
        <f>H34+I35-I36</f>
        <v>0</v>
      </c>
      <c r="J34" s="1176">
        <f>I34+J35-J36</f>
        <v>0</v>
      </c>
      <c r="K34" s="1177">
        <f>J34+K35-K36</f>
        <v>0</v>
      </c>
      <c r="M34" s="474"/>
      <c r="N34" s="953"/>
      <c r="O34" s="953"/>
      <c r="P34" s="953"/>
      <c r="Q34" s="953"/>
      <c r="R34" s="953"/>
      <c r="S34" s="953"/>
      <c r="T34" s="953"/>
      <c r="U34" s="578"/>
    </row>
    <row r="35" spans="1:21">
      <c r="A35" s="52"/>
      <c r="B35" s="225"/>
      <c r="C35" s="559" t="s">
        <v>256</v>
      </c>
      <c r="D35" s="559"/>
      <c r="E35" s="560" t="s">
        <v>15</v>
      </c>
      <c r="F35" s="1178"/>
      <c r="G35" s="1178"/>
      <c r="H35" s="498">
        <f>'1. T1 INVESTERINGSP. '!D38</f>
        <v>0</v>
      </c>
      <c r="I35" s="498">
        <f>'1. T1 INVESTERINGSP. '!E38</f>
        <v>0</v>
      </c>
      <c r="J35" s="498">
        <f>'1. T1 INVESTERINGSP. '!F38</f>
        <v>0</v>
      </c>
      <c r="K35" s="1100">
        <f>'1. T1 INVESTERINGSP. '!G38</f>
        <v>0</v>
      </c>
      <c r="M35" s="474"/>
      <c r="N35" s="953"/>
      <c r="O35" s="953"/>
      <c r="P35" s="953"/>
      <c r="Q35" s="953"/>
      <c r="R35" s="953"/>
      <c r="S35" s="953"/>
      <c r="T35" s="953"/>
      <c r="U35" s="578"/>
    </row>
    <row r="36" spans="1:21" ht="12.9" thickBot="1">
      <c r="B36" s="252"/>
      <c r="C36" s="650" t="s">
        <v>257</v>
      </c>
      <c r="D36" s="570"/>
      <c r="E36" s="571" t="s">
        <v>16</v>
      </c>
      <c r="F36" s="1179"/>
      <c r="G36" s="1179"/>
      <c r="H36" s="1180">
        <v>0</v>
      </c>
      <c r="I36" s="1180">
        <v>0</v>
      </c>
      <c r="J36" s="1180">
        <v>0</v>
      </c>
      <c r="K36" s="1181">
        <v>0</v>
      </c>
      <c r="M36" s="474"/>
      <c r="N36" s="953"/>
      <c r="O36" s="953"/>
      <c r="P36" s="953"/>
      <c r="Q36" s="953"/>
      <c r="R36" s="953"/>
      <c r="S36" s="953"/>
      <c r="T36" s="953"/>
      <c r="U36" s="578"/>
    </row>
    <row r="37" spans="1:21" ht="6" customHeight="1" thickBot="1">
      <c r="B37" s="241"/>
      <c r="C37" s="242"/>
      <c r="D37" s="243"/>
      <c r="E37" s="244"/>
      <c r="F37" s="244"/>
      <c r="G37" s="245"/>
      <c r="H37" s="245" t="s">
        <v>116</v>
      </c>
      <c r="I37" s="245"/>
      <c r="J37" s="245"/>
      <c r="K37" s="245"/>
      <c r="L37" s="140"/>
      <c r="M37" s="526"/>
      <c r="N37" s="1494"/>
      <c r="O37" s="1494"/>
      <c r="P37" s="1494"/>
      <c r="Q37" s="1494"/>
      <c r="R37" s="1494"/>
      <c r="S37" s="1494"/>
      <c r="T37" s="1494"/>
      <c r="U37" s="407"/>
    </row>
    <row r="38" spans="1:21">
      <c r="B38" s="1386" t="s">
        <v>66</v>
      </c>
      <c r="C38" s="120" t="s">
        <v>266</v>
      </c>
      <c r="D38" s="120"/>
      <c r="E38" s="171"/>
      <c r="F38" s="1164">
        <f t="shared" ref="F38:K38" si="2">F39+F41+F48+F49</f>
        <v>0</v>
      </c>
      <c r="G38" s="1164">
        <f t="shared" si="2"/>
        <v>9841</v>
      </c>
      <c r="H38" s="1164">
        <f>H39+H41+H48+H49</f>
        <v>10121.220332685974</v>
      </c>
      <c r="I38" s="1164">
        <f t="shared" si="2"/>
        <v>26405.54475812646</v>
      </c>
      <c r="J38" s="1182">
        <f t="shared" si="2"/>
        <v>68493.744954092341</v>
      </c>
      <c r="K38" s="1183">
        <f t="shared" si="2"/>
        <v>109126.21722229203</v>
      </c>
      <c r="M38" s="474"/>
      <c r="N38" s="953"/>
      <c r="O38" s="953"/>
      <c r="P38" s="953"/>
      <c r="Q38" s="953"/>
      <c r="R38" s="953"/>
      <c r="S38" s="953"/>
      <c r="T38" s="953"/>
      <c r="U38" s="578"/>
    </row>
    <row r="39" spans="1:21">
      <c r="B39" s="225" t="s">
        <v>164</v>
      </c>
      <c r="C39" s="264" t="s">
        <v>267</v>
      </c>
      <c r="D39" s="264"/>
      <c r="E39" s="257" t="s">
        <v>15</v>
      </c>
      <c r="F39" s="1165">
        <v>0</v>
      </c>
      <c r="G39" s="1165">
        <v>0</v>
      </c>
      <c r="H39" s="1154">
        <f>'9. T4 FINANSIERINGSB. '!H49</f>
        <v>0</v>
      </c>
      <c r="I39" s="1154">
        <f>'9. T4 FINANSIERINGSB. '!I49</f>
        <v>0</v>
      </c>
      <c r="J39" s="1166">
        <f>'9. T4 FINANSIERINGSB. '!J49</f>
        <v>0</v>
      </c>
      <c r="K39" s="387">
        <f>'9. T4 FINANSIERINGSB. '!K49</f>
        <v>0</v>
      </c>
      <c r="M39" s="474"/>
      <c r="N39" s="953">
        <v>0</v>
      </c>
      <c r="O39" s="953"/>
      <c r="P39" s="953"/>
      <c r="Q39" s="953"/>
      <c r="R39" s="953"/>
      <c r="S39" s="953"/>
      <c r="T39" s="953"/>
      <c r="U39" s="578"/>
    </row>
    <row r="40" spans="1:21">
      <c r="B40" s="225"/>
      <c r="C40" s="2090" t="s">
        <v>648</v>
      </c>
      <c r="D40" s="2091"/>
      <c r="E40" s="2091"/>
      <c r="F40" s="1122">
        <f>'9. T4 FINANSIERINGSB. '!F50</f>
        <v>0</v>
      </c>
      <c r="G40" s="1122">
        <f>'9. T4 FINANSIERINGSB. '!G50</f>
        <v>0</v>
      </c>
      <c r="H40" s="1122">
        <f>'9. T4 FINANSIERINGSB. '!G50</f>
        <v>0</v>
      </c>
      <c r="I40" s="1122">
        <f>'9. T4 FINANSIERINGSB. '!H50</f>
        <v>0</v>
      </c>
      <c r="J40" s="1122">
        <f>'9. T4 FINANSIERINGSB. '!I50</f>
        <v>0</v>
      </c>
      <c r="K40" s="1123">
        <f>'9. T4 FINANSIERINGSB. '!J50</f>
        <v>0</v>
      </c>
      <c r="M40" s="474"/>
      <c r="N40" s="953"/>
      <c r="O40" s="953"/>
      <c r="P40" s="953"/>
      <c r="Q40" s="953"/>
      <c r="R40" s="953"/>
      <c r="S40" s="953"/>
      <c r="T40" s="953"/>
      <c r="U40" s="578"/>
    </row>
    <row r="41" spans="1:21">
      <c r="B41" s="225" t="s">
        <v>162</v>
      </c>
      <c r="C41" s="264" t="s">
        <v>268</v>
      </c>
      <c r="D41" s="264"/>
      <c r="E41" s="257" t="s">
        <v>15</v>
      </c>
      <c r="F41" s="1154">
        <f t="shared" ref="F41:K41" si="3">F42+F46+F47+F44</f>
        <v>0</v>
      </c>
      <c r="G41" s="1154">
        <f t="shared" si="3"/>
        <v>7128</v>
      </c>
      <c r="H41" s="1154">
        <f t="shared" si="3"/>
        <v>6373.6948819121471</v>
      </c>
      <c r="I41" s="1154">
        <f t="shared" si="3"/>
        <v>7257.5695709721058</v>
      </c>
      <c r="J41" s="1154">
        <f t="shared" si="3"/>
        <v>8548.4140949222783</v>
      </c>
      <c r="K41" s="387">
        <f t="shared" si="3"/>
        <v>8791.5565177699464</v>
      </c>
      <c r="M41" s="474"/>
      <c r="N41" s="953"/>
      <c r="O41" s="953">
        <v>0</v>
      </c>
      <c r="P41" s="953"/>
      <c r="Q41" s="953"/>
      <c r="R41" s="953"/>
      <c r="S41" s="953"/>
      <c r="T41" s="953"/>
      <c r="U41" s="578"/>
    </row>
    <row r="42" spans="1:21">
      <c r="A42"/>
      <c r="B42" s="223" t="s">
        <v>0</v>
      </c>
      <c r="C42" s="256" t="s">
        <v>269</v>
      </c>
      <c r="D42" s="256"/>
      <c r="E42" s="259" t="s">
        <v>15</v>
      </c>
      <c r="F42" s="774">
        <v>0</v>
      </c>
      <c r="G42" s="774">
        <v>4943</v>
      </c>
      <c r="H42" s="1090">
        <f>'9. T4 FINANSIERINGSB. '!H51</f>
        <v>5405.6948819121471</v>
      </c>
      <c r="I42" s="1090">
        <f>'9. T4 FINANSIERINGSB. '!I51</f>
        <v>6164.5695709721058</v>
      </c>
      <c r="J42" s="1099">
        <f>'9. T4 FINANSIERINGSB. '!J51</f>
        <v>7271.4140949222774</v>
      </c>
      <c r="K42" s="900">
        <f>'9. T4 FINANSIERINGSB. '!K51</f>
        <v>7489.5565177699473</v>
      </c>
      <c r="M42" s="474"/>
      <c r="N42" s="953"/>
      <c r="O42" s="953"/>
      <c r="P42" s="953"/>
      <c r="Q42" s="953"/>
      <c r="R42" s="953"/>
      <c r="S42" s="953"/>
      <c r="T42" s="953"/>
      <c r="U42" s="578"/>
    </row>
    <row r="43" spans="1:21">
      <c r="A43" s="6"/>
      <c r="B43" s="223"/>
      <c r="C43" s="2090" t="s">
        <v>270</v>
      </c>
      <c r="D43" s="2091"/>
      <c r="E43" s="2092"/>
      <c r="F43" s="1120">
        <f>'9. T4 FINANSIERINGSB. '!F52</f>
        <v>0</v>
      </c>
      <c r="G43" s="1120">
        <f>'9. T4 FINANSIERINGSB. '!G52</f>
        <v>10.25775218038957</v>
      </c>
      <c r="H43" s="1120">
        <f>'9. T4 FINANSIERINGSB. '!H52</f>
        <v>10.25775218038957</v>
      </c>
      <c r="I43" s="1120">
        <f>'9. T4 FINANSIERINGSB. '!I52</f>
        <v>10.25775218038957</v>
      </c>
      <c r="J43" s="1120">
        <f>'9. T4 FINANSIERINGSB. '!J52</f>
        <v>10.25775218038957</v>
      </c>
      <c r="K43" s="1121">
        <f>'9. T4 FINANSIERINGSB. '!K52</f>
        <v>10.25775218038957</v>
      </c>
      <c r="M43" s="474"/>
      <c r="N43" s="953"/>
      <c r="O43" s="953"/>
      <c r="P43" s="953"/>
      <c r="Q43" s="953"/>
      <c r="R43" s="953"/>
      <c r="S43" s="953"/>
      <c r="T43" s="953"/>
      <c r="U43" s="578"/>
    </row>
    <row r="44" spans="1:21">
      <c r="A44" s="286"/>
      <c r="B44" s="223"/>
      <c r="C44" s="256" t="s">
        <v>271</v>
      </c>
      <c r="D44" s="256"/>
      <c r="E44" s="259" t="s">
        <v>15</v>
      </c>
      <c r="F44" s="774">
        <v>0</v>
      </c>
      <c r="G44" s="774">
        <v>0</v>
      </c>
      <c r="H44" s="1090">
        <f>'9. T4 FINANSIERINGSB. '!H54</f>
        <v>0</v>
      </c>
      <c r="I44" s="1090">
        <f>'9. T4 FINANSIERINGSB. '!I54</f>
        <v>0</v>
      </c>
      <c r="J44" s="1090">
        <f>'9. T4 FINANSIERINGSB. '!J54</f>
        <v>0</v>
      </c>
      <c r="K44" s="900">
        <f>'9. T4 FINANSIERINGSB. '!K54</f>
        <v>0</v>
      </c>
      <c r="M44" s="474"/>
      <c r="N44" s="953"/>
      <c r="O44" s="953"/>
      <c r="P44" s="953"/>
      <c r="Q44" s="953"/>
      <c r="R44" s="953"/>
      <c r="S44" s="953"/>
      <c r="T44" s="953"/>
      <c r="U44" s="578"/>
    </row>
    <row r="45" spans="1:21">
      <c r="A45" s="286"/>
      <c r="B45" s="223"/>
      <c r="C45" s="2074" t="s">
        <v>649</v>
      </c>
      <c r="D45" s="2075"/>
      <c r="E45" s="2076"/>
      <c r="F45" s="1122">
        <f>'9. T4 FINANSIERINGSB. '!F55</f>
        <v>0</v>
      </c>
      <c r="G45" s="1122">
        <f>'9. T4 FINANSIERINGSB. '!G55</f>
        <v>0</v>
      </c>
      <c r="H45" s="1122">
        <f>'9. T4 FINANSIERINGSB. '!H55</f>
        <v>0</v>
      </c>
      <c r="I45" s="1122">
        <f>'9. T4 FINANSIERINGSB. '!I55</f>
        <v>0</v>
      </c>
      <c r="J45" s="1122">
        <f>'9. T4 FINANSIERINGSB. '!J55</f>
        <v>0</v>
      </c>
      <c r="K45" s="1123">
        <f>'9. T4 FINANSIERINGSB. '!K55</f>
        <v>0</v>
      </c>
      <c r="M45" s="474"/>
      <c r="N45" s="953"/>
      <c r="O45" s="953"/>
      <c r="P45" s="953"/>
      <c r="Q45" s="953"/>
      <c r="R45" s="953"/>
      <c r="S45" s="953"/>
      <c r="T45" s="953"/>
      <c r="U45" s="578"/>
    </row>
    <row r="46" spans="1:21">
      <c r="A46" s="286"/>
      <c r="B46" s="223"/>
      <c r="C46" s="2053" t="s">
        <v>272</v>
      </c>
      <c r="D46" s="2053"/>
      <c r="E46" s="259" t="s">
        <v>15</v>
      </c>
      <c r="F46" s="774">
        <v>0</v>
      </c>
      <c r="G46" s="774">
        <v>1300</v>
      </c>
      <c r="H46" s="774">
        <v>0</v>
      </c>
      <c r="I46" s="774">
        <v>0</v>
      </c>
      <c r="J46" s="1168">
        <v>0</v>
      </c>
      <c r="K46" s="1169">
        <v>0</v>
      </c>
      <c r="M46" s="474"/>
      <c r="N46" s="953"/>
      <c r="O46" s="953"/>
      <c r="P46" s="953"/>
      <c r="Q46" s="953"/>
      <c r="R46" s="953"/>
      <c r="S46" s="953"/>
      <c r="T46" s="953"/>
      <c r="U46" s="578"/>
    </row>
    <row r="47" spans="1:21">
      <c r="B47" s="223"/>
      <c r="C47" s="2053" t="s">
        <v>273</v>
      </c>
      <c r="D47" s="2053"/>
      <c r="E47" s="259" t="s">
        <v>15</v>
      </c>
      <c r="F47" s="774">
        <v>0</v>
      </c>
      <c r="G47" s="774">
        <v>885</v>
      </c>
      <c r="H47" s="498">
        <v>968</v>
      </c>
      <c r="I47" s="498">
        <v>1093</v>
      </c>
      <c r="J47" s="498">
        <v>1277</v>
      </c>
      <c r="K47" s="1100">
        <v>1302</v>
      </c>
      <c r="M47" s="1744" t="s">
        <v>264</v>
      </c>
      <c r="N47" s="1516"/>
      <c r="O47" s="1516"/>
      <c r="P47" s="1516"/>
      <c r="Q47" s="1516"/>
      <c r="R47" s="1517"/>
      <c r="S47" s="1518">
        <f>IF(G47=0,0,G47/'2. &amp; 7. T2  RESULTATB.'!G11)</f>
        <v>5.031668239655231E-3</v>
      </c>
      <c r="T47" s="1519"/>
      <c r="U47" s="1520"/>
    </row>
    <row r="48" spans="1:21">
      <c r="A48" s="286"/>
      <c r="B48" s="225" t="s">
        <v>163</v>
      </c>
      <c r="C48" s="2079" t="s">
        <v>274</v>
      </c>
      <c r="D48" s="2079"/>
      <c r="E48" s="257" t="s">
        <v>15</v>
      </c>
      <c r="F48" s="1165">
        <v>0</v>
      </c>
      <c r="G48" s="1165">
        <v>0</v>
      </c>
      <c r="H48" s="1475">
        <f>G48</f>
        <v>0</v>
      </c>
      <c r="I48" s="1475">
        <f>H48</f>
        <v>0</v>
      </c>
      <c r="J48" s="1475">
        <f>I48</f>
        <v>0</v>
      </c>
      <c r="K48" s="1476">
        <f>J48</f>
        <v>0</v>
      </c>
      <c r="M48" s="474"/>
      <c r="N48" s="953"/>
      <c r="O48" s="953"/>
      <c r="P48" s="953"/>
      <c r="Q48" s="953"/>
      <c r="R48" s="953"/>
      <c r="S48" s="953"/>
      <c r="T48" s="953"/>
      <c r="U48" s="578"/>
    </row>
    <row r="49" spans="1:21" ht="12.9" thickBot="1">
      <c r="A49" s="6"/>
      <c r="B49" s="252" t="s">
        <v>165</v>
      </c>
      <c r="C49" s="253" t="s">
        <v>275</v>
      </c>
      <c r="D49" s="253"/>
      <c r="E49" s="254" t="s">
        <v>15</v>
      </c>
      <c r="F49" s="1184">
        <v>0</v>
      </c>
      <c r="G49" s="1184">
        <v>2713</v>
      </c>
      <c r="H49" s="1091">
        <f>H98-H13-H39-H41-H48</f>
        <v>3747.5254507738273</v>
      </c>
      <c r="I49" s="1091">
        <f>I98-I13-I39-I41-I48</f>
        <v>19147.975187154356</v>
      </c>
      <c r="J49" s="1185">
        <f>J98-J13-J39-J41-J48</f>
        <v>59945.330859170062</v>
      </c>
      <c r="K49" s="1092">
        <f>K98-K13-K39-K41-K48</f>
        <v>100334.66070452209</v>
      </c>
      <c r="M49" s="1493"/>
      <c r="N49" s="953">
        <v>0</v>
      </c>
      <c r="O49" s="953"/>
      <c r="P49" s="953"/>
      <c r="Q49" s="953"/>
      <c r="R49" s="953"/>
      <c r="S49" s="953"/>
      <c r="T49" s="953"/>
      <c r="U49" s="578"/>
    </row>
    <row r="50" spans="1:21" ht="6" customHeight="1" thickBot="1">
      <c r="B50" s="246"/>
      <c r="C50" s="247"/>
      <c r="D50" s="247"/>
      <c r="E50" s="248"/>
      <c r="F50" s="246"/>
      <c r="G50" s="1186"/>
      <c r="H50" s="1187"/>
      <c r="I50" s="1187"/>
      <c r="J50" s="1187"/>
      <c r="K50" s="1187"/>
      <c r="M50" s="1521"/>
      <c r="N50" s="1494"/>
      <c r="O50" s="1494"/>
      <c r="P50" s="1494"/>
      <c r="Q50" s="1494"/>
      <c r="R50" s="1494"/>
      <c r="S50" s="1494"/>
      <c r="T50" s="1494"/>
      <c r="U50" s="407"/>
    </row>
    <row r="51" spans="1:21" ht="12.9" thickBot="1">
      <c r="B51" s="2050" t="s">
        <v>276</v>
      </c>
      <c r="C51" s="2051"/>
      <c r="D51" s="2051"/>
      <c r="E51" s="2052"/>
      <c r="F51" s="1188">
        <f t="shared" ref="F51:K51" si="4">F38+F13</f>
        <v>0</v>
      </c>
      <c r="G51" s="1188">
        <f t="shared" si="4"/>
        <v>21927</v>
      </c>
      <c r="H51" s="1188">
        <f t="shared" si="4"/>
        <v>230532.02033268596</v>
      </c>
      <c r="I51" s="1188">
        <f t="shared" si="4"/>
        <v>227752.64475812644</v>
      </c>
      <c r="J51" s="1189">
        <f t="shared" si="4"/>
        <v>252986.99275409235</v>
      </c>
      <c r="K51" s="1190">
        <f t="shared" si="4"/>
        <v>278645.69351629203</v>
      </c>
      <c r="M51" s="1522" t="str">
        <f>M98</f>
        <v/>
      </c>
      <c r="N51" s="205"/>
      <c r="O51" s="205"/>
      <c r="P51" s="205"/>
      <c r="Q51" s="205"/>
      <c r="R51" s="205"/>
      <c r="S51" s="205"/>
      <c r="T51" s="205"/>
      <c r="U51" s="1523"/>
    </row>
    <row r="52" spans="1:21" ht="12.9" thickBot="1">
      <c r="B52" s="41"/>
      <c r="C52" s="1" t="s">
        <v>0</v>
      </c>
      <c r="D52" s="1"/>
      <c r="M52" s="1505"/>
      <c r="N52" s="1505"/>
      <c r="O52" s="1505"/>
      <c r="P52" s="1505"/>
      <c r="Q52" s="1505"/>
      <c r="R52" s="1505"/>
      <c r="S52" s="1505"/>
      <c r="T52" s="1505"/>
      <c r="U52" s="1505"/>
    </row>
    <row r="53" spans="1:21" ht="12.75" customHeight="1">
      <c r="A53" s="286"/>
      <c r="B53" s="1730"/>
      <c r="C53" s="1731"/>
      <c r="D53" s="1731"/>
      <c r="E53" s="1732"/>
      <c r="F53" s="1733" t="str">
        <f t="shared" ref="F53:K53" si="5">F10</f>
        <v>Realiserad</v>
      </c>
      <c r="G53" s="1733" t="str">
        <f t="shared" si="5"/>
        <v>Realiserad</v>
      </c>
      <c r="H53" s="1733" t="str">
        <f t="shared" si="5"/>
        <v>Prognos 1</v>
      </c>
      <c r="I53" s="1733" t="str">
        <f t="shared" si="5"/>
        <v>Prognos 2</v>
      </c>
      <c r="J53" s="1734" t="str">
        <f t="shared" si="5"/>
        <v>Prognos 3</v>
      </c>
      <c r="K53" s="1735" t="str">
        <f t="shared" si="5"/>
        <v>Prognos 4</v>
      </c>
      <c r="M53" s="2062" t="s">
        <v>265</v>
      </c>
      <c r="N53" s="2063"/>
      <c r="O53" s="2063"/>
      <c r="P53" s="2063"/>
      <c r="Q53" s="2063"/>
      <c r="R53" s="2063"/>
      <c r="S53" s="2063"/>
      <c r="T53" s="2063"/>
      <c r="U53" s="2064"/>
    </row>
    <row r="54" spans="1:21" ht="12.75" customHeight="1">
      <c r="A54" s="286"/>
      <c r="B54" s="2085" t="s">
        <v>265</v>
      </c>
      <c r="C54" s="2086"/>
      <c r="D54" s="2086"/>
      <c r="E54" s="2087"/>
      <c r="F54" s="1736">
        <f>F11</f>
        <v>2021</v>
      </c>
      <c r="G54" s="1736">
        <f>G11</f>
        <v>2022</v>
      </c>
      <c r="H54" s="1736">
        <f>H11</f>
        <v>2023</v>
      </c>
      <c r="I54" s="1736">
        <f>I11</f>
        <v>2024</v>
      </c>
      <c r="J54" s="1737" t="s">
        <v>745</v>
      </c>
      <c r="K54" s="1738">
        <f>K11</f>
        <v>2026</v>
      </c>
      <c r="M54" s="474"/>
      <c r="N54" s="953"/>
      <c r="O54" s="953"/>
      <c r="P54" s="953"/>
      <c r="Q54" s="953"/>
      <c r="R54" s="953"/>
      <c r="S54" s="953"/>
      <c r="T54" s="953"/>
      <c r="U54" s="578"/>
    </row>
    <row r="55" spans="1:21" ht="12.75" customHeight="1" thickBot="1">
      <c r="A55" s="6"/>
      <c r="B55" s="1739"/>
      <c r="C55" s="1740"/>
      <c r="D55" s="1740"/>
      <c r="E55" s="1741"/>
      <c r="F55" s="1742" t="s">
        <v>242</v>
      </c>
      <c r="G55" s="1742" t="s">
        <v>242</v>
      </c>
      <c r="H55" s="1742" t="s">
        <v>242</v>
      </c>
      <c r="I55" s="1742" t="s">
        <v>242</v>
      </c>
      <c r="J55" s="1742" t="s">
        <v>242</v>
      </c>
      <c r="K55" s="1743" t="s">
        <v>242</v>
      </c>
      <c r="M55" s="474"/>
      <c r="N55" s="953"/>
      <c r="O55" s="953"/>
      <c r="P55" s="953"/>
      <c r="Q55" s="953"/>
      <c r="R55" s="953"/>
      <c r="S55" s="953"/>
      <c r="T55" s="953"/>
      <c r="U55" s="578"/>
    </row>
    <row r="56" spans="1:21">
      <c r="A56" s="286"/>
      <c r="B56" s="326" t="s">
        <v>671</v>
      </c>
      <c r="C56" s="211" t="s">
        <v>277</v>
      </c>
      <c r="D56" s="211"/>
      <c r="E56" s="701"/>
      <c r="F56" s="1193">
        <f t="shared" ref="F56:K56" si="6">F57+F58-F59+F60+F61</f>
        <v>0</v>
      </c>
      <c r="G56" s="1193">
        <f t="shared" si="6"/>
        <v>8768</v>
      </c>
      <c r="H56" s="1193">
        <f>H57+H58-H59+H60+H61</f>
        <v>-7687.6567102921363</v>
      </c>
      <c r="I56" s="1193">
        <f t="shared" si="6"/>
        <v>14747.174458096444</v>
      </c>
      <c r="J56" s="1193">
        <f t="shared" si="6"/>
        <v>64093.086176908771</v>
      </c>
      <c r="K56" s="1194">
        <f t="shared" si="6"/>
        <v>113939.50981458061</v>
      </c>
      <c r="M56" s="474"/>
      <c r="N56" s="953"/>
      <c r="O56" s="953"/>
      <c r="P56" s="953"/>
      <c r="Q56" s="953"/>
      <c r="R56" s="953"/>
      <c r="S56" s="953"/>
      <c r="T56" s="953"/>
      <c r="U56" s="578"/>
    </row>
    <row r="57" spans="1:21" s="1" customFormat="1">
      <c r="A57"/>
      <c r="B57" s="297"/>
      <c r="C57" s="185" t="s">
        <v>278</v>
      </c>
      <c r="D57" s="185"/>
      <c r="E57" s="407"/>
      <c r="F57" s="778">
        <v>0</v>
      </c>
      <c r="G57" s="778">
        <v>3000</v>
      </c>
      <c r="H57" s="1090">
        <f>'1. T1 INVESTERINGSP. '!D46+G57+H70</f>
        <v>3000</v>
      </c>
      <c r="I57" s="1090">
        <f>'1. T1 INVESTERINGSP. '!E46+H57+I70</f>
        <v>3000</v>
      </c>
      <c r="J57" s="1090">
        <f>'1. T1 INVESTERINGSP. '!F46+I57+J70</f>
        <v>3000</v>
      </c>
      <c r="K57" s="900">
        <f>'1. T1 INVESTERINGSP. '!G46+J57+K70</f>
        <v>3000</v>
      </c>
      <c r="L57" s="4"/>
      <c r="M57" s="1493"/>
      <c r="N57" s="953"/>
      <c r="O57" s="953"/>
      <c r="P57" s="953"/>
      <c r="Q57" s="953"/>
      <c r="R57" s="953"/>
      <c r="S57" s="953"/>
      <c r="T57" s="953"/>
      <c r="U57" s="578"/>
    </row>
    <row r="58" spans="1:21" s="1" customFormat="1">
      <c r="A58" s="52"/>
      <c r="B58" s="297"/>
      <c r="C58" s="185" t="s">
        <v>279</v>
      </c>
      <c r="D58" s="185"/>
      <c r="E58" s="407"/>
      <c r="F58" s="778">
        <v>0</v>
      </c>
      <c r="G58" s="778">
        <v>3006</v>
      </c>
      <c r="H58" s="1088">
        <f>G58-G59+G60</f>
        <v>5768</v>
      </c>
      <c r="I58" s="1088">
        <f>H58-H59+H60</f>
        <v>-10687.656710292136</v>
      </c>
      <c r="J58" s="1109">
        <f>I58-I59+I60</f>
        <v>11747.174458096444</v>
      </c>
      <c r="K58" s="900">
        <f>J58-J59+J60</f>
        <v>61093.086176908771</v>
      </c>
      <c r="L58" s="4"/>
      <c r="M58" s="474"/>
      <c r="N58" s="953"/>
      <c r="O58" s="953"/>
      <c r="P58" s="953"/>
      <c r="Q58" s="953"/>
      <c r="R58" s="953"/>
      <c r="S58" s="953"/>
      <c r="T58" s="953"/>
      <c r="U58" s="578"/>
    </row>
    <row r="59" spans="1:21" s="1" customFormat="1">
      <c r="A59"/>
      <c r="B59" s="297"/>
      <c r="C59" s="2080" t="s">
        <v>280</v>
      </c>
      <c r="D59" s="2080"/>
      <c r="E59" s="2081"/>
      <c r="F59" s="1167"/>
      <c r="G59" s="1167"/>
      <c r="H59" s="1195">
        <f>'9. T4 FINANSIERINGSB. '!H39</f>
        <v>701.44</v>
      </c>
      <c r="I59" s="1195">
        <f>'9. T4 FINANSIERINGSB. '!I39</f>
        <v>0</v>
      </c>
      <c r="J59" s="1195">
        <f>'9. T4 FINANSIERINGSB. '!J39</f>
        <v>1179.7739566477155</v>
      </c>
      <c r="K59" s="1196">
        <f>'9. T4 FINANSIERINGSB. '!K39</f>
        <v>5127.446894152702</v>
      </c>
      <c r="L59" s="4"/>
      <c r="M59" s="1745" t="s">
        <v>301</v>
      </c>
      <c r="N59" s="1494"/>
      <c r="O59" s="1494"/>
      <c r="P59" s="1494"/>
      <c r="Q59" s="1494"/>
      <c r="R59" s="1494"/>
      <c r="S59" s="1494"/>
      <c r="T59" s="1494"/>
      <c r="U59" s="407"/>
    </row>
    <row r="60" spans="1:21" s="1" customFormat="1">
      <c r="A60" s="52"/>
      <c r="B60" s="297"/>
      <c r="C60" s="185" t="s">
        <v>281</v>
      </c>
      <c r="D60" s="185"/>
      <c r="E60" s="407"/>
      <c r="F60" s="1088">
        <f>'2. &amp; 7. T2  RESULTATB.'!E31</f>
        <v>0</v>
      </c>
      <c r="G60" s="1088">
        <f>'2. &amp; 7. T2  RESULTATB.'!G31</f>
        <v>2762</v>
      </c>
      <c r="H60" s="1088">
        <f>'2. &amp; 7. T2  RESULTATB.'!I31</f>
        <v>-15754.216710292136</v>
      </c>
      <c r="I60" s="1088">
        <f>'2. &amp; 7. T2  RESULTATB.'!K31</f>
        <v>22434.83116838858</v>
      </c>
      <c r="J60" s="1109">
        <f>'2. &amp; 7. T2  RESULTATB.'!M31</f>
        <v>50525.685675460045</v>
      </c>
      <c r="K60" s="900">
        <f>'2. &amp; 7. T2  RESULTATB.'!O31</f>
        <v>54973.870531824534</v>
      </c>
      <c r="L60" s="4"/>
      <c r="M60" s="474"/>
      <c r="N60" s="953"/>
      <c r="O60" s="953"/>
      <c r="P60" s="953"/>
      <c r="Q60" s="953"/>
      <c r="R60" s="953"/>
      <c r="S60" s="953"/>
      <c r="T60" s="953"/>
      <c r="U60" s="578"/>
    </row>
    <row r="61" spans="1:21" s="1" customFormat="1">
      <c r="A61" s="2"/>
      <c r="B61" s="297"/>
      <c r="C61" s="2080" t="s">
        <v>282</v>
      </c>
      <c r="D61" s="2080"/>
      <c r="E61" s="2081"/>
      <c r="F61" s="778">
        <v>0</v>
      </c>
      <c r="G61" s="778">
        <v>0</v>
      </c>
      <c r="H61" s="774">
        <f>G61+'1. T1 INVESTERINGSP. '!D47</f>
        <v>0</v>
      </c>
      <c r="I61" s="774">
        <f>H61+'1. T1 INVESTERINGSP. '!E47</f>
        <v>0</v>
      </c>
      <c r="J61" s="774">
        <f>I61+'1. T1 INVESTERINGSP. '!F47</f>
        <v>0</v>
      </c>
      <c r="K61" s="1169">
        <f>J61+'1. T1 INVESTERINGSP. '!G47</f>
        <v>0</v>
      </c>
      <c r="L61" s="4"/>
      <c r="M61" s="474"/>
      <c r="N61" s="953"/>
      <c r="O61" s="953"/>
      <c r="P61" s="953"/>
      <c r="Q61" s="953"/>
      <c r="R61" s="953"/>
      <c r="S61" s="953"/>
      <c r="T61" s="953"/>
      <c r="U61" s="578"/>
    </row>
    <row r="62" spans="1:21">
      <c r="A62" s="52"/>
      <c r="B62" s="326" t="s">
        <v>670</v>
      </c>
      <c r="C62" s="211" t="s">
        <v>283</v>
      </c>
      <c r="D62" s="211"/>
      <c r="E62" s="213"/>
      <c r="F62" s="1197">
        <f t="shared" ref="F62:K62" si="7">F63+F64</f>
        <v>0</v>
      </c>
      <c r="G62" s="1197">
        <f t="shared" si="7"/>
        <v>0</v>
      </c>
      <c r="H62" s="1197">
        <f t="shared" si="7"/>
        <v>0</v>
      </c>
      <c r="I62" s="1197">
        <f t="shared" si="7"/>
        <v>0</v>
      </c>
      <c r="J62" s="1198">
        <f t="shared" si="7"/>
        <v>0</v>
      </c>
      <c r="K62" s="901">
        <f t="shared" si="7"/>
        <v>0</v>
      </c>
      <c r="M62" s="474"/>
      <c r="N62" s="953"/>
      <c r="O62" s="953"/>
      <c r="P62" s="953"/>
      <c r="Q62" s="953"/>
      <c r="R62" s="953"/>
      <c r="S62" s="953"/>
      <c r="T62" s="953"/>
      <c r="U62" s="578"/>
    </row>
    <row r="63" spans="1:21">
      <c r="A63"/>
      <c r="B63" s="172" t="s">
        <v>0</v>
      </c>
      <c r="C63" s="617" t="s">
        <v>284</v>
      </c>
      <c r="D63" s="617"/>
      <c r="E63" s="408"/>
      <c r="F63" s="774">
        <v>0</v>
      </c>
      <c r="G63" s="774">
        <v>0</v>
      </c>
      <c r="H63" s="1199">
        <f>G63-'2. &amp; 7. T2  RESULTATB.'!I29</f>
        <v>0</v>
      </c>
      <c r="I63" s="1199">
        <f>H63-'2. &amp; 7. T2  RESULTATB.'!K29</f>
        <v>0</v>
      </c>
      <c r="J63" s="1199">
        <f>I63-'2. &amp; 7. T2  RESULTATB.'!M29</f>
        <v>0</v>
      </c>
      <c r="K63" s="1374">
        <f>J63-'2. &amp; 7. T2  RESULTATB.'!O29</f>
        <v>0</v>
      </c>
      <c r="M63" s="474"/>
      <c r="N63" s="953"/>
      <c r="O63" s="953"/>
      <c r="P63" s="953"/>
      <c r="Q63" s="953"/>
      <c r="R63" s="953"/>
      <c r="S63" s="953"/>
      <c r="T63" s="953"/>
      <c r="U63" s="578"/>
    </row>
    <row r="64" spans="1:21">
      <c r="A64" s="52"/>
      <c r="B64" s="172" t="s">
        <v>0</v>
      </c>
      <c r="C64" s="2053" t="s">
        <v>285</v>
      </c>
      <c r="D64" s="2053"/>
      <c r="E64" s="2054"/>
      <c r="F64" s="774">
        <v>0</v>
      </c>
      <c r="G64" s="774">
        <v>0</v>
      </c>
      <c r="H64" s="1090">
        <f>H65*('5. E1 VERKSAMHETSKOSTN.'!F13*'5. E1 VERKSAMHETSKOSTN.'!F15+'5. E1 VERKSAMHETSKOSTN.'!F17+'5. E1 VERKSAMHETSKOSTN.'!F24)</f>
        <v>0</v>
      </c>
      <c r="I64" s="1090">
        <f>I65*('5. E1 VERKSAMHETSKOSTN.'!H13*'5. E1 VERKSAMHETSKOSTN.'!H15+'5. E1 VERKSAMHETSKOSTN.'!H17+'5. E1 VERKSAMHETSKOSTN.'!H24)</f>
        <v>0</v>
      </c>
      <c r="J64" s="1090">
        <f>J65*('5. E1 VERKSAMHETSKOSTN.'!J13*'5. E1 VERKSAMHETSKOSTN.'!J15+'5. E1 VERKSAMHETSKOSTN.'!J17+'5. E1 VERKSAMHETSKOSTN.'!J24)</f>
        <v>0</v>
      </c>
      <c r="K64" s="900">
        <f>K65*('5. E1 VERKSAMHETSKOSTN.'!L13*'5. E1 VERKSAMHETSKOSTN.'!L15+'5. E1 VERKSAMHETSKOSTN.'!L17+'5. E1 VERKSAMHETSKOSTN.'!L24)</f>
        <v>0</v>
      </c>
      <c r="M64" s="474"/>
      <c r="N64" s="953"/>
      <c r="O64" s="953"/>
      <c r="P64" s="953"/>
      <c r="Q64" s="953"/>
      <c r="R64" s="953"/>
      <c r="S64" s="953"/>
      <c r="T64" s="953"/>
      <c r="U64" s="578"/>
    </row>
    <row r="65" spans="1:21">
      <c r="A65"/>
      <c r="B65" s="172"/>
      <c r="C65" s="2068" t="s">
        <v>286</v>
      </c>
      <c r="D65" s="2069"/>
      <c r="E65" s="2070"/>
      <c r="F65" s="1122"/>
      <c r="G65" s="1122"/>
      <c r="H65" s="1110">
        <f>G65</f>
        <v>0</v>
      </c>
      <c r="I65" s="1110">
        <f>H65</f>
        <v>0</v>
      </c>
      <c r="J65" s="1375">
        <f>I65</f>
        <v>0</v>
      </c>
      <c r="K65" s="1111">
        <f>J65</f>
        <v>0</v>
      </c>
      <c r="M65" s="474"/>
      <c r="N65" s="953"/>
      <c r="O65" s="953"/>
      <c r="P65" s="953"/>
      <c r="Q65" s="953"/>
      <c r="R65" s="953"/>
      <c r="S65" s="953"/>
      <c r="T65" s="953"/>
      <c r="U65" s="578"/>
    </row>
    <row r="66" spans="1:21">
      <c r="A66" s="52"/>
      <c r="B66" s="1387" t="s">
        <v>76</v>
      </c>
      <c r="C66" s="2055" t="s">
        <v>287</v>
      </c>
      <c r="D66" s="2055"/>
      <c r="E66" s="2056"/>
      <c r="F66" s="1376">
        <v>0</v>
      </c>
      <c r="G66" s="1376">
        <v>0</v>
      </c>
      <c r="H66" s="1376">
        <v>0</v>
      </c>
      <c r="I66" s="1376"/>
      <c r="J66" s="1377"/>
      <c r="K66" s="1378"/>
      <c r="M66" s="474"/>
      <c r="N66" s="953"/>
      <c r="O66" s="953"/>
      <c r="P66" s="953"/>
      <c r="Q66" s="953"/>
      <c r="R66" s="953"/>
      <c r="S66" s="953"/>
      <c r="T66" s="953"/>
      <c r="U66" s="578"/>
    </row>
    <row r="67" spans="1:21">
      <c r="A67" s="2"/>
      <c r="B67" s="1387" t="s">
        <v>114</v>
      </c>
      <c r="C67" s="2055" t="s">
        <v>288</v>
      </c>
      <c r="D67" s="2055"/>
      <c r="E67" s="2056"/>
      <c r="F67" s="1197">
        <f t="shared" ref="F67:K67" si="8">F68+F69+F71+F74</f>
        <v>0</v>
      </c>
      <c r="G67" s="1197">
        <f t="shared" si="8"/>
        <v>745</v>
      </c>
      <c r="H67" s="1197">
        <f t="shared" si="8"/>
        <v>197330</v>
      </c>
      <c r="I67" s="1197">
        <f t="shared" si="8"/>
        <v>172660</v>
      </c>
      <c r="J67" s="1198">
        <f t="shared" si="8"/>
        <v>147990</v>
      </c>
      <c r="K67" s="901">
        <f t="shared" si="8"/>
        <v>123320</v>
      </c>
      <c r="M67" s="474"/>
      <c r="N67" s="953"/>
      <c r="O67" s="953"/>
      <c r="P67" s="953"/>
      <c r="Q67" s="953"/>
      <c r="R67" s="953"/>
      <c r="S67" s="953"/>
      <c r="T67" s="953"/>
      <c r="U67" s="578"/>
    </row>
    <row r="68" spans="1:21">
      <c r="A68" s="52"/>
      <c r="B68" s="223" t="s">
        <v>0</v>
      </c>
      <c r="C68" s="2057" t="s">
        <v>289</v>
      </c>
      <c r="D68" s="2057"/>
      <c r="E68" s="2058"/>
      <c r="F68" s="774">
        <v>0</v>
      </c>
      <c r="G68" s="774">
        <v>745</v>
      </c>
      <c r="H68" s="1090">
        <f>'AT2 Lainat, sotum, alv-osto'!T13+'AT2 Lainat, sotum, alv-osto'!T15+'AT2 Lainat, sotum, alv-osto'!T16+'AT2 Lainat, sotum, alv-osto'!T17-'9. T4 FINANSIERINGSB. '!H35</f>
        <v>197330</v>
      </c>
      <c r="I68" s="1090">
        <f>'AT2 Lainat, sotum, alv-osto'!Z13+'AT2 Lainat, sotum, alv-osto'!Z15+'AT2 Lainat, sotum, alv-osto'!Z16+'AT2 Lainat, sotum, alv-osto'!Z17+'AT2 Lainat, sotum, alv-osto'!Z18+'AT2 Lainat, sotum, alv-osto'!Z19+'AT2 Lainat, sotum, alv-osto'!Z20-'9. T4 FINANSIERINGSB. '!H35-'9. T4 FINANSIERINGSB. '!I35</f>
        <v>172660</v>
      </c>
      <c r="J68" s="1090">
        <f>'AT2 Lainat, sotum, alv-osto'!AF13+'AT2 Lainat, sotum, alv-osto'!AF15+'AT2 Lainat, sotum, alv-osto'!AF16+'AT2 Lainat, sotum, alv-osto'!AF17+'AT2 Lainat, sotum, alv-osto'!AF20+'AT2 Lainat, sotum, alv-osto'!AF18+'AT2 Lainat, sotum, alv-osto'!AF19+'AT2 Lainat, sotum, alv-osto'!AF22+'AT2 Lainat, sotum, alv-osto'!AF21+'AT2 Lainat, sotum, alv-osto'!AF23-'9. T4 FINANSIERINGSB. '!H35-'9. T4 FINANSIERINGSB. '!I35-'9. T4 FINANSIERINGSB. '!J35</f>
        <v>147990</v>
      </c>
      <c r="K68" s="900">
        <f>'AT2 Lainat, sotum, alv-osto'!AL13+'AT2 Lainat, sotum, alv-osto'!AL27-'9. T4 FINANSIERINGSB. '!H35-'9. T4 FINANSIERINGSB. '!I35-'9. T4 FINANSIERINGSB. '!J35-'9. T4 FINANSIERINGSB. '!K35</f>
        <v>123320</v>
      </c>
      <c r="M68" s="474"/>
      <c r="N68" s="953"/>
      <c r="O68" s="953"/>
      <c r="P68" s="953"/>
      <c r="Q68" s="953"/>
      <c r="R68" s="953"/>
      <c r="S68" s="953"/>
      <c r="T68" s="953"/>
      <c r="U68" s="578"/>
    </row>
    <row r="69" spans="1:21">
      <c r="A69"/>
      <c r="B69" s="223" t="s">
        <v>0</v>
      </c>
      <c r="C69" s="2053" t="s">
        <v>290</v>
      </c>
      <c r="D69" s="2053"/>
      <c r="E69" s="2054"/>
      <c r="F69" s="774">
        <v>0</v>
      </c>
      <c r="G69" s="774">
        <v>0</v>
      </c>
      <c r="H69" s="774">
        <f>G69+'1. T1 INVESTERINGSP. '!D49</f>
        <v>0</v>
      </c>
      <c r="I69" s="774">
        <f>H69+'1. T1 INVESTERINGSP. '!E49</f>
        <v>0</v>
      </c>
      <c r="J69" s="774">
        <f>I69+'1. T1 INVESTERINGSP. '!F49</f>
        <v>0</v>
      </c>
      <c r="K69" s="1169">
        <f>J69+'1. T1 INVESTERINGSP. '!G49</f>
        <v>0</v>
      </c>
      <c r="M69" s="474"/>
      <c r="N69" s="953"/>
      <c r="O69" s="953"/>
      <c r="P69" s="953"/>
      <c r="Q69" s="953"/>
      <c r="R69" s="953"/>
      <c r="S69" s="953"/>
      <c r="T69" s="953"/>
      <c r="U69" s="578"/>
    </row>
    <row r="70" spans="1:21">
      <c r="A70" s="52"/>
      <c r="B70" s="223"/>
      <c r="C70" s="616" t="s">
        <v>667</v>
      </c>
      <c r="D70" s="616"/>
      <c r="E70" s="700"/>
      <c r="F70" s="1467"/>
      <c r="G70" s="1467">
        <v>0</v>
      </c>
      <c r="H70" s="774">
        <v>0</v>
      </c>
      <c r="I70" s="774"/>
      <c r="J70" s="1168">
        <v>0</v>
      </c>
      <c r="K70" s="1169"/>
      <c r="M70" s="754" t="str">
        <f>IF(H70&gt;0,"DRAG ACKORDEN AV KAPITALÅNETS SALDO!",IF(I70&gt;0,"DRAG ACKORDEN AV KAPITALÅNETS SALDO!",IF(J70&gt;0,"DRAG ACKORDEN AV KAPITALÅNETS SALDO!",IF(K70&gt;0,"DRAG ACKORDEN AV KAPITALÅNETS SALDO!",""))))</f>
        <v/>
      </c>
      <c r="N70" s="1498"/>
      <c r="O70" s="1498"/>
      <c r="P70" s="1498"/>
      <c r="Q70" s="1498"/>
      <c r="R70" s="1498"/>
      <c r="S70" s="1498"/>
      <c r="T70" s="1498"/>
      <c r="U70" s="627"/>
    </row>
    <row r="71" spans="1:21">
      <c r="A71"/>
      <c r="B71" s="223" t="s">
        <v>0</v>
      </c>
      <c r="C71" s="256" t="s">
        <v>291</v>
      </c>
      <c r="D71" s="256"/>
      <c r="E71" s="259"/>
      <c r="F71" s="1090">
        <f t="shared" ref="F71:K71" si="9">F72+F73</f>
        <v>0</v>
      </c>
      <c r="G71" s="1090">
        <f t="shared" si="9"/>
        <v>0</v>
      </c>
      <c r="H71" s="1090">
        <f t="shared" si="9"/>
        <v>0</v>
      </c>
      <c r="I71" s="1090">
        <f t="shared" si="9"/>
        <v>0</v>
      </c>
      <c r="J71" s="1099">
        <f t="shared" si="9"/>
        <v>0</v>
      </c>
      <c r="K71" s="900">
        <f t="shared" si="9"/>
        <v>0</v>
      </c>
      <c r="M71" s="474"/>
      <c r="N71" s="953"/>
      <c r="O71" s="953"/>
      <c r="P71" s="953"/>
      <c r="Q71" s="953"/>
      <c r="R71" s="953"/>
      <c r="S71" s="953"/>
      <c r="T71" s="953"/>
      <c r="U71" s="578"/>
    </row>
    <row r="72" spans="1:21">
      <c r="A72" s="52"/>
      <c r="B72" s="223"/>
      <c r="C72" s="256" t="s">
        <v>292</v>
      </c>
      <c r="D72" s="256"/>
      <c r="E72" s="259"/>
      <c r="F72" s="776">
        <v>0</v>
      </c>
      <c r="G72" s="776">
        <v>0</v>
      </c>
      <c r="H72" s="774">
        <f>G72</f>
        <v>0</v>
      </c>
      <c r="I72" s="1168">
        <f>H72</f>
        <v>0</v>
      </c>
      <c r="J72" s="1168">
        <f>I72</f>
        <v>0</v>
      </c>
      <c r="K72" s="1169">
        <f>J72</f>
        <v>0</v>
      </c>
      <c r="M72" s="754">
        <f>IF(H72&gt;0,"TILLÄGG RÄNTAN AV LEVERANTÖRSKULDER I TABELL 4. T7 LÅN, PUNKT 'Räntor på övriga långfristiga lån, utan skuldebrev'!",IF(I72&gt;0,"TILLÄGG RÄNTAN AV LEVERANTÖRSKULDER I TABELL 4. T7 LÅN, PUNKT 'Räntor på övriga långfristiga lån, utan skuldebrev!",IF(J72&gt;0,"TILLÄGG RÄNTAN AV LEVERANTÖRSKULDER I TABELL 4. T7 LÅN, PUNKT 'Räntor på övriga långfristiga lån, utan skuldebrev'!",IF(K72&gt;0, "TILLÄGG RÄNTAN AV LEVERANTÖRSKULDER I TABELL 4. T7 LÅN, PUNKT 'Räntor på övriga långfristiga lån, utan skuldebrev'!",0))))</f>
        <v>0</v>
      </c>
      <c r="N72" s="953"/>
      <c r="O72" s="953"/>
      <c r="P72" s="953"/>
      <c r="Q72" s="953"/>
      <c r="R72" s="953"/>
      <c r="S72" s="953"/>
      <c r="T72" s="953"/>
      <c r="U72" s="578"/>
    </row>
    <row r="73" spans="1:21">
      <c r="A73" s="2"/>
      <c r="B73" s="223"/>
      <c r="C73" s="256" t="s">
        <v>293</v>
      </c>
      <c r="D73" s="256"/>
      <c r="E73" s="259"/>
      <c r="F73" s="1201">
        <v>0</v>
      </c>
      <c r="G73" s="776">
        <v>0</v>
      </c>
      <c r="H73" s="1090">
        <f>'AT2 Lainat, sotum, alv-osto'!T39+'AT2 Lainat, sotum, alv-osto'!T43</f>
        <v>0</v>
      </c>
      <c r="I73" s="1090">
        <f>'AT2 Lainat, sotum, alv-osto'!Z39+'AT2 Lainat, sotum, alv-osto'!Z43+'AT2 Lainat, sotum, alv-osto'!Z46</f>
        <v>0</v>
      </c>
      <c r="J73" s="1090">
        <f>'AT2 Lainat, sotum, alv-osto'!AF39+'AT2 Lainat, sotum, alv-osto'!AF43+'AT2 Lainat, sotum, alv-osto'!AF46+'AT2 Lainat, sotum, alv-osto'!AF49</f>
        <v>0</v>
      </c>
      <c r="K73" s="900">
        <f>IF('4. T7 LÅN '!O48=0,'AT2 Lainat, sotum, alv-osto'!AL39+'AT2 Lainat, sotum, alv-osto'!AL43+'AT2 Lainat, sotum, alv-osto'!AL46+'AT2 Lainat, sotum, alv-osto'!AL49,'AT2 Lainat, sotum, alv-osto'!AL42+'AT2 Lainat, sotum, alv-osto'!AL55)</f>
        <v>0</v>
      </c>
      <c r="M73" s="474"/>
      <c r="N73" s="953"/>
      <c r="O73" s="953"/>
      <c r="P73" s="953"/>
      <c r="Q73" s="953"/>
      <c r="R73" s="953"/>
      <c r="S73" s="953"/>
      <c r="T73" s="953"/>
      <c r="U73" s="578"/>
    </row>
    <row r="74" spans="1:21">
      <c r="A74" s="52"/>
      <c r="B74" s="223"/>
      <c r="C74" s="2053" t="s">
        <v>294</v>
      </c>
      <c r="D74" s="2053"/>
      <c r="E74" s="2054"/>
      <c r="F74" s="776">
        <v>0</v>
      </c>
      <c r="G74" s="776">
        <v>0</v>
      </c>
      <c r="H74" s="774">
        <f>G74</f>
        <v>0</v>
      </c>
      <c r="I74" s="774">
        <f>H74</f>
        <v>0</v>
      </c>
      <c r="J74" s="774">
        <f>I74</f>
        <v>0</v>
      </c>
      <c r="K74" s="1169">
        <f>J74</f>
        <v>0</v>
      </c>
      <c r="M74" s="754">
        <f>IF(H74&gt;0,"SKULDEBREVSLÅN TILLÄGGAS I TABELL 4. T7 LÅN, ÖVRIGA HÄR.",IF(I74&gt;0,"SKULDEBREVSLÅN TILLÄGGAS I TABELL 4. T7 LÅN, ÖVRIGA HÄR.",IF(J74&gt;0,"SKULDEBREVSLÅN TILLÄGGAS I TABELL 4. T7 LÅN, ÖVRIGA HÄR.",IF(K74&gt;0,"SKULDEBREVSLÅN TILLÄGGAS I TABELL 4. T7 LÅN, ÖVRIGA HÄR.",0))))</f>
        <v>0</v>
      </c>
      <c r="N74" s="1524"/>
      <c r="O74" s="1524"/>
      <c r="P74" s="1524"/>
      <c r="Q74" s="1524"/>
      <c r="R74" s="1524"/>
      <c r="S74" s="1524"/>
      <c r="T74" s="1524"/>
      <c r="U74" s="1525"/>
    </row>
    <row r="75" spans="1:21">
      <c r="A75"/>
      <c r="B75" s="1388" t="s">
        <v>115</v>
      </c>
      <c r="C75" s="1953" t="s">
        <v>295</v>
      </c>
      <c r="D75" s="1953"/>
      <c r="E75" s="2049"/>
      <c r="F75" s="1197">
        <f t="shared" ref="F75:K75" si="10">F76+F79+F80+F84+F91+F96</f>
        <v>0</v>
      </c>
      <c r="G75" s="1197">
        <f t="shared" si="10"/>
        <v>12414</v>
      </c>
      <c r="H75" s="1197">
        <f t="shared" si="10"/>
        <v>40889.677042978088</v>
      </c>
      <c r="I75" s="1197">
        <f t="shared" si="10"/>
        <v>40345.470300029992</v>
      </c>
      <c r="J75" s="1197">
        <f t="shared" si="10"/>
        <v>40903.906577183574</v>
      </c>
      <c r="K75" s="901">
        <f t="shared" si="10"/>
        <v>41386.183701711394</v>
      </c>
      <c r="M75" s="754" t="str">
        <f>IF(H74&gt;0,"Om av ovannämda lån betalas ränta, tilläggas summan i tabell 4. T7 LÅN punkt 'Räntor på övriga långfristiga lån, utan skuldebrev'",IF(I74&gt;0,"Om av ovannämda lån betalas ränta, tilläggas summan i tabell 4. T7 LÅN punkt 'Räntor på övriga långfristiga lån, utan skuldebrev",IF(J74&gt;0,"Om av ovannämda lån betalas ränta, tilläggas summan i tabell 4. T7 LÅN punkt 'Räntor på övriga långfristiga lån, utan skuldebrev'",IF(K74&gt;0,"Om av ovannämda lån betalas ränta, tilläggas summan i tabell 4. T7 LÅN punkt 'Räntor på övriga långfristiga lån, utan skuldebrev'",""))))</f>
        <v/>
      </c>
      <c r="N75" s="1498"/>
      <c r="O75" s="1498"/>
      <c r="P75" s="1498"/>
      <c r="Q75" s="1498"/>
      <c r="R75" s="1498"/>
      <c r="S75" s="1498"/>
      <c r="T75" s="1498"/>
      <c r="U75" s="627"/>
    </row>
    <row r="76" spans="1:21">
      <c r="A76" s="52"/>
      <c r="B76" s="223" t="s">
        <v>0</v>
      </c>
      <c r="C76" s="2057" t="s">
        <v>747</v>
      </c>
      <c r="D76" s="2057"/>
      <c r="E76" s="2058"/>
      <c r="F76" s="1202">
        <f t="shared" ref="F76:K76" si="11">F77+F78</f>
        <v>0</v>
      </c>
      <c r="G76" s="1202">
        <f t="shared" si="11"/>
        <v>8936</v>
      </c>
      <c r="H76" s="1202">
        <f t="shared" si="11"/>
        <v>25415</v>
      </c>
      <c r="I76" s="1202">
        <f t="shared" si="11"/>
        <v>24670</v>
      </c>
      <c r="J76" s="1202">
        <f t="shared" si="11"/>
        <v>24670</v>
      </c>
      <c r="K76" s="1203">
        <f t="shared" si="11"/>
        <v>24670</v>
      </c>
      <c r="M76" s="474"/>
      <c r="N76" s="953"/>
      <c r="O76" s="953"/>
      <c r="P76" s="953"/>
      <c r="Q76" s="953"/>
      <c r="R76" s="953"/>
      <c r="S76" s="953"/>
      <c r="T76" s="953"/>
      <c r="U76" s="578"/>
    </row>
    <row r="77" spans="1:21">
      <c r="A77" s="2"/>
      <c r="B77" s="223"/>
      <c r="C77" s="617" t="s">
        <v>716</v>
      </c>
      <c r="D77" s="617"/>
      <c r="E77" s="618"/>
      <c r="F77" s="774">
        <v>0</v>
      </c>
      <c r="G77" s="774">
        <v>8936</v>
      </c>
      <c r="H77" s="787">
        <f>'4. T7 LÅN '!I18+'4. T7 LÅN '!J26+'4. T7 LÅN '!J27+'4. T7 LÅN '!J28</f>
        <v>25415</v>
      </c>
      <c r="I77" s="787">
        <f>'4. T7 LÅN '!L18+'4. T7 LÅN '!M26+'4. T7 LÅN '!M27+'4. T7 LÅN '!M28+'4. T7 LÅN '!M30+'4. T7 LÅN '!M31+'4. T7 LÅN '!M32</f>
        <v>24670</v>
      </c>
      <c r="J77" s="787">
        <f>'4. T7 LÅN '!O18+'4. T7 LÅN '!P26+'4. T7 LÅN '!P27+'4. T7 LÅN '!P28+'4. T7 LÅN '!P30+'4. T7 LÅN '!P31+'4. T7 LÅN '!P32+'4. T7 LÅN '!P34+'4. T7 LÅN '!P35+'4. T7 LÅN '!P36</f>
        <v>24670</v>
      </c>
      <c r="K77" s="1204">
        <f>'AT2 Lainat, sotum, alv-osto'!AJ13+'AT2 Lainat, sotum, alv-osto'!AJ27</f>
        <v>24670</v>
      </c>
      <c r="M77" s="474"/>
      <c r="N77" s="953"/>
      <c r="O77" s="953"/>
      <c r="P77" s="953"/>
      <c r="Q77" s="953"/>
      <c r="R77" s="953"/>
      <c r="S77" s="953"/>
      <c r="T77" s="953"/>
      <c r="U77" s="578"/>
    </row>
    <row r="78" spans="1:21">
      <c r="A78" s="52"/>
      <c r="B78" s="223"/>
      <c r="C78" s="617" t="s">
        <v>717</v>
      </c>
      <c r="D78" s="617"/>
      <c r="E78" s="618"/>
      <c r="F78" s="774">
        <v>0</v>
      </c>
      <c r="G78" s="774">
        <v>0</v>
      </c>
      <c r="H78" s="774">
        <f t="shared" ref="H78:K79" si="12">G78</f>
        <v>0</v>
      </c>
      <c r="I78" s="774">
        <f t="shared" si="12"/>
        <v>0</v>
      </c>
      <c r="J78" s="774">
        <f t="shared" si="12"/>
        <v>0</v>
      </c>
      <c r="K78" s="1169">
        <f t="shared" si="12"/>
        <v>0</v>
      </c>
      <c r="M78" s="474"/>
      <c r="N78" s="953"/>
      <c r="O78" s="953"/>
      <c r="P78" s="953"/>
      <c r="Q78" s="953"/>
      <c r="R78" s="953"/>
      <c r="S78" s="953"/>
      <c r="T78" s="953"/>
      <c r="U78" s="578"/>
    </row>
    <row r="79" spans="1:21">
      <c r="B79" s="223" t="s">
        <v>0</v>
      </c>
      <c r="C79" s="2053" t="s">
        <v>290</v>
      </c>
      <c r="D79" s="2053"/>
      <c r="E79" s="2054"/>
      <c r="F79" s="774">
        <v>0</v>
      </c>
      <c r="G79" s="774">
        <v>0</v>
      </c>
      <c r="H79" s="774">
        <f>G79</f>
        <v>0</v>
      </c>
      <c r="I79" s="774">
        <f t="shared" si="12"/>
        <v>0</v>
      </c>
      <c r="J79" s="774">
        <f t="shared" si="12"/>
        <v>0</v>
      </c>
      <c r="K79" s="1169">
        <f t="shared" si="12"/>
        <v>0</v>
      </c>
      <c r="M79" s="474"/>
      <c r="N79" s="953"/>
      <c r="O79" s="953"/>
      <c r="P79" s="953"/>
      <c r="Q79" s="953"/>
      <c r="R79" s="953"/>
      <c r="S79" s="953"/>
      <c r="T79" s="953"/>
      <c r="U79" s="578"/>
    </row>
    <row r="80" spans="1:21">
      <c r="B80" s="223" t="s">
        <v>0</v>
      </c>
      <c r="C80" s="256" t="s">
        <v>296</v>
      </c>
      <c r="D80" s="256"/>
      <c r="E80" s="259"/>
      <c r="F80" s="1090">
        <f t="shared" ref="F80:K80" si="13">F81+F83</f>
        <v>0</v>
      </c>
      <c r="G80" s="1090">
        <f t="shared" si="13"/>
        <v>1959</v>
      </c>
      <c r="H80" s="1090">
        <f t="shared" si="13"/>
        <v>1896.4335429780856</v>
      </c>
      <c r="I80" s="1090">
        <f t="shared" si="13"/>
        <v>1689.8794950299921</v>
      </c>
      <c r="J80" s="1099">
        <f t="shared" si="13"/>
        <v>1828.7480480335748</v>
      </c>
      <c r="K80" s="900">
        <f t="shared" si="13"/>
        <v>1878.8704166868977</v>
      </c>
      <c r="M80" s="474"/>
      <c r="N80" s="953"/>
      <c r="O80" s="953"/>
      <c r="P80" s="953"/>
      <c r="Q80" s="953"/>
      <c r="R80" s="953"/>
      <c r="S80" s="953"/>
      <c r="T80" s="953"/>
      <c r="U80" s="578"/>
    </row>
    <row r="81" spans="1:21">
      <c r="B81" s="223"/>
      <c r="C81" s="256" t="s">
        <v>651</v>
      </c>
      <c r="D81" s="256"/>
      <c r="E81" s="259"/>
      <c r="F81" s="774">
        <v>0</v>
      </c>
      <c r="G81" s="774">
        <v>1959</v>
      </c>
      <c r="H81" s="1090">
        <f>'9. T4 FINANSIERINGSB. '!H56</f>
        <v>1896.4335429780856</v>
      </c>
      <c r="I81" s="1090">
        <f>'9. T4 FINANSIERINGSB. '!I56</f>
        <v>1689.8794950299921</v>
      </c>
      <c r="J81" s="1090">
        <f>'9. T4 FINANSIERINGSB. '!J56</f>
        <v>1828.7480480335748</v>
      </c>
      <c r="K81" s="900">
        <f>'9. T4 FINANSIERINGSB. '!K56</f>
        <v>1878.8704166868977</v>
      </c>
      <c r="M81" s="474"/>
      <c r="N81" s="953"/>
      <c r="O81" s="953"/>
      <c r="P81" s="953"/>
      <c r="Q81" s="953"/>
      <c r="R81" s="953"/>
      <c r="S81" s="953"/>
      <c r="T81" s="953"/>
      <c r="U81" s="578"/>
    </row>
    <row r="82" spans="1:21">
      <c r="B82" s="223"/>
      <c r="C82" s="2074" t="s">
        <v>652</v>
      </c>
      <c r="D82" s="2075"/>
      <c r="E82" s="2076"/>
      <c r="F82" s="1120">
        <f>'9. T4 FINANSIERINGSB. '!F57</f>
        <v>0</v>
      </c>
      <c r="G82" s="1120">
        <f>'9. T4 FINANSIERINGSB. '!G57</f>
        <v>12.815395644771037</v>
      </c>
      <c r="H82" s="1120">
        <f>'9. T4 FINANSIERINGSB. '!H57</f>
        <v>12.815395644771037</v>
      </c>
      <c r="I82" s="1120">
        <f>'9. T4 FINANSIERINGSB. '!I57</f>
        <v>12.815395644771037</v>
      </c>
      <c r="J82" s="1120">
        <f>'9. T4 FINANSIERINGSB. '!J57</f>
        <v>12.815395644771037</v>
      </c>
      <c r="K82" s="1121">
        <f>'9. T4 FINANSIERINGSB. '!K57</f>
        <v>12.815395644771037</v>
      </c>
      <c r="M82" s="474"/>
      <c r="N82" s="953"/>
      <c r="O82" s="953"/>
      <c r="P82" s="953"/>
      <c r="Q82" s="953"/>
      <c r="R82" s="953"/>
      <c r="S82" s="953"/>
      <c r="T82" s="953"/>
      <c r="U82" s="578"/>
    </row>
    <row r="83" spans="1:21">
      <c r="B83" s="223"/>
      <c r="C83" s="256" t="s">
        <v>653</v>
      </c>
      <c r="D83" s="256"/>
      <c r="E83" s="259"/>
      <c r="F83" s="774">
        <v>0</v>
      </c>
      <c r="G83" s="774">
        <v>0</v>
      </c>
      <c r="H83" s="1090">
        <f>'AT2 Lainat, sotum, alv-osto'!R42+'AT2 Lainat, sotum, alv-osto'!R43</f>
        <v>0</v>
      </c>
      <c r="I83" s="1090">
        <f>'AT2 Lainat, sotum, alv-osto'!X39+'AT2 Lainat, sotum, alv-osto'!X43+'AT2 Lainat, sotum, alv-osto'!X46</f>
        <v>0</v>
      </c>
      <c r="J83" s="1090">
        <f>'AT2 Lainat, sotum, alv-osto'!AD39+'AT2 Lainat, sotum, alv-osto'!AD43+'AT2 Lainat, sotum, alv-osto'!AD46+'AT2 Lainat, sotum, alv-osto'!AD49</f>
        <v>0</v>
      </c>
      <c r="K83" s="900">
        <f>'AT2 Lainat, sotum, alv-osto'!AJ39+'AT2 Lainat, sotum, alv-osto'!AJ43+'AT2 Lainat, sotum, alv-osto'!AJ46+'AT2 Lainat, sotum, alv-osto'!AJ49+'AT2 Lainat, sotum, alv-osto'!AJ52</f>
        <v>0</v>
      </c>
      <c r="M83" s="474"/>
      <c r="N83" s="953"/>
      <c r="O83" s="953"/>
      <c r="P83" s="953"/>
      <c r="Q83" s="953"/>
      <c r="R83" s="953"/>
      <c r="S83" s="953"/>
      <c r="T83" s="953"/>
      <c r="U83" s="578"/>
    </row>
    <row r="84" spans="1:21">
      <c r="B84" s="223"/>
      <c r="C84" s="2053" t="s">
        <v>297</v>
      </c>
      <c r="D84" s="2053"/>
      <c r="E84" s="2054"/>
      <c r="F84" s="1090">
        <f t="shared" ref="F84:K84" si="14">F85+F87+F88+F90</f>
        <v>0</v>
      </c>
      <c r="G84" s="1090">
        <f t="shared" si="14"/>
        <v>1514</v>
      </c>
      <c r="H84" s="1090">
        <f t="shared" si="14"/>
        <v>2202.2434999999996</v>
      </c>
      <c r="I84" s="1090">
        <f t="shared" si="14"/>
        <v>2268.3108050000001</v>
      </c>
      <c r="J84" s="1099">
        <f t="shared" si="14"/>
        <v>2336.3601291500004</v>
      </c>
      <c r="K84" s="900">
        <f t="shared" si="14"/>
        <v>2406.4509330245</v>
      </c>
      <c r="M84" s="474"/>
      <c r="N84" s="953"/>
      <c r="O84" s="953"/>
      <c r="P84" s="953"/>
      <c r="Q84" s="953"/>
      <c r="R84" s="953"/>
      <c r="S84" s="953"/>
      <c r="T84" s="953"/>
      <c r="U84" s="578"/>
    </row>
    <row r="85" spans="1:21" ht="35.25" customHeight="1">
      <c r="A85"/>
      <c r="B85" s="223"/>
      <c r="C85" s="2083" t="s">
        <v>654</v>
      </c>
      <c r="D85" s="2083"/>
      <c r="E85" s="2084"/>
      <c r="F85" s="778">
        <v>0</v>
      </c>
      <c r="G85" s="778">
        <v>1514</v>
      </c>
      <c r="H85" s="1088">
        <f>H86*('5. E1 VERKSAMHETSKOSTN.'!F13+'5. E1 VERKSAMHETSKOSTN.'!F14+'5. E1 VERKSAMHETSKOSTN.'!F22/12+'5. E1 VERKSAMHETSKOSTN.'!F17/12+'5. E1 VERKSAMHETSKOSTN.'!F24/12+'5. E1 VERKSAMHETSKOSTN.'!F28/12)</f>
        <v>2090.208333333333</v>
      </c>
      <c r="I85" s="1088">
        <f>I86*('5. E1 VERKSAMHETSKOSTN.'!H13+'5. E1 VERKSAMHETSKOSTN.'!H14+'5. E1 VERKSAMHETSKOSTN.'!H22/12+'5. E1 VERKSAMHETSKOSTN.'!H17/12+'5. E1 VERKSAMHETSKOSTN.'!H24/12+'5. E1 VERKSAMHETSKOSTN.'!H28/12)</f>
        <v>2152.9145833333332</v>
      </c>
      <c r="J85" s="1088">
        <f>J86*('5. E1 VERKSAMHETSKOSTN.'!J13+'5. E1 VERKSAMHETSKOSTN.'!J14+'5. E1 VERKSAMHETSKOSTN.'!J22/12+'5. E1 VERKSAMHETSKOSTN.'!J17/12+'5. E1 VERKSAMHETSKOSTN.'!J24/12+'5. E1 VERKSAMHETSKOSTN.'!J28/12)</f>
        <v>2217.5020208333335</v>
      </c>
      <c r="K85" s="900">
        <f>K86*('5. E1 VERKSAMHETSKOSTN.'!L13+'5. E1 VERKSAMHETSKOSTN.'!L14+'5. E1 VERKSAMHETSKOSTN.'!L22/12+'5. E1 VERKSAMHETSKOSTN.'!L17/12+'5. E1 VERKSAMHETSKOSTN.'!L24/12+'5. E1 VERKSAMHETSKOSTN.'!L28/12)</f>
        <v>2284.0270814583332</v>
      </c>
      <c r="M85" s="474"/>
      <c r="N85" s="953"/>
      <c r="O85" s="953"/>
      <c r="P85" s="953"/>
      <c r="Q85" s="953"/>
      <c r="R85" s="953"/>
      <c r="S85" s="953"/>
      <c r="T85" s="953"/>
      <c r="U85" s="578"/>
    </row>
    <row r="86" spans="1:21">
      <c r="A86" s="6"/>
      <c r="B86" s="223"/>
      <c r="C86" s="2071" t="s">
        <v>655</v>
      </c>
      <c r="D86" s="2072"/>
      <c r="E86" s="2073"/>
      <c r="F86" s="1502"/>
      <c r="G86" s="1502"/>
      <c r="H86" s="1503">
        <v>0.25</v>
      </c>
      <c r="I86" s="1503">
        <f>H86</f>
        <v>0.25</v>
      </c>
      <c r="J86" s="1503">
        <f>I86</f>
        <v>0.25</v>
      </c>
      <c r="K86" s="1504">
        <f>J86</f>
        <v>0.25</v>
      </c>
      <c r="M86" s="474"/>
      <c r="N86" s="953"/>
      <c r="O86" s="953"/>
      <c r="P86" s="953"/>
      <c r="Q86" s="953"/>
      <c r="R86" s="953"/>
      <c r="S86" s="953"/>
      <c r="T86" s="953"/>
      <c r="U86" s="578"/>
    </row>
    <row r="87" spans="1:21">
      <c r="A87" s="286"/>
      <c r="B87" s="223"/>
      <c r="C87" s="616" t="s">
        <v>656</v>
      </c>
      <c r="D87" s="616"/>
      <c r="E87" s="616"/>
      <c r="F87" s="1205">
        <v>0</v>
      </c>
      <c r="G87" s="1205">
        <v>0</v>
      </c>
      <c r="H87" s="1088">
        <f>'10. T5 KASSABUDGET '!$AD28*('5. E1 VERKSAMHETSKOSTN.'!F13+'5. E1 VERKSAMHETSKOSTN.'!F14+'5. E1 VERKSAMHETSKOSTN.'!F17/12+'5. E1 VERKSAMHETSKOSTN.'!F22/12+'5. E1 VERKSAMHETSKOSTN.'!F24/12+'5. E1 VERKSAMHETSKOSTN.'!F28/12)</f>
        <v>112.03516666666668</v>
      </c>
      <c r="I87" s="1088">
        <f>'10. T5 KASSABUDGET '!$AD28*('5. E1 VERKSAMHETSKOSTN.'!H13+'5. E1 VERKSAMHETSKOSTN.'!H14+'5. E1 VERKSAMHETSKOSTN.'!H17/12+'5. E1 VERKSAMHETSKOSTN.'!H22/12+'5. E1 VERKSAMHETSKOSTN.'!H24/12+'5. E1 VERKSAMHETSKOSTN.'!H28/12)</f>
        <v>115.39622166666666</v>
      </c>
      <c r="J87" s="1088">
        <f>'10. T5 KASSABUDGET '!$AD28*('5. E1 VERKSAMHETSKOSTN.'!J13+'5. E1 VERKSAMHETSKOSTN.'!J14+'5. E1 VERKSAMHETSKOSTN.'!J17/12+'5. E1 VERKSAMHETSKOSTN.'!J22/12+'5. E1 VERKSAMHETSKOSTN.'!J24/12+'5. E1 VERKSAMHETSKOSTN.'!J28/12)</f>
        <v>118.85810831666669</v>
      </c>
      <c r="K87" s="1089">
        <f>'10. T5 KASSABUDGET '!$AD28*('5. E1 VERKSAMHETSKOSTN.'!L13+'5. E1 VERKSAMHETSKOSTN.'!L14+'5. E1 VERKSAMHETSKOSTN.'!L17/12+'5. E1 VERKSAMHETSKOSTN.'!L22/12+'5. E1 VERKSAMHETSKOSTN.'!L24/12+'5. E1 VERKSAMHETSKOSTN.'!L28/12)</f>
        <v>122.42385156616666</v>
      </c>
      <c r="M87" s="474"/>
      <c r="N87" s="953"/>
      <c r="O87" s="953"/>
      <c r="P87" s="953"/>
      <c r="Q87" s="953"/>
      <c r="R87" s="953"/>
      <c r="S87" s="953"/>
      <c r="T87" s="953"/>
      <c r="U87" s="578"/>
    </row>
    <row r="88" spans="1:21">
      <c r="A88"/>
      <c r="B88" s="223"/>
      <c r="C88" s="2053" t="s">
        <v>657</v>
      </c>
      <c r="D88" s="2053"/>
      <c r="E88" s="2053"/>
      <c r="F88" s="1205">
        <v>0</v>
      </c>
      <c r="G88" s="1205">
        <v>0</v>
      </c>
      <c r="H88" s="1088">
        <f>IF('2. &amp; 7. T2  RESULTATB.'!I11=0,0,'2. &amp; 7. T2  RESULTATB.'!I11*'3. &amp; 8. T3 BALANS'!H89)</f>
        <v>0</v>
      </c>
      <c r="I88" s="1088">
        <f>IF('2. &amp; 7. T2  RESULTATB.'!K11=0,0,'2. &amp; 7. T2  RESULTATB.'!K11*'3. &amp; 8. T3 BALANS'!I89)</f>
        <v>0</v>
      </c>
      <c r="J88" s="1088">
        <f>IF('2. &amp; 7. T2  RESULTATB.'!M11=0,0,'2. &amp; 7. T2  RESULTATB.'!M11*'3. &amp; 8. T3 BALANS'!J89)</f>
        <v>0</v>
      </c>
      <c r="K88" s="900">
        <f>IF('2. &amp; 7. T2  RESULTATB.'!O11=0,0,'2. &amp; 7. T2  RESULTATB.'!O11*'3. &amp; 8. T3 BALANS'!K89)</f>
        <v>0</v>
      </c>
      <c r="M88" s="474"/>
      <c r="N88" s="953"/>
      <c r="O88" s="953"/>
      <c r="P88" s="953"/>
      <c r="Q88" s="953"/>
      <c r="R88" s="953"/>
      <c r="S88" s="953"/>
      <c r="T88" s="953"/>
      <c r="U88" s="578"/>
    </row>
    <row r="89" spans="1:21">
      <c r="A89" s="6"/>
      <c r="B89" s="223"/>
      <c r="C89" s="2068" t="s">
        <v>658</v>
      </c>
      <c r="D89" s="2069"/>
      <c r="E89" s="2070"/>
      <c r="F89" s="1113">
        <f>IF('2. &amp; 7. T2  RESULTATB.'!E11=0,0,F88/'2. &amp; 7. T2  RESULTATB.'!E11)</f>
        <v>0</v>
      </c>
      <c r="G89" s="1113">
        <f>IF('2. &amp; 7. T2  RESULTATB.'!G11=0,0,G88/'2. &amp; 7. T2  RESULTATB.'!G11)</f>
        <v>0</v>
      </c>
      <c r="H89" s="1124">
        <f t="shared" ref="H89:K90" si="15">G89</f>
        <v>0</v>
      </c>
      <c r="I89" s="1124">
        <f t="shared" si="15"/>
        <v>0</v>
      </c>
      <c r="J89" s="1124">
        <f t="shared" si="15"/>
        <v>0</v>
      </c>
      <c r="K89" s="1125">
        <f t="shared" si="15"/>
        <v>0</v>
      </c>
      <c r="M89" s="474"/>
      <c r="N89" s="953"/>
      <c r="O89" s="953"/>
      <c r="P89" s="953"/>
      <c r="Q89" s="953"/>
      <c r="R89" s="953"/>
      <c r="S89" s="953"/>
      <c r="T89" s="953"/>
      <c r="U89" s="578"/>
    </row>
    <row r="90" spans="1:21">
      <c r="A90" s="286"/>
      <c r="B90" s="223"/>
      <c r="C90" s="2053" t="s">
        <v>659</v>
      </c>
      <c r="D90" s="2053"/>
      <c r="E90" s="2053"/>
      <c r="F90" s="1205">
        <v>0</v>
      </c>
      <c r="G90" s="1205">
        <v>0</v>
      </c>
      <c r="H90" s="778">
        <f t="shared" si="15"/>
        <v>0</v>
      </c>
      <c r="I90" s="778">
        <f t="shared" si="15"/>
        <v>0</v>
      </c>
      <c r="J90" s="778">
        <f t="shared" si="15"/>
        <v>0</v>
      </c>
      <c r="K90" s="1169">
        <f t="shared" si="15"/>
        <v>0</v>
      </c>
      <c r="M90" s="474"/>
      <c r="N90" s="953"/>
      <c r="O90" s="953"/>
      <c r="P90" s="953"/>
      <c r="Q90" s="953"/>
      <c r="R90" s="953"/>
      <c r="S90" s="953"/>
      <c r="T90" s="953"/>
      <c r="U90" s="578"/>
    </row>
    <row r="91" spans="1:21" s="1" customFormat="1">
      <c r="A91" s="41"/>
      <c r="B91" s="223" t="s">
        <v>0</v>
      </c>
      <c r="C91" s="256" t="s">
        <v>298</v>
      </c>
      <c r="D91" s="262"/>
      <c r="E91" s="451"/>
      <c r="F91" s="1206">
        <f t="shared" ref="F91:K91" si="16">F93+F92+F94</f>
        <v>0</v>
      </c>
      <c r="G91" s="1206">
        <f t="shared" si="16"/>
        <v>5</v>
      </c>
      <c r="H91" s="1206">
        <f t="shared" si="16"/>
        <v>11376</v>
      </c>
      <c r="I91" s="1206">
        <f t="shared" si="16"/>
        <v>11717.279999999999</v>
      </c>
      <c r="J91" s="1206">
        <f t="shared" si="16"/>
        <v>12068.7984</v>
      </c>
      <c r="K91" s="1207">
        <f t="shared" si="16"/>
        <v>12430.862351999998</v>
      </c>
      <c r="M91" s="474"/>
      <c r="N91" s="953"/>
      <c r="O91" s="953"/>
      <c r="P91" s="953"/>
      <c r="Q91" s="953"/>
      <c r="R91" s="953"/>
      <c r="S91" s="953"/>
      <c r="T91" s="953"/>
      <c r="U91" s="578"/>
    </row>
    <row r="92" spans="1:21" s="1" customFormat="1">
      <c r="A92" s="286"/>
      <c r="B92" s="223"/>
      <c r="C92" s="2053" t="s">
        <v>660</v>
      </c>
      <c r="D92" s="2053"/>
      <c r="E92" s="2053"/>
      <c r="F92" s="774">
        <v>0</v>
      </c>
      <c r="G92" s="774">
        <v>5</v>
      </c>
      <c r="H92" s="778">
        <v>0</v>
      </c>
      <c r="I92" s="778"/>
      <c r="J92" s="778"/>
      <c r="K92" s="1169"/>
      <c r="M92" s="474"/>
      <c r="N92" s="953"/>
      <c r="O92" s="953"/>
      <c r="P92" s="953"/>
      <c r="Q92" s="953"/>
      <c r="R92" s="953"/>
      <c r="S92" s="953"/>
      <c r="T92" s="953"/>
      <c r="U92" s="578"/>
    </row>
    <row r="93" spans="1:21" s="1" customFormat="1">
      <c r="A93" s="6"/>
      <c r="B93" s="223"/>
      <c r="C93" s="2057" t="s">
        <v>661</v>
      </c>
      <c r="D93" s="2057"/>
      <c r="E93" s="2057"/>
      <c r="F93" s="776">
        <v>0</v>
      </c>
      <c r="G93" s="776">
        <v>0</v>
      </c>
      <c r="H93" s="774">
        <f>IF('5. E1 VERKSAMHETSKOSTN.'!F15&lt;12.5,+'5. E1 VERKSAMHETSKOSTN.'!F12*10%,'5. E1 VERKSAMHETSKOSTN.'!F12*14.4%)+IF('5. E1 VERKSAMHETSKOSTN.'!F21&lt;12.5,'5. E1 VERKSAMHETSKOSTN.'!F17*10%,'5. E1 VERKSAMHETSKOSTN.'!F17*14.4%)+IF('5. E1 VERKSAMHETSKOSTN.'!F27&lt;12.5,'5. E1 VERKSAMHETSKOSTN.'!F24*10%,'5. E1 VERKSAMHETSKOSTN.'!F24*14.4%)</f>
        <v>9480</v>
      </c>
      <c r="I93" s="774">
        <f>IF('5. E1 VERKSAMHETSKOSTN.'!H15&lt;12.5,+'5. E1 VERKSAMHETSKOSTN.'!H12*10%,'5. E1 VERKSAMHETSKOSTN.'!H12*14.4%)+IF('5. E1 VERKSAMHETSKOSTN.'!H21&lt;12.5,'5. E1 VERKSAMHETSKOSTN.'!H17*10%,'5. E1 VERKSAMHETSKOSTN.'!H17*14.4%)+IF('5. E1 VERKSAMHETSKOSTN.'!H27&lt;12.5,'5. E1 VERKSAMHETSKOSTN.'!H24*10%,'5. E1 VERKSAMHETSKOSTN.'!H24*14.4%)</f>
        <v>9764.4</v>
      </c>
      <c r="J93" s="774">
        <f>IF('5. E1 VERKSAMHETSKOSTN.'!J15&lt;12.5,+'5. E1 VERKSAMHETSKOSTN.'!J12*10%,'5. E1 VERKSAMHETSKOSTN.'!J12*14.4%)+IF('5. E1 VERKSAMHETSKOSTN.'!J21&lt;12.5,'5. E1 VERKSAMHETSKOSTN.'!J17*10%,'5. E1 VERKSAMHETSKOSTN.'!J17*14.4%)+IF('5. E1 VERKSAMHETSKOSTN.'!J27&lt;12.5,'5. E1 VERKSAMHETSKOSTN.'!J24*10%,'5. E1 VERKSAMHETSKOSTN.'!J24*14.4%)</f>
        <v>10057.332</v>
      </c>
      <c r="K93" s="1169">
        <f>IF('5. E1 VERKSAMHETSKOSTN.'!L15&lt;12.5,+'5. E1 VERKSAMHETSKOSTN.'!L12*10%,'5. E1 VERKSAMHETSKOSTN.'!L12*14.4%)+IF('5. E1 VERKSAMHETSKOSTN.'!L21&lt;12.5,'5. E1 VERKSAMHETSKOSTN.'!L17*10%,'5. E1 VERKSAMHETSKOSTN.'!L17*14.4%)+IF('5. E1 VERKSAMHETSKOSTN.'!L27&lt;12.5,'5. E1 VERKSAMHETSKOSTN.'!L24*10%,'5. E1 VERKSAMHETSKOSTN.'!L24*14.4%)</f>
        <v>10359.051959999999</v>
      </c>
      <c r="M93" s="474"/>
      <c r="N93" s="953"/>
      <c r="O93" s="953"/>
      <c r="P93" s="953"/>
      <c r="Q93" s="953"/>
      <c r="R93" s="953"/>
      <c r="S93" s="953"/>
      <c r="T93" s="953"/>
      <c r="U93" s="578"/>
    </row>
    <row r="94" spans="1:21" s="1" customFormat="1">
      <c r="A94" s="41"/>
      <c r="B94" s="223"/>
      <c r="C94" s="256" t="s">
        <v>662</v>
      </c>
      <c r="D94" s="262"/>
      <c r="E94" s="409"/>
      <c r="F94" s="774">
        <v>0</v>
      </c>
      <c r="G94" s="774">
        <v>0</v>
      </c>
      <c r="H94" s="1088">
        <f>H93*H95</f>
        <v>1896</v>
      </c>
      <c r="I94" s="1088">
        <f>I93*I95</f>
        <v>1952.88</v>
      </c>
      <c r="J94" s="1088">
        <f>J93*J95</f>
        <v>2011.4664000000002</v>
      </c>
      <c r="K94" s="900">
        <f>K93*K95</f>
        <v>2071.8103919999999</v>
      </c>
      <c r="M94" s="474"/>
      <c r="N94" s="953"/>
      <c r="O94" s="953"/>
      <c r="P94" s="953"/>
      <c r="Q94" s="953"/>
      <c r="R94" s="953"/>
      <c r="S94" s="953"/>
      <c r="T94" s="953"/>
      <c r="U94" s="578"/>
    </row>
    <row r="95" spans="1:21" s="1" customFormat="1">
      <c r="A95" s="286"/>
      <c r="B95" s="223"/>
      <c r="C95" s="2065" t="s">
        <v>663</v>
      </c>
      <c r="D95" s="2066"/>
      <c r="E95" s="2067"/>
      <c r="F95" s="1122">
        <f>IF(F93=0,0,F94/F93)</f>
        <v>0</v>
      </c>
      <c r="G95" s="1122">
        <f>IF(G93=0,0,G94/G93)</f>
        <v>0</v>
      </c>
      <c r="H95" s="1383">
        <v>0.2</v>
      </c>
      <c r="I95" s="1383">
        <f>H95</f>
        <v>0.2</v>
      </c>
      <c r="J95" s="1383">
        <f>I95</f>
        <v>0.2</v>
      </c>
      <c r="K95" s="1384">
        <f>J95</f>
        <v>0.2</v>
      </c>
      <c r="M95" s="474"/>
      <c r="N95" s="953"/>
      <c r="O95" s="953"/>
      <c r="P95" s="953"/>
      <c r="Q95" s="953"/>
      <c r="R95" s="953"/>
      <c r="S95" s="953"/>
      <c r="T95" s="953"/>
      <c r="U95" s="578"/>
    </row>
    <row r="96" spans="1:21" ht="12.9" thickBot="1">
      <c r="A96" s="286"/>
      <c r="B96" s="410"/>
      <c r="C96" s="411" t="s">
        <v>299</v>
      </c>
      <c r="D96" s="412"/>
      <c r="E96" s="413"/>
      <c r="F96" s="1379">
        <v>0</v>
      </c>
      <c r="G96" s="1379">
        <v>0</v>
      </c>
      <c r="H96" s="1379">
        <f>'9. T4 FINANSIERINGSB. '!H58</f>
        <v>0</v>
      </c>
      <c r="I96" s="1379">
        <f>'9. T4 FINANSIERINGSB. '!I58</f>
        <v>0</v>
      </c>
      <c r="J96" s="1380">
        <f>'9. T4 FINANSIERINGSB. '!J58</f>
        <v>0</v>
      </c>
      <c r="K96" s="1381">
        <f>'9. T4 FINANSIERINGSB. '!K58</f>
        <v>0</v>
      </c>
      <c r="M96" s="761"/>
      <c r="N96" s="579"/>
      <c r="O96" s="579"/>
      <c r="P96" s="579"/>
      <c r="Q96" s="579"/>
      <c r="R96" s="579"/>
      <c r="S96" s="579"/>
      <c r="T96" s="579"/>
      <c r="U96" s="581"/>
    </row>
    <row r="97" spans="1:21" ht="6" customHeight="1" thickBot="1">
      <c r="A97" s="6"/>
      <c r="B97" s="298"/>
      <c r="C97" s="299"/>
      <c r="D97" s="300"/>
      <c r="E97" s="301"/>
      <c r="F97" s="1208"/>
      <c r="G97" s="1208"/>
      <c r="H97" s="1208"/>
      <c r="I97" s="1208"/>
      <c r="J97" s="1208"/>
      <c r="K97" s="1208"/>
      <c r="L97" s="140"/>
      <c r="M97" s="140"/>
      <c r="N97" s="140"/>
      <c r="O97" s="140"/>
      <c r="P97" s="140"/>
      <c r="Q97" s="140"/>
      <c r="R97" s="140"/>
      <c r="S97" s="140"/>
      <c r="T97" s="140"/>
      <c r="U97" s="140"/>
    </row>
    <row r="98" spans="1:21" ht="12.9" thickBot="1">
      <c r="B98" s="302"/>
      <c r="C98" s="2048" t="s">
        <v>300</v>
      </c>
      <c r="D98" s="2048"/>
      <c r="E98" s="2048"/>
      <c r="F98" s="1191">
        <f t="shared" ref="F98:K98" si="17">F56+F62+F66+F67+F75</f>
        <v>0</v>
      </c>
      <c r="G98" s="1191">
        <f t="shared" si="17"/>
        <v>21927</v>
      </c>
      <c r="H98" s="1191">
        <f>H56+H62+H66+H67+H75</f>
        <v>230532.02033268596</v>
      </c>
      <c r="I98" s="1191">
        <f t="shared" si="17"/>
        <v>227752.64475812644</v>
      </c>
      <c r="J98" s="1191">
        <f t="shared" si="17"/>
        <v>252986.99275409235</v>
      </c>
      <c r="K98" s="1192">
        <f t="shared" si="17"/>
        <v>278645.69351629203</v>
      </c>
      <c r="L98" s="140"/>
      <c r="M98" s="251" t="str">
        <f>IF(I51&lt;&gt;I98,"KONTROLLERA BALANSENS SLUTSUMMORNA!",IF(H51&lt;&gt;H98,"KONTROLLERA BALANSENS SLUTSUMMORNA!",IF(G51&lt;&gt;G98,"KONTROLLERA BALANSENS SLUTSUMMORNA!",IF(J51&lt;&gt;J98,"KONTROLLERA BALANSENS SLUTSUMMORNA!",IF(F51&lt;&gt;F98,"KONTROLLERA BALANSENS SLUTSUMMORNA",IF(K51&lt;&gt;K98,"KONTROLLERA BALANSENS SLUTSUMMORNA",""))))))</f>
        <v/>
      </c>
      <c r="N98" s="140"/>
      <c r="O98" s="140"/>
      <c r="P98" s="140"/>
      <c r="Q98" s="140"/>
      <c r="R98" s="140"/>
      <c r="S98" s="140"/>
      <c r="T98" s="140"/>
      <c r="U98" s="140"/>
    </row>
    <row r="99" spans="1:21">
      <c r="B99" s="303"/>
      <c r="C99" s="304"/>
      <c r="D99" s="628"/>
      <c r="E99" s="305"/>
      <c r="F99" s="305"/>
      <c r="G99" s="306"/>
      <c r="H99" s="306"/>
      <c r="I99" s="306"/>
      <c r="J99" s="306"/>
      <c r="K99" s="306"/>
      <c r="L99" s="140"/>
      <c r="N99" s="140"/>
      <c r="O99" s="140"/>
      <c r="P99" s="140"/>
      <c r="Q99" s="140"/>
      <c r="R99" s="140"/>
      <c r="S99" s="140"/>
      <c r="T99" s="140"/>
      <c r="U99" s="140"/>
    </row>
    <row r="100" spans="1:21">
      <c r="C100" s="140"/>
      <c r="D100" s="140"/>
      <c r="E100" s="140"/>
      <c r="F100" s="140"/>
      <c r="G100" s="140"/>
      <c r="H100" s="140"/>
      <c r="I100" s="140"/>
      <c r="K100" s="308" t="str">
        <f>STARTSIDAN!J5</f>
        <v xml:space="preserve">Tjänsten erbjuds av: </v>
      </c>
      <c r="L100" s="140"/>
      <c r="M100" s="140"/>
      <c r="N100" s="140"/>
      <c r="O100" s="140"/>
      <c r="P100" s="140"/>
      <c r="Q100" s="140"/>
      <c r="R100" s="140"/>
      <c r="S100" s="140"/>
      <c r="T100" s="140"/>
      <c r="U100" s="140"/>
    </row>
    <row r="101" spans="1:21">
      <c r="B101" s="307" t="str">
        <f>'1. T1 INVESTERINGSP. '!B64</f>
        <v>FT22 Det aktiva företagets resultatplan</v>
      </c>
      <c r="H101" s="4"/>
      <c r="I101" s="4"/>
      <c r="J101" s="4"/>
      <c r="K101" s="699" t="str">
        <f>STARTSIDAN!H7</f>
        <v>Dynamo Närpes och Kristinestads näringslivscentral Ab</v>
      </c>
    </row>
    <row r="102" spans="1:21">
      <c r="B102" s="77" t="str">
        <f>'1. T1 INVESTERINGSP. '!B65</f>
        <v xml:space="preserve"> </v>
      </c>
    </row>
    <row r="104" spans="1:21">
      <c r="B104" s="493" t="s">
        <v>238</v>
      </c>
    </row>
    <row r="105" spans="1:21">
      <c r="B105" s="51" t="s">
        <v>239</v>
      </c>
    </row>
    <row r="106" spans="1:21">
      <c r="B106" s="51" t="s">
        <v>240</v>
      </c>
    </row>
  </sheetData>
  <sheetProtection algorithmName="SHA-512" hashValue="S1TA4ylwU/VxInHgHsdxiq5LFGMaXNE9hvJFHTQx24aJ4d0pTLcuff7KINXl7grHtQTObxqFc1chFGj7chWo7A==" saltValue="Zn5bEgkreTwA605t6Wenww==" spinCount="100000" sheet="1" objects="1" scenarios="1"/>
  <mergeCells count="48">
    <mergeCell ref="C85:E85"/>
    <mergeCell ref="B54:E54"/>
    <mergeCell ref="C45:E45"/>
    <mergeCell ref="H6:K6"/>
    <mergeCell ref="C47:D47"/>
    <mergeCell ref="C46:D46"/>
    <mergeCell ref="D12:E12"/>
    <mergeCell ref="C43:E43"/>
    <mergeCell ref="C40:E40"/>
    <mergeCell ref="B10:C12"/>
    <mergeCell ref="B8:E8"/>
    <mergeCell ref="C21:D21"/>
    <mergeCell ref="C16:D16"/>
    <mergeCell ref="C24:D24"/>
    <mergeCell ref="C28:D28"/>
    <mergeCell ref="C32:D32"/>
    <mergeCell ref="C86:E86"/>
    <mergeCell ref="C65:E65"/>
    <mergeCell ref="C82:E82"/>
    <mergeCell ref="M15:P15"/>
    <mergeCell ref="C68:E68"/>
    <mergeCell ref="C69:E69"/>
    <mergeCell ref="C74:E74"/>
    <mergeCell ref="C48:D48"/>
    <mergeCell ref="M31:P31"/>
    <mergeCell ref="M27:P27"/>
    <mergeCell ref="C59:E59"/>
    <mergeCell ref="C64:E64"/>
    <mergeCell ref="M23:P23"/>
    <mergeCell ref="C30:E30"/>
    <mergeCell ref="C67:E67"/>
    <mergeCell ref="C61:E61"/>
    <mergeCell ref="M3:N3"/>
    <mergeCell ref="C98:E98"/>
    <mergeCell ref="C75:E75"/>
    <mergeCell ref="B51:E51"/>
    <mergeCell ref="C79:E79"/>
    <mergeCell ref="C88:E88"/>
    <mergeCell ref="C90:E90"/>
    <mergeCell ref="C66:E66"/>
    <mergeCell ref="C76:E76"/>
    <mergeCell ref="M10:U10"/>
    <mergeCell ref="M53:U53"/>
    <mergeCell ref="C84:E84"/>
    <mergeCell ref="C93:E93"/>
    <mergeCell ref="C92:E92"/>
    <mergeCell ref="C95:E95"/>
    <mergeCell ref="C89:E89"/>
  </mergeCells>
  <printOptions horizontalCentered="1"/>
  <pageMargins left="0.23622047244094491" right="0.23622047244094491" top="0.74803149606299213" bottom="0.74803149606299213" header="0.31496062992125984" footer="0.31496062992125984"/>
  <pageSetup paperSize="9" scale="90" orientation="portrait" verticalDpi="4" r:id="rId1"/>
  <rowBreaks count="1" manualBreakCount="1">
    <brk id="52" min="1" max="19" man="1"/>
  </rowBreaks>
  <colBreaks count="1" manualBreakCount="1">
    <brk id="11" min="1" max="101"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71">
    <tabColor rgb="FF33CC33"/>
  </sheetPr>
  <dimension ref="A1:S64"/>
  <sheetViews>
    <sheetView showGridLines="0" showZeros="0" defaultGridColor="0" colorId="55" zoomScaleNormal="100" workbookViewId="0">
      <selection activeCell="B12" sqref="B12"/>
    </sheetView>
  </sheetViews>
  <sheetFormatPr defaultRowHeight="12.45"/>
  <cols>
    <col min="1" max="1" width="10.53515625" customWidth="1"/>
    <col min="2" max="2" width="29.4609375" customWidth="1"/>
    <col min="3" max="3" width="9.4609375" customWidth="1"/>
    <col min="4" max="4" width="6.07421875" customWidth="1"/>
    <col min="5" max="5" width="6.4609375" customWidth="1"/>
    <col min="6" max="17" width="8.84375" customWidth="1"/>
    <col min="18" max="18" width="6.3046875" customWidth="1"/>
  </cols>
  <sheetData>
    <row r="1" spans="1:17" ht="15.45">
      <c r="A1" s="486"/>
      <c r="B1" s="89"/>
      <c r="C1" s="1"/>
      <c r="D1" s="1"/>
      <c r="F1" s="2145">
        <f>'3. &amp; 8. T3 BALANS'!D12</f>
        <v>0</v>
      </c>
      <c r="G1" s="2145"/>
      <c r="H1" s="1"/>
      <c r="I1" s="1"/>
      <c r="J1" s="1"/>
      <c r="K1" s="1"/>
      <c r="L1" s="1"/>
      <c r="M1" s="1"/>
      <c r="N1" s="60" t="s">
        <v>0</v>
      </c>
      <c r="O1" s="1"/>
      <c r="P1" s="1"/>
      <c r="Q1" s="60" t="s">
        <v>0</v>
      </c>
    </row>
    <row r="2" spans="1:17" ht="14.15">
      <c r="A2" s="486"/>
      <c r="B2" s="658" t="s">
        <v>381</v>
      </c>
      <c r="C2" s="1"/>
      <c r="D2" s="1"/>
      <c r="E2" s="899" t="s">
        <v>169</v>
      </c>
      <c r="F2" s="1"/>
      <c r="G2" s="1"/>
      <c r="H2" s="1"/>
      <c r="I2" s="1"/>
      <c r="J2" s="1"/>
      <c r="K2" s="1"/>
      <c r="L2" s="1"/>
      <c r="M2" s="1"/>
      <c r="N2" s="1"/>
      <c r="O2" s="1"/>
      <c r="P2" s="1"/>
      <c r="Q2" s="1"/>
    </row>
    <row r="3" spans="1:17">
      <c r="A3" s="487"/>
      <c r="B3" s="1"/>
      <c r="C3" s="1"/>
      <c r="D3" s="1"/>
      <c r="E3" s="2099">
        <f>'2. &amp; 7. T2  RESULTATB.'!G3</f>
        <v>0</v>
      </c>
      <c r="F3" s="2099"/>
      <c r="G3" s="1"/>
      <c r="H3" s="1"/>
      <c r="I3" s="1"/>
      <c r="J3" s="1"/>
      <c r="K3" s="1"/>
      <c r="L3" s="1"/>
      <c r="M3" s="1"/>
      <c r="N3" s="1"/>
      <c r="O3" s="1"/>
      <c r="P3" s="1"/>
      <c r="Q3" s="1"/>
    </row>
    <row r="4" spans="1:17" s="51" customFormat="1" ht="16.5" customHeight="1">
      <c r="B4" s="44" t="s">
        <v>171</v>
      </c>
      <c r="C4" s="44"/>
      <c r="D4" s="44"/>
      <c r="E4" s="2100" t="s">
        <v>172</v>
      </c>
      <c r="F4" s="2100"/>
      <c r="G4" s="44"/>
      <c r="H4" s="47" t="s">
        <v>173</v>
      </c>
      <c r="I4" s="44"/>
      <c r="J4" s="44"/>
      <c r="K4" s="44"/>
      <c r="L4" s="44" t="s">
        <v>0</v>
      </c>
      <c r="M4" s="44"/>
      <c r="N4" s="2101" t="s">
        <v>175</v>
      </c>
      <c r="O4" s="2101"/>
      <c r="P4" s="2101"/>
      <c r="Q4" s="2101"/>
    </row>
    <row r="5" spans="1:17">
      <c r="B5" s="2149" t="str">
        <f>'2. &amp; 7. T2  RESULTATB.'!B5:D5</f>
        <v>Exempel Dagis Ab</v>
      </c>
      <c r="C5" s="2149"/>
      <c r="D5" s="2149"/>
      <c r="E5" s="2139">
        <f>'2. &amp; 7. T2  RESULTATB.'!G5</f>
        <v>0</v>
      </c>
      <c r="F5" s="2139"/>
      <c r="G5" s="2139"/>
      <c r="H5" s="612">
        <f>'2. &amp; 7. T2  RESULTATB.'!K5</f>
        <v>0</v>
      </c>
      <c r="I5" s="612"/>
      <c r="J5" s="612"/>
      <c r="K5" s="612"/>
      <c r="L5" s="612"/>
      <c r="M5" s="612"/>
      <c r="N5" s="2150">
        <f>'2. &amp; 7. T2  RESULTATB.'!N5</f>
        <v>0</v>
      </c>
      <c r="O5" s="2150"/>
      <c r="P5" s="2150"/>
      <c r="Q5" s="2150"/>
    </row>
    <row r="6" spans="1:17" ht="9" customHeight="1" thickBot="1">
      <c r="B6" s="611"/>
      <c r="C6" s="611"/>
      <c r="D6" s="611"/>
      <c r="E6" s="611"/>
      <c r="F6" s="611"/>
      <c r="G6" s="611"/>
      <c r="H6" s="611"/>
      <c r="I6" s="611"/>
      <c r="J6" s="611"/>
      <c r="K6" s="611"/>
      <c r="L6" s="611"/>
      <c r="M6" s="611"/>
      <c r="N6" s="611"/>
      <c r="O6" s="611"/>
      <c r="P6" s="611"/>
      <c r="Q6" s="611"/>
    </row>
    <row r="7" spans="1:17" ht="18" customHeight="1" thickBot="1">
      <c r="B7" s="2104" t="s">
        <v>382</v>
      </c>
      <c r="C7" s="2151" t="s">
        <v>384</v>
      </c>
      <c r="D7" s="2151" t="s">
        <v>385</v>
      </c>
      <c r="E7" s="2108" t="s">
        <v>386</v>
      </c>
      <c r="F7" s="1333" t="s">
        <v>749</v>
      </c>
      <c r="G7" s="528"/>
      <c r="H7" s="528"/>
      <c r="I7" s="528"/>
      <c r="J7" s="528"/>
      <c r="K7" s="528"/>
      <c r="L7" s="528"/>
      <c r="M7" s="528"/>
      <c r="N7" s="529"/>
      <c r="O7" s="528"/>
      <c r="P7" s="528"/>
      <c r="Q7" s="529"/>
    </row>
    <row r="8" spans="1:17" ht="12.75" customHeight="1">
      <c r="A8" s="52"/>
      <c r="B8" s="2105"/>
      <c r="C8" s="2152"/>
      <c r="D8" s="2152"/>
      <c r="E8" s="2109"/>
      <c r="F8" s="2135" t="s">
        <v>179</v>
      </c>
      <c r="G8" s="2136"/>
      <c r="H8" s="2137"/>
      <c r="I8" s="2135" t="s">
        <v>180</v>
      </c>
      <c r="J8" s="2136"/>
      <c r="K8" s="2137"/>
      <c r="L8" s="2135" t="s">
        <v>181</v>
      </c>
      <c r="M8" s="2136"/>
      <c r="N8" s="2137"/>
      <c r="O8" s="2135" t="s">
        <v>182</v>
      </c>
      <c r="P8" s="2136"/>
      <c r="Q8" s="2137"/>
    </row>
    <row r="9" spans="1:17" ht="12.75" customHeight="1">
      <c r="B9" s="1746" t="s">
        <v>383</v>
      </c>
      <c r="C9" s="2152"/>
      <c r="D9" s="2152"/>
      <c r="E9" s="2109"/>
      <c r="F9" s="2119">
        <f>'2. &amp; 7. T2  RESULTATB.'!I8</f>
        <v>2023</v>
      </c>
      <c r="G9" s="2120"/>
      <c r="H9" s="2121"/>
      <c r="I9" s="2119">
        <f>'2. &amp; 7. T2  RESULTATB.'!K8</f>
        <v>2024</v>
      </c>
      <c r="J9" s="2120"/>
      <c r="K9" s="2121"/>
      <c r="L9" s="2119">
        <f>'2. &amp; 7. T2  RESULTATB.'!M8</f>
        <v>2025</v>
      </c>
      <c r="M9" s="2120"/>
      <c r="N9" s="2121"/>
      <c r="O9" s="2146">
        <f>'2. &amp; 7. T2  RESULTATB.'!O8</f>
        <v>2026</v>
      </c>
      <c r="P9" s="2120"/>
      <c r="Q9" s="2121"/>
    </row>
    <row r="10" spans="1:17" ht="12.75" customHeight="1" thickBot="1">
      <c r="A10" s="52"/>
      <c r="B10" s="718" t="s">
        <v>207</v>
      </c>
      <c r="C10" s="2153"/>
      <c r="D10" s="2153"/>
      <c r="E10" s="2110"/>
      <c r="F10" s="2140" t="s">
        <v>387</v>
      </c>
      <c r="G10" s="2141"/>
      <c r="H10" s="1330" t="s">
        <v>388</v>
      </c>
      <c r="I10" s="2140" t="s">
        <v>387</v>
      </c>
      <c r="J10" s="2141"/>
      <c r="K10" s="1330" t="s">
        <v>388</v>
      </c>
      <c r="L10" s="2140" t="s">
        <v>387</v>
      </c>
      <c r="M10" s="2141"/>
      <c r="N10" s="1330" t="s">
        <v>388</v>
      </c>
      <c r="O10" s="2140" t="s">
        <v>387</v>
      </c>
      <c r="P10" s="2141"/>
      <c r="Q10" s="1330" t="s">
        <v>388</v>
      </c>
    </row>
    <row r="11" spans="1:17" s="52" customFormat="1" ht="11.4" customHeight="1">
      <c r="A11" s="2"/>
      <c r="B11" s="892" t="s">
        <v>707</v>
      </c>
      <c r="C11" s="793">
        <v>0</v>
      </c>
      <c r="D11" s="530">
        <v>0</v>
      </c>
      <c r="E11" s="794">
        <v>0</v>
      </c>
      <c r="F11" s="2142">
        <v>0</v>
      </c>
      <c r="G11" s="2143"/>
      <c r="H11" s="795">
        <f t="shared" ref="H11:H17" si="0">IF(C11=0,0,($C11+F11/4)*$E11)</f>
        <v>0</v>
      </c>
      <c r="I11" s="2113">
        <f t="shared" ref="I11:I17" si="1">IF(D11=0,0,IF(D11&lt;2,C11,(C11)/(D11-1)))</f>
        <v>0</v>
      </c>
      <c r="J11" s="2114"/>
      <c r="K11" s="796">
        <f t="shared" ref="K11:K17" si="2">IF(I11=0,0,($C11-I11/4)*$E11)</f>
        <v>0</v>
      </c>
      <c r="L11" s="2113">
        <f t="shared" ref="L11:L17" si="3">IF(D11=0,0,IF($C11-$I11&gt;I11,I11,$C11-$I11))</f>
        <v>0</v>
      </c>
      <c r="M11" s="2114"/>
      <c r="N11" s="796">
        <f t="shared" ref="N11:N17" si="4">IF(L11=0,0,($C11-I11-L11/4)*$E11)</f>
        <v>0</v>
      </c>
      <c r="O11" s="2113">
        <f t="shared" ref="O11:O17" si="5">IF(D11=0,0,IF($C11-$I11-L11&gt;L11,L11,$C11-$I11-L11))</f>
        <v>0</v>
      </c>
      <c r="P11" s="2114"/>
      <c r="Q11" s="795">
        <f t="shared" ref="Q11:Q17" si="6">IF(O11=0,0,($C11-I11-L11-O11/4)*$E11)</f>
        <v>0</v>
      </c>
    </row>
    <row r="12" spans="1:17" s="52" customFormat="1" ht="11.4" customHeight="1">
      <c r="B12" s="893" t="s">
        <v>787</v>
      </c>
      <c r="C12" s="797">
        <v>745</v>
      </c>
      <c r="D12" s="531">
        <v>2</v>
      </c>
      <c r="E12" s="798">
        <v>4.2999999999999997E-2</v>
      </c>
      <c r="F12" s="2115">
        <v>8936</v>
      </c>
      <c r="G12" s="2116"/>
      <c r="H12" s="799">
        <f t="shared" si="0"/>
        <v>128.09699999999998</v>
      </c>
      <c r="I12" s="2111">
        <f t="shared" si="1"/>
        <v>745</v>
      </c>
      <c r="J12" s="2112"/>
      <c r="K12" s="799">
        <f t="shared" si="2"/>
        <v>24.026249999999997</v>
      </c>
      <c r="L12" s="2111">
        <f t="shared" si="3"/>
        <v>0</v>
      </c>
      <c r="M12" s="2112"/>
      <c r="N12" s="799">
        <f t="shared" si="4"/>
        <v>0</v>
      </c>
      <c r="O12" s="2111">
        <f t="shared" si="5"/>
        <v>0</v>
      </c>
      <c r="P12" s="2112"/>
      <c r="Q12" s="799">
        <f t="shared" si="6"/>
        <v>0</v>
      </c>
    </row>
    <row r="13" spans="1:17" s="52" customFormat="1" ht="11.4" customHeight="1">
      <c r="A13"/>
      <c r="B13" s="893">
        <v>0</v>
      </c>
      <c r="C13" s="797">
        <v>0</v>
      </c>
      <c r="D13" s="531">
        <v>0</v>
      </c>
      <c r="E13" s="798">
        <v>0</v>
      </c>
      <c r="F13" s="2115">
        <v>0</v>
      </c>
      <c r="G13" s="2116"/>
      <c r="H13" s="799">
        <f t="shared" si="0"/>
        <v>0</v>
      </c>
      <c r="I13" s="2111">
        <f t="shared" si="1"/>
        <v>0</v>
      </c>
      <c r="J13" s="2112"/>
      <c r="K13" s="799">
        <f t="shared" si="2"/>
        <v>0</v>
      </c>
      <c r="L13" s="2111">
        <f t="shared" si="3"/>
        <v>0</v>
      </c>
      <c r="M13" s="2112"/>
      <c r="N13" s="799">
        <f t="shared" si="4"/>
        <v>0</v>
      </c>
      <c r="O13" s="2111">
        <f t="shared" si="5"/>
        <v>0</v>
      </c>
      <c r="P13" s="2112"/>
      <c r="Q13" s="799">
        <f t="shared" si="6"/>
        <v>0</v>
      </c>
    </row>
    <row r="14" spans="1:17" s="52" customFormat="1" ht="11.4" customHeight="1">
      <c r="B14" s="893" t="s">
        <v>0</v>
      </c>
      <c r="C14" s="797"/>
      <c r="D14" s="531"/>
      <c r="E14" s="798"/>
      <c r="F14" s="2115">
        <v>0</v>
      </c>
      <c r="G14" s="2116"/>
      <c r="H14" s="799">
        <f t="shared" si="0"/>
        <v>0</v>
      </c>
      <c r="I14" s="2111">
        <f t="shared" si="1"/>
        <v>0</v>
      </c>
      <c r="J14" s="2112"/>
      <c r="K14" s="799">
        <f t="shared" si="2"/>
        <v>0</v>
      </c>
      <c r="L14" s="2111">
        <f t="shared" si="3"/>
        <v>0</v>
      </c>
      <c r="M14" s="2112"/>
      <c r="N14" s="799">
        <f t="shared" si="4"/>
        <v>0</v>
      </c>
      <c r="O14" s="2111">
        <f t="shared" si="5"/>
        <v>0</v>
      </c>
      <c r="P14" s="2112"/>
      <c r="Q14" s="799">
        <f t="shared" si="6"/>
        <v>0</v>
      </c>
    </row>
    <row r="15" spans="1:17" s="52" customFormat="1" ht="11.4" customHeight="1">
      <c r="A15"/>
      <c r="B15" s="893">
        <v>0</v>
      </c>
      <c r="C15" s="797">
        <v>0</v>
      </c>
      <c r="D15" s="531">
        <v>0</v>
      </c>
      <c r="E15" s="798">
        <v>0</v>
      </c>
      <c r="F15" s="2115">
        <v>0</v>
      </c>
      <c r="G15" s="2116"/>
      <c r="H15" s="799">
        <f t="shared" si="0"/>
        <v>0</v>
      </c>
      <c r="I15" s="2111">
        <f t="shared" si="1"/>
        <v>0</v>
      </c>
      <c r="J15" s="2112"/>
      <c r="K15" s="799">
        <f t="shared" si="2"/>
        <v>0</v>
      </c>
      <c r="L15" s="2111">
        <f t="shared" si="3"/>
        <v>0</v>
      </c>
      <c r="M15" s="2112"/>
      <c r="N15" s="799">
        <f t="shared" si="4"/>
        <v>0</v>
      </c>
      <c r="O15" s="2111">
        <f t="shared" si="5"/>
        <v>0</v>
      </c>
      <c r="P15" s="2112"/>
      <c r="Q15" s="799">
        <f t="shared" si="6"/>
        <v>0</v>
      </c>
    </row>
    <row r="16" spans="1:17" s="52" customFormat="1" ht="11.4" customHeight="1">
      <c r="A16"/>
      <c r="B16" s="893"/>
      <c r="C16" s="797">
        <v>0</v>
      </c>
      <c r="D16" s="531">
        <v>0</v>
      </c>
      <c r="E16" s="798">
        <v>0</v>
      </c>
      <c r="F16" s="2115">
        <v>0</v>
      </c>
      <c r="G16" s="2116"/>
      <c r="H16" s="799">
        <f t="shared" si="0"/>
        <v>0</v>
      </c>
      <c r="I16" s="2111">
        <f t="shared" si="1"/>
        <v>0</v>
      </c>
      <c r="J16" s="2112"/>
      <c r="K16" s="799">
        <f t="shared" ref="K16" si="7">IF(I16=0,0,($C16-I16/4)*$E16)</f>
        <v>0</v>
      </c>
      <c r="L16" s="2111">
        <f t="shared" si="3"/>
        <v>0</v>
      </c>
      <c r="M16" s="2112"/>
      <c r="N16" s="799">
        <f t="shared" ref="N16" si="8">IF(L16=0,0,($C16-I16-L16/4)*$E16)</f>
        <v>0</v>
      </c>
      <c r="O16" s="2111">
        <f t="shared" si="5"/>
        <v>0</v>
      </c>
      <c r="P16" s="2112"/>
      <c r="Q16" s="799">
        <f t="shared" ref="Q16" si="9">IF(O16=0,0,($C16-I16-L16-O16/4)*$E16)</f>
        <v>0</v>
      </c>
    </row>
    <row r="17" spans="1:19" s="52" customFormat="1" ht="11.4" customHeight="1" thickBot="1">
      <c r="B17" s="894" t="s">
        <v>675</v>
      </c>
      <c r="C17" s="800">
        <v>0</v>
      </c>
      <c r="D17" s="723">
        <v>0</v>
      </c>
      <c r="E17" s="801">
        <v>0</v>
      </c>
      <c r="F17" s="2147">
        <v>0</v>
      </c>
      <c r="G17" s="2148"/>
      <c r="H17" s="802">
        <f t="shared" si="0"/>
        <v>0</v>
      </c>
      <c r="I17" s="2124">
        <f t="shared" si="1"/>
        <v>0</v>
      </c>
      <c r="J17" s="2125"/>
      <c r="K17" s="802">
        <f t="shared" si="2"/>
        <v>0</v>
      </c>
      <c r="L17" s="2124">
        <f t="shared" si="3"/>
        <v>0</v>
      </c>
      <c r="M17" s="2125"/>
      <c r="N17" s="802">
        <f t="shared" si="4"/>
        <v>0</v>
      </c>
      <c r="O17" s="2124">
        <f t="shared" si="5"/>
        <v>0</v>
      </c>
      <c r="P17" s="2125"/>
      <c r="Q17" s="802">
        <f t="shared" si="6"/>
        <v>0</v>
      </c>
    </row>
    <row r="18" spans="1:19" s="52" customFormat="1" ht="12.75" customHeight="1" thickTop="1" thickBot="1">
      <c r="B18" s="722" t="s">
        <v>676</v>
      </c>
      <c r="C18" s="803">
        <f>SUM(C11:C17)</f>
        <v>745</v>
      </c>
      <c r="D18" s="918"/>
      <c r="E18" s="919"/>
      <c r="F18" s="2126">
        <f>SUM(F11:F17)</f>
        <v>8936</v>
      </c>
      <c r="G18" s="2127"/>
      <c r="H18" s="804">
        <f>SUM(H11:H17)</f>
        <v>128.09699999999998</v>
      </c>
      <c r="I18" s="2126">
        <f>SUM(I11:I17)</f>
        <v>745</v>
      </c>
      <c r="J18" s="2127"/>
      <c r="K18" s="804">
        <f>SUM(K11:K17)</f>
        <v>24.026249999999997</v>
      </c>
      <c r="L18" s="2126">
        <f>SUM(L11:L17)</f>
        <v>0</v>
      </c>
      <c r="M18" s="2127"/>
      <c r="N18" s="804">
        <f>SUM(N11:N17)</f>
        <v>0</v>
      </c>
      <c r="O18" s="2126">
        <f>SUM(O11:O17)</f>
        <v>0</v>
      </c>
      <c r="P18" s="2127"/>
      <c r="Q18" s="804">
        <f>SUM(Q11:Q17)</f>
        <v>0</v>
      </c>
      <c r="R18" s="790" t="str">
        <f>IF(C18='3. &amp; 8. T3 BALANS'!G68,"","KONTROLLERA, ATT CELLEN C18 = 'T3 BALANSG68!")</f>
        <v/>
      </c>
    </row>
    <row r="19" spans="1:19" s="52" customFormat="1" ht="3.75" customHeight="1" thickBot="1">
      <c r="B19" s="539"/>
      <c r="C19" s="805"/>
      <c r="D19" s="806"/>
      <c r="E19" s="806"/>
      <c r="F19" s="805"/>
      <c r="G19" s="805"/>
      <c r="H19" s="805"/>
      <c r="I19" s="805"/>
      <c r="J19" s="805"/>
      <c r="K19" s="805"/>
      <c r="L19" s="805"/>
      <c r="M19" s="805"/>
      <c r="N19" s="805"/>
      <c r="O19" s="805"/>
      <c r="P19" s="805"/>
      <c r="Q19" s="805"/>
      <c r="R19" s="753"/>
    </row>
    <row r="20" spans="1:19" s="52" customFormat="1" ht="12.75" customHeight="1" thickBot="1">
      <c r="B20" s="725" t="s">
        <v>677</v>
      </c>
      <c r="C20" s="891">
        <f>'3. &amp; 8. T3 BALANS'!G73</f>
        <v>0</v>
      </c>
      <c r="D20" s="895">
        <v>0</v>
      </c>
      <c r="E20" s="807">
        <v>0</v>
      </c>
      <c r="F20" s="2131">
        <f>'3. &amp; 8. T3 BALANS'!G83</f>
        <v>0</v>
      </c>
      <c r="G20" s="2132"/>
      <c r="H20" s="808">
        <f>'AT2 Lainat, sotum, alv-osto'!O39</f>
        <v>0</v>
      </c>
      <c r="I20" s="2133">
        <f>'AT2 Lainat, sotum, alv-osto'!R39</f>
        <v>0</v>
      </c>
      <c r="J20" s="2134"/>
      <c r="K20" s="808">
        <f>'AT2 Lainat, sotum, alv-osto'!U39</f>
        <v>0</v>
      </c>
      <c r="L20" s="2133">
        <f>'AT2 Lainat, sotum, alv-osto'!X39</f>
        <v>0</v>
      </c>
      <c r="M20" s="2134"/>
      <c r="N20" s="808">
        <f>'AT2 Lainat, sotum, alv-osto'!AA39</f>
        <v>0</v>
      </c>
      <c r="O20" s="2133">
        <f>'AT2 Lainat, sotum, alv-osto'!AD39</f>
        <v>0</v>
      </c>
      <c r="P20" s="2134"/>
      <c r="Q20" s="808">
        <f>'AT2 Lainat, sotum, alv-osto'!AG39</f>
        <v>0</v>
      </c>
      <c r="R20" s="790" t="str">
        <f>IF(F18='3. &amp; 8. T3 BALANS'!G77,"","KONTROLLERA, ATT CELLEN F18 = 'T3 BALANSG77!")</f>
        <v/>
      </c>
    </row>
    <row r="21" spans="1:19" s="52" customFormat="1" ht="6" customHeight="1" thickBot="1">
      <c r="D21" s="532"/>
      <c r="E21" s="532"/>
      <c r="F21" s="791"/>
      <c r="G21" s="533"/>
      <c r="H21" s="533"/>
      <c r="I21" s="533"/>
      <c r="J21" s="792"/>
      <c r="L21" s="533"/>
      <c r="M21" s="533"/>
      <c r="N21" s="533"/>
      <c r="O21" s="752"/>
      <c r="P21" s="533"/>
      <c r="Q21" s="533"/>
    </row>
    <row r="22" spans="1:19" s="52" customFormat="1" ht="13.5" customHeight="1">
      <c r="A22"/>
      <c r="B22" s="2122" t="s">
        <v>390</v>
      </c>
      <c r="C22" s="2128" t="s">
        <v>391</v>
      </c>
      <c r="D22" s="2128" t="s">
        <v>392</v>
      </c>
      <c r="E22" s="2108" t="s">
        <v>386</v>
      </c>
      <c r="F22" s="2117" t="str">
        <f>'1. T1 INVESTERINGSP. '!D15</f>
        <v>Prognos 1</v>
      </c>
      <c r="G22" s="2118"/>
      <c r="H22" s="2118"/>
      <c r="I22" s="2117" t="str">
        <f>I8</f>
        <v>Prognos 2</v>
      </c>
      <c r="J22" s="2118"/>
      <c r="K22" s="2118"/>
      <c r="L22" s="2117" t="str">
        <f>L8</f>
        <v>Prognos 3</v>
      </c>
      <c r="M22" s="2118"/>
      <c r="N22" s="2144"/>
      <c r="O22" s="2135" t="s">
        <v>182</v>
      </c>
      <c r="P22" s="2136"/>
      <c r="Q22" s="2137"/>
    </row>
    <row r="23" spans="1:19" s="52" customFormat="1" ht="13.5" customHeight="1">
      <c r="B23" s="2123"/>
      <c r="C23" s="2129"/>
      <c r="D23" s="2129"/>
      <c r="E23" s="2109"/>
      <c r="F23" s="2106">
        <f>F9</f>
        <v>2023</v>
      </c>
      <c r="G23" s="2107"/>
      <c r="H23" s="2107"/>
      <c r="I23" s="2106">
        <f>I9</f>
        <v>2024</v>
      </c>
      <c r="J23" s="2107"/>
      <c r="K23" s="2107"/>
      <c r="L23" s="2106">
        <f>L9</f>
        <v>2025</v>
      </c>
      <c r="M23" s="2107"/>
      <c r="N23" s="2138"/>
      <c r="O23" s="2107">
        <f>O9</f>
        <v>2026</v>
      </c>
      <c r="P23" s="2107"/>
      <c r="Q23" s="2138"/>
    </row>
    <row r="24" spans="1:19" s="52" customFormat="1" ht="13.5" customHeight="1" thickBot="1">
      <c r="A24"/>
      <c r="B24" s="718" t="s">
        <v>207</v>
      </c>
      <c r="C24" s="2130"/>
      <c r="D24" s="2130"/>
      <c r="E24" s="2110"/>
      <c r="F24" s="718" t="s">
        <v>393</v>
      </c>
      <c r="G24" s="1331" t="s">
        <v>394</v>
      </c>
      <c r="H24" s="1332" t="s">
        <v>388</v>
      </c>
      <c r="I24" s="718" t="s">
        <v>393</v>
      </c>
      <c r="J24" s="1331" t="s">
        <v>394</v>
      </c>
      <c r="K24" s="1332" t="s">
        <v>388</v>
      </c>
      <c r="L24" s="718" t="s">
        <v>393</v>
      </c>
      <c r="M24" s="1331" t="s">
        <v>394</v>
      </c>
      <c r="N24" s="1332" t="s">
        <v>388</v>
      </c>
      <c r="O24" s="718" t="s">
        <v>393</v>
      </c>
      <c r="P24" s="1331" t="s">
        <v>394</v>
      </c>
      <c r="Q24" s="1332" t="s">
        <v>388</v>
      </c>
    </row>
    <row r="25" spans="1:19" s="52" customFormat="1" ht="11.4" customHeight="1">
      <c r="B25" s="726" t="s">
        <v>678</v>
      </c>
      <c r="C25" s="714"/>
      <c r="D25" s="715"/>
      <c r="E25" s="715"/>
      <c r="F25" s="716"/>
      <c r="G25" s="716"/>
      <c r="H25" s="716"/>
      <c r="I25" s="716"/>
      <c r="J25" s="716"/>
      <c r="K25" s="716"/>
      <c r="L25" s="716"/>
      <c r="M25" s="716"/>
      <c r="N25" s="716"/>
      <c r="O25" s="716"/>
      <c r="P25" s="716"/>
      <c r="Q25" s="717"/>
    </row>
    <row r="26" spans="1:19" s="52" customFormat="1" ht="11.4" customHeight="1">
      <c r="B26" s="757" t="s">
        <v>786</v>
      </c>
      <c r="C26" s="793">
        <v>80000</v>
      </c>
      <c r="D26" s="534">
        <v>7</v>
      </c>
      <c r="E26" s="809">
        <v>0.05</v>
      </c>
      <c r="F26" s="810">
        <f>C26</f>
        <v>80000</v>
      </c>
      <c r="G26" s="811">
        <v>8000</v>
      </c>
      <c r="H26" s="812">
        <f>'AT2 Lainat, sotum, alv-osto'!O15</f>
        <v>3900</v>
      </c>
      <c r="I26" s="813">
        <v>0</v>
      </c>
      <c r="J26" s="811">
        <f>G26</f>
        <v>8000</v>
      </c>
      <c r="K26" s="812">
        <f>'AT2 Lainat, sotum, alv-osto'!U15</f>
        <v>3500</v>
      </c>
      <c r="L26" s="813">
        <v>0</v>
      </c>
      <c r="M26" s="811">
        <f t="shared" ref="M26:M32" si="10">J26</f>
        <v>8000</v>
      </c>
      <c r="N26" s="814">
        <f>'AT2 Lainat, sotum, alv-osto'!AA15</f>
        <v>3100</v>
      </c>
      <c r="O26" s="813">
        <v>0</v>
      </c>
      <c r="P26" s="811">
        <f t="shared" ref="P26:P36" si="11">M26</f>
        <v>8000</v>
      </c>
      <c r="Q26" s="814">
        <f>'AT2 Lainat, sotum, alv-osto'!AG15</f>
        <v>2700</v>
      </c>
      <c r="S26" s="105"/>
    </row>
    <row r="27" spans="1:19" s="52" customFormat="1" ht="11.4" customHeight="1">
      <c r="A27" s="2"/>
      <c r="B27" s="757" t="s">
        <v>779</v>
      </c>
      <c r="C27" s="793">
        <v>150000</v>
      </c>
      <c r="D27" s="534">
        <v>10</v>
      </c>
      <c r="E27" s="809">
        <v>3.2000000000000001E-2</v>
      </c>
      <c r="F27" s="810">
        <f>C27</f>
        <v>150000</v>
      </c>
      <c r="G27" s="811">
        <v>0</v>
      </c>
      <c r="H27" s="812">
        <f>'AT2 Lainat, sotum, alv-osto'!O16</f>
        <v>4800</v>
      </c>
      <c r="I27" s="813"/>
      <c r="J27" s="811">
        <v>16670</v>
      </c>
      <c r="K27" s="812">
        <f>'AT2 Lainat, sotum, alv-osto'!U16</f>
        <v>4666.6400000000003</v>
      </c>
      <c r="L27" s="813"/>
      <c r="M27" s="811">
        <f t="shared" si="10"/>
        <v>16670</v>
      </c>
      <c r="N27" s="814">
        <f>'AT2 Lainat, sotum, alv-osto'!AA16</f>
        <v>4133.2</v>
      </c>
      <c r="O27" s="813"/>
      <c r="P27" s="811">
        <f>M27</f>
        <v>16670</v>
      </c>
      <c r="Q27" s="814">
        <f>'AT2 Lainat, sotum, alv-osto'!AG16</f>
        <v>3599.76</v>
      </c>
      <c r="S27" s="105"/>
    </row>
    <row r="28" spans="1:19" s="52" customFormat="1" ht="11.4" customHeight="1" thickBot="1">
      <c r="B28" s="757"/>
      <c r="C28" s="793">
        <v>0</v>
      </c>
      <c r="D28" s="534">
        <v>0</v>
      </c>
      <c r="E28" s="809">
        <v>0</v>
      </c>
      <c r="F28" s="810">
        <f>C28</f>
        <v>0</v>
      </c>
      <c r="G28" s="811">
        <v>0</v>
      </c>
      <c r="H28" s="812">
        <f>'AT2 Lainat, sotum, alv-osto'!O17</f>
        <v>0</v>
      </c>
      <c r="I28" s="813"/>
      <c r="J28" s="811">
        <f>G28</f>
        <v>0</v>
      </c>
      <c r="K28" s="812">
        <f>'AT2 Lainat, sotum, alv-osto'!U17</f>
        <v>0</v>
      </c>
      <c r="L28" s="813"/>
      <c r="M28" s="811">
        <f t="shared" si="10"/>
        <v>0</v>
      </c>
      <c r="N28" s="814">
        <f>'AT2 Lainat, sotum, alv-osto'!AA17</f>
        <v>0</v>
      </c>
      <c r="O28" s="813"/>
      <c r="P28" s="811">
        <f>M28</f>
        <v>0</v>
      </c>
      <c r="Q28" s="814">
        <f>'AT2 Lainat, sotum, alv-osto'!AG17</f>
        <v>0</v>
      </c>
      <c r="S28" s="105"/>
    </row>
    <row r="29" spans="1:19" s="52" customFormat="1" ht="11.4" customHeight="1">
      <c r="A29"/>
      <c r="B29" s="726" t="s">
        <v>679</v>
      </c>
      <c r="C29" s="714"/>
      <c r="D29" s="715"/>
      <c r="E29" s="715"/>
      <c r="F29" s="716"/>
      <c r="G29" s="716"/>
      <c r="H29" s="716"/>
      <c r="I29" s="716"/>
      <c r="J29" s="716"/>
      <c r="K29" s="716"/>
      <c r="L29" s="716"/>
      <c r="M29" s="716"/>
      <c r="N29" s="716"/>
      <c r="O29" s="716"/>
      <c r="P29" s="716"/>
      <c r="Q29" s="717"/>
    </row>
    <row r="30" spans="1:19" s="52" customFormat="1" ht="11.4" customHeight="1">
      <c r="B30" s="757" t="s">
        <v>707</v>
      </c>
      <c r="C30" s="793">
        <v>0</v>
      </c>
      <c r="D30" s="534">
        <v>0</v>
      </c>
      <c r="E30" s="809">
        <v>0</v>
      </c>
      <c r="F30" s="813"/>
      <c r="G30" s="815"/>
      <c r="H30" s="812"/>
      <c r="I30" s="810">
        <f>C30</f>
        <v>0</v>
      </c>
      <c r="J30" s="811">
        <v>0</v>
      </c>
      <c r="K30" s="812">
        <f>'AT2 Lainat, sotum, alv-osto'!U18</f>
        <v>0</v>
      </c>
      <c r="L30" s="813"/>
      <c r="M30" s="811">
        <f t="shared" si="10"/>
        <v>0</v>
      </c>
      <c r="N30" s="814">
        <f>'AT2 Lainat, sotum, alv-osto'!AA18</f>
        <v>0</v>
      </c>
      <c r="O30" s="813"/>
      <c r="P30" s="811">
        <f t="shared" si="11"/>
        <v>0</v>
      </c>
      <c r="Q30" s="814">
        <f>'AT2 Lainat, sotum, alv-osto'!AG18</f>
        <v>0</v>
      </c>
      <c r="S30" s="105"/>
    </row>
    <row r="31" spans="1:19" s="52" customFormat="1" ht="11.4" customHeight="1">
      <c r="A31"/>
      <c r="B31" s="757"/>
      <c r="C31" s="793">
        <v>0</v>
      </c>
      <c r="D31" s="534">
        <v>0</v>
      </c>
      <c r="E31" s="809">
        <v>0</v>
      </c>
      <c r="F31" s="813"/>
      <c r="G31" s="815"/>
      <c r="H31" s="812"/>
      <c r="I31" s="810">
        <f>C31</f>
        <v>0</v>
      </c>
      <c r="J31" s="811">
        <v>0</v>
      </c>
      <c r="K31" s="812">
        <f>'AT2 Lainat, sotum, alv-osto'!U19</f>
        <v>0</v>
      </c>
      <c r="L31" s="813"/>
      <c r="M31" s="811">
        <f t="shared" si="10"/>
        <v>0</v>
      </c>
      <c r="N31" s="814">
        <f>'AT2 Lainat, sotum, alv-osto'!AA19</f>
        <v>0</v>
      </c>
      <c r="O31" s="813"/>
      <c r="P31" s="811">
        <f t="shared" si="11"/>
        <v>0</v>
      </c>
      <c r="Q31" s="814">
        <f>'AT2 Lainat, sotum, alv-osto'!AG19</f>
        <v>0</v>
      </c>
      <c r="S31" s="105"/>
    </row>
    <row r="32" spans="1:19" s="52" customFormat="1" ht="11.4" customHeight="1" thickBot="1">
      <c r="B32" s="757"/>
      <c r="C32" s="793">
        <v>0</v>
      </c>
      <c r="D32" s="534">
        <v>0</v>
      </c>
      <c r="E32" s="809">
        <v>0</v>
      </c>
      <c r="F32" s="813"/>
      <c r="G32" s="815"/>
      <c r="H32" s="812"/>
      <c r="I32" s="810">
        <f>C32</f>
        <v>0</v>
      </c>
      <c r="J32" s="811">
        <v>0</v>
      </c>
      <c r="K32" s="812">
        <f>'AT2 Lainat, sotum, alv-osto'!U20</f>
        <v>0</v>
      </c>
      <c r="L32" s="813"/>
      <c r="M32" s="811">
        <f t="shared" si="10"/>
        <v>0</v>
      </c>
      <c r="N32" s="814">
        <f>'AT2 Lainat, sotum, alv-osto'!AA20</f>
        <v>0</v>
      </c>
      <c r="O32" s="813"/>
      <c r="P32" s="811">
        <f t="shared" si="11"/>
        <v>0</v>
      </c>
      <c r="Q32" s="814">
        <f>'AT2 Lainat, sotum, alv-osto'!AG20</f>
        <v>0</v>
      </c>
      <c r="S32" s="105"/>
    </row>
    <row r="33" spans="1:19" s="52" customFormat="1" ht="11.4" customHeight="1">
      <c r="A33" s="2"/>
      <c r="B33" s="726" t="s">
        <v>680</v>
      </c>
      <c r="C33" s="714"/>
      <c r="D33" s="715"/>
      <c r="E33" s="715"/>
      <c r="F33" s="716"/>
      <c r="G33" s="716"/>
      <c r="H33" s="716"/>
      <c r="I33" s="716"/>
      <c r="J33" s="716"/>
      <c r="K33" s="716"/>
      <c r="L33" s="716"/>
      <c r="M33" s="716"/>
      <c r="N33" s="716"/>
      <c r="O33" s="716"/>
      <c r="P33" s="716"/>
      <c r="Q33" s="717"/>
    </row>
    <row r="34" spans="1:19" s="52" customFormat="1" ht="11.4" customHeight="1">
      <c r="B34" s="757" t="s">
        <v>707</v>
      </c>
      <c r="C34" s="793">
        <v>0</v>
      </c>
      <c r="D34" s="534">
        <v>0</v>
      </c>
      <c r="E34" s="809">
        <v>0</v>
      </c>
      <c r="F34" s="813"/>
      <c r="G34" s="815"/>
      <c r="H34" s="799"/>
      <c r="I34" s="813"/>
      <c r="J34" s="815"/>
      <c r="K34" s="812"/>
      <c r="L34" s="810">
        <f>C34</f>
        <v>0</v>
      </c>
      <c r="M34" s="811">
        <v>0</v>
      </c>
      <c r="N34" s="814">
        <f>'AT2 Lainat, sotum, alv-osto'!AA21</f>
        <v>0</v>
      </c>
      <c r="O34" s="813"/>
      <c r="P34" s="811">
        <f t="shared" si="11"/>
        <v>0</v>
      </c>
      <c r="Q34" s="814">
        <f>'AT2 Lainat, sotum, alv-osto'!AG21</f>
        <v>0</v>
      </c>
      <c r="S34" s="105"/>
    </row>
    <row r="35" spans="1:19" s="52" customFormat="1" ht="11.4" customHeight="1">
      <c r="A35"/>
      <c r="B35" s="757"/>
      <c r="C35" s="793">
        <v>0</v>
      </c>
      <c r="D35" s="534">
        <v>0</v>
      </c>
      <c r="E35" s="809">
        <v>0</v>
      </c>
      <c r="F35" s="813"/>
      <c r="G35" s="815"/>
      <c r="H35" s="814"/>
      <c r="I35" s="813"/>
      <c r="J35" s="815"/>
      <c r="K35" s="812"/>
      <c r="L35" s="810">
        <f>C35</f>
        <v>0</v>
      </c>
      <c r="M35" s="811">
        <v>0</v>
      </c>
      <c r="N35" s="814">
        <f>'AT2 Lainat, sotum, alv-osto'!AA22</f>
        <v>0</v>
      </c>
      <c r="O35" s="813"/>
      <c r="P35" s="811">
        <f t="shared" si="11"/>
        <v>0</v>
      </c>
      <c r="Q35" s="814">
        <f>'AT2 Lainat, sotum, alv-osto'!AG22</f>
        <v>0</v>
      </c>
      <c r="S35" s="105"/>
    </row>
    <row r="36" spans="1:19" s="52" customFormat="1" ht="11.4" customHeight="1" thickBot="1">
      <c r="B36" s="757"/>
      <c r="C36" s="793">
        <v>0</v>
      </c>
      <c r="D36" s="534">
        <v>0</v>
      </c>
      <c r="E36" s="809">
        <v>0</v>
      </c>
      <c r="F36" s="813">
        <v>0</v>
      </c>
      <c r="G36" s="816"/>
      <c r="H36" s="873"/>
      <c r="I36" s="813"/>
      <c r="J36" s="815"/>
      <c r="K36" s="812"/>
      <c r="L36" s="810">
        <f>C36</f>
        <v>0</v>
      </c>
      <c r="M36" s="811">
        <v>0</v>
      </c>
      <c r="N36" s="814">
        <f>'AT2 Lainat, sotum, alv-osto'!AA23</f>
        <v>0</v>
      </c>
      <c r="O36" s="813">
        <v>0</v>
      </c>
      <c r="P36" s="811">
        <f t="shared" si="11"/>
        <v>0</v>
      </c>
      <c r="Q36" s="814">
        <f>'AT2 Lainat, sotum, alv-osto'!AG23</f>
        <v>0</v>
      </c>
      <c r="S36" s="105"/>
    </row>
    <row r="37" spans="1:19" s="52" customFormat="1" ht="11.4" customHeight="1">
      <c r="A37"/>
      <c r="B37" s="726" t="s">
        <v>681</v>
      </c>
      <c r="C37" s="714"/>
      <c r="D37" s="715"/>
      <c r="E37" s="715"/>
      <c r="F37" s="716"/>
      <c r="G37" s="716"/>
      <c r="H37" s="773"/>
      <c r="I37" s="716"/>
      <c r="J37" s="716"/>
      <c r="K37" s="716"/>
      <c r="L37" s="716"/>
      <c r="M37" s="716"/>
      <c r="N37" s="716"/>
      <c r="O37" s="716"/>
      <c r="P37" s="716"/>
      <c r="Q37" s="717"/>
    </row>
    <row r="38" spans="1:19" s="52" customFormat="1" ht="11.4" customHeight="1">
      <c r="B38" s="757" t="s">
        <v>707</v>
      </c>
      <c r="C38" s="797">
        <v>0</v>
      </c>
      <c r="D38" s="535">
        <v>0</v>
      </c>
      <c r="E38" s="818">
        <v>0</v>
      </c>
      <c r="F38" s="813">
        <v>0</v>
      </c>
      <c r="G38" s="816"/>
      <c r="H38" s="817"/>
      <c r="I38" s="813">
        <v>0</v>
      </c>
      <c r="J38" s="816">
        <v>0</v>
      </c>
      <c r="K38" s="812"/>
      <c r="L38" s="813">
        <v>0</v>
      </c>
      <c r="M38" s="815"/>
      <c r="N38" s="814">
        <v>0</v>
      </c>
      <c r="O38" s="819">
        <f>C38</f>
        <v>0</v>
      </c>
      <c r="P38" s="811">
        <v>0</v>
      </c>
      <c r="Q38" s="814">
        <f>'AT2 Lainat, sotum, alv-osto'!AG24</f>
        <v>0</v>
      </c>
      <c r="S38" s="105"/>
    </row>
    <row r="39" spans="1:19" s="52" customFormat="1" ht="11.4" customHeight="1">
      <c r="A39" s="2"/>
      <c r="B39" s="758"/>
      <c r="C39" s="793">
        <v>0</v>
      </c>
      <c r="D39" s="534">
        <v>0</v>
      </c>
      <c r="E39" s="809">
        <v>0</v>
      </c>
      <c r="F39" s="820"/>
      <c r="G39" s="821"/>
      <c r="H39" s="822"/>
      <c r="I39" s="820"/>
      <c r="J39" s="821"/>
      <c r="K39" s="823"/>
      <c r="L39" s="820"/>
      <c r="M39" s="646"/>
      <c r="N39" s="796"/>
      <c r="O39" s="819">
        <f>C39</f>
        <v>0</v>
      </c>
      <c r="P39" s="811">
        <v>0</v>
      </c>
      <c r="Q39" s="814">
        <f>'AT2 Lainat, sotum, alv-osto'!AG25</f>
        <v>0</v>
      </c>
      <c r="S39" s="105"/>
    </row>
    <row r="40" spans="1:19" s="52" customFormat="1" ht="11.4" customHeight="1" thickBot="1">
      <c r="B40" s="759"/>
      <c r="C40" s="800">
        <v>0</v>
      </c>
      <c r="D40" s="536">
        <v>0</v>
      </c>
      <c r="E40" s="824">
        <v>0</v>
      </c>
      <c r="F40" s="825">
        <v>0</v>
      </c>
      <c r="G40" s="826"/>
      <c r="H40" s="827"/>
      <c r="I40" s="825">
        <v>0</v>
      </c>
      <c r="J40" s="826"/>
      <c r="K40" s="828"/>
      <c r="L40" s="825">
        <v>0</v>
      </c>
      <c r="M40" s="826"/>
      <c r="N40" s="802"/>
      <c r="O40" s="829">
        <f>C40</f>
        <v>0</v>
      </c>
      <c r="P40" s="830">
        <v>0</v>
      </c>
      <c r="Q40" s="802">
        <f>'AT2 Lainat, sotum, alv-osto'!AG26</f>
        <v>0</v>
      </c>
      <c r="S40" s="105"/>
    </row>
    <row r="41" spans="1:19" s="52" customFormat="1" ht="11.4" customHeight="1" thickTop="1" thickBot="1">
      <c r="A41"/>
      <c r="B41" s="724" t="s">
        <v>682</v>
      </c>
      <c r="C41" s="831">
        <f>SUM(C26:C40)</f>
        <v>230000</v>
      </c>
      <c r="D41" s="920"/>
      <c r="E41" s="920">
        <v>0</v>
      </c>
      <c r="F41" s="832">
        <f>SUM(F26:F40)</f>
        <v>230000</v>
      </c>
      <c r="G41" s="831">
        <f t="shared" ref="G41:N41" si="12">SUM(G26:G40)</f>
        <v>8000</v>
      </c>
      <c r="H41" s="833">
        <f>SUM(H26:H40)</f>
        <v>8700</v>
      </c>
      <c r="I41" s="832">
        <f t="shared" si="12"/>
        <v>0</v>
      </c>
      <c r="J41" s="833">
        <f t="shared" si="12"/>
        <v>24670</v>
      </c>
      <c r="K41" s="834">
        <f>SUM(K26:K40)</f>
        <v>8166.64</v>
      </c>
      <c r="L41" s="832">
        <f t="shared" si="12"/>
        <v>0</v>
      </c>
      <c r="M41" s="831">
        <f t="shared" si="12"/>
        <v>24670</v>
      </c>
      <c r="N41" s="834">
        <f t="shared" si="12"/>
        <v>7233.2</v>
      </c>
      <c r="O41" s="835">
        <f>SUM(O26:O40)</f>
        <v>0</v>
      </c>
      <c r="P41" s="831">
        <f>SUM(P26:P40)</f>
        <v>24670</v>
      </c>
      <c r="Q41" s="834">
        <f>SUM(Q26:Q40)</f>
        <v>6299.76</v>
      </c>
    </row>
    <row r="42" spans="1:19" s="52" customFormat="1" ht="4.5" customHeight="1" thickBot="1">
      <c r="B42" s="727"/>
      <c r="C42" s="728"/>
      <c r="D42" s="729"/>
      <c r="E42" s="730"/>
      <c r="F42" s="732"/>
      <c r="G42" s="731"/>
      <c r="H42" s="731"/>
      <c r="I42" s="732"/>
      <c r="J42" s="731"/>
      <c r="K42" s="732"/>
      <c r="L42" s="732"/>
      <c r="M42" s="731"/>
      <c r="N42" s="733"/>
      <c r="O42" s="731"/>
      <c r="P42" s="731"/>
      <c r="Q42" s="733"/>
      <c r="S42" s="105"/>
    </row>
    <row r="43" spans="1:19" s="52" customFormat="1" ht="12.65" customHeight="1" thickBot="1">
      <c r="B43" s="1747" t="s">
        <v>575</v>
      </c>
      <c r="C43" s="1748"/>
      <c r="D43" s="1749"/>
      <c r="E43" s="1749"/>
      <c r="F43" s="1748"/>
      <c r="G43" s="1748"/>
      <c r="H43" s="1748"/>
      <c r="I43" s="1748"/>
      <c r="J43" s="1748"/>
      <c r="K43" s="1750"/>
      <c r="L43" s="1748"/>
      <c r="M43" s="1748"/>
      <c r="N43" s="1748"/>
      <c r="O43" s="1748"/>
      <c r="P43" s="1748"/>
      <c r="Q43" s="1751"/>
    </row>
    <row r="44" spans="1:19" s="52" customFormat="1" ht="11.4" customHeight="1">
      <c r="A44"/>
      <c r="B44" s="760" t="s">
        <v>770</v>
      </c>
      <c r="C44" s="836">
        <v>0</v>
      </c>
      <c r="D44" s="537">
        <v>0</v>
      </c>
      <c r="E44" s="427">
        <v>0</v>
      </c>
      <c r="F44" s="870">
        <f>C44</f>
        <v>0</v>
      </c>
      <c r="G44" s="837">
        <f>'AT2 Lainat, sotum, alv-osto'!L43</f>
        <v>0</v>
      </c>
      <c r="H44" s="838">
        <f>'AT2 Lainat, sotum, alv-osto'!O43</f>
        <v>0</v>
      </c>
      <c r="I44" s="839"/>
      <c r="J44" s="837">
        <f>'AT2 Lainat, sotum, alv-osto'!R43</f>
        <v>0</v>
      </c>
      <c r="K44" s="840">
        <f>'AT2 Lainat, sotum, alv-osto'!U43</f>
        <v>0</v>
      </c>
      <c r="L44" s="841"/>
      <c r="M44" s="837">
        <f>'AT2 Lainat, sotum, alv-osto'!X43</f>
        <v>0</v>
      </c>
      <c r="N44" s="842">
        <f>'AT2 Lainat, sotum, alv-osto'!AA43</f>
        <v>0</v>
      </c>
      <c r="O44" s="843"/>
      <c r="P44" s="837">
        <f>'AT2 Lainat, sotum, alv-osto'!AD43</f>
        <v>0</v>
      </c>
      <c r="Q44" s="842">
        <f>'AT2 Lainat, sotum, alv-osto'!AG43</f>
        <v>0</v>
      </c>
      <c r="S44" s="105"/>
    </row>
    <row r="45" spans="1:19" s="52" customFormat="1" ht="11.4" customHeight="1">
      <c r="B45" s="760"/>
      <c r="C45" s="797"/>
      <c r="D45" s="535"/>
      <c r="E45" s="871">
        <v>0</v>
      </c>
      <c r="F45" s="922"/>
      <c r="G45" s="923"/>
      <c r="H45" s="924"/>
      <c r="I45" s="810">
        <f>C45</f>
        <v>0</v>
      </c>
      <c r="J45" s="844">
        <f>'AT2 Lainat, sotum, alv-osto'!R46</f>
        <v>0</v>
      </c>
      <c r="K45" s="814">
        <f>'AT2 Lainat, sotum, alv-osto'!U46</f>
        <v>0</v>
      </c>
      <c r="L45" s="845">
        <v>0</v>
      </c>
      <c r="M45" s="844">
        <f>'AT2 Lainat, sotum, alv-osto'!X46</f>
        <v>0</v>
      </c>
      <c r="N45" s="814">
        <f>'AT2 Lainat, sotum, alv-osto'!AA46</f>
        <v>0</v>
      </c>
      <c r="O45" s="846">
        <v>0</v>
      </c>
      <c r="P45" s="844">
        <f>IF(I45=0,0,'AT2 Lainat, sotum, alv-osto'!AD46)</f>
        <v>0</v>
      </c>
      <c r="Q45" s="814">
        <f>'AT2 Lainat, sotum, alv-osto'!AG46</f>
        <v>0</v>
      </c>
      <c r="S45" s="105"/>
    </row>
    <row r="46" spans="1:19" s="52" customFormat="1" ht="11.4" customHeight="1">
      <c r="A46" s="2"/>
      <c r="B46" s="760"/>
      <c r="C46" s="797">
        <v>0</v>
      </c>
      <c r="D46" s="535">
        <v>0</v>
      </c>
      <c r="E46" s="871">
        <v>0</v>
      </c>
      <c r="F46" s="925"/>
      <c r="G46" s="926"/>
      <c r="H46" s="927"/>
      <c r="I46" s="931"/>
      <c r="J46" s="932"/>
      <c r="K46" s="933"/>
      <c r="L46" s="766">
        <f>C46</f>
        <v>0</v>
      </c>
      <c r="M46" s="847">
        <f>'AT2 Lainat, sotum, alv-osto'!X49</f>
        <v>0</v>
      </c>
      <c r="N46" s="799">
        <f>'AT2 Lainat, sotum, alv-osto'!AA49</f>
        <v>0</v>
      </c>
      <c r="O46" s="848">
        <v>0</v>
      </c>
      <c r="P46" s="844">
        <f>IF(L46=0,0,'AT2 Lainat, sotum, alv-osto'!AD49)</f>
        <v>0</v>
      </c>
      <c r="Q46" s="814">
        <f>'AT2 Lainat, sotum, alv-osto'!AG49</f>
        <v>0</v>
      </c>
      <c r="S46" s="105"/>
    </row>
    <row r="47" spans="1:19" s="52" customFormat="1" ht="11.4" customHeight="1" thickBot="1">
      <c r="B47" s="1477"/>
      <c r="C47" s="800">
        <v>0</v>
      </c>
      <c r="D47" s="536">
        <v>0</v>
      </c>
      <c r="E47" s="872">
        <v>0</v>
      </c>
      <c r="F47" s="928"/>
      <c r="G47" s="929"/>
      <c r="H47" s="930"/>
      <c r="I47" s="934"/>
      <c r="J47" s="935"/>
      <c r="K47" s="936"/>
      <c r="L47" s="849"/>
      <c r="M47" s="850"/>
      <c r="N47" s="802"/>
      <c r="O47" s="829">
        <f>C47</f>
        <v>0</v>
      </c>
      <c r="P47" s="850">
        <f>IF(O47=0,0,'AT2 Lainat, sotum, alv-osto'!AD52)</f>
        <v>0</v>
      </c>
      <c r="Q47" s="802">
        <f>'AT2 Lainat, sotum, alv-osto'!AG52</f>
        <v>0</v>
      </c>
      <c r="S47" s="105"/>
    </row>
    <row r="48" spans="1:19" s="52" customFormat="1" ht="12.75" customHeight="1" thickTop="1" thickBot="1">
      <c r="A48"/>
      <c r="B48" s="538" t="s">
        <v>683</v>
      </c>
      <c r="C48" s="851">
        <f>SUM(C44:C47)</f>
        <v>0</v>
      </c>
      <c r="D48" s="942"/>
      <c r="E48" s="943"/>
      <c r="F48" s="852">
        <f t="shared" ref="F48:Q48" si="13">SUM(F44:F47)</f>
        <v>0</v>
      </c>
      <c r="G48" s="851">
        <f t="shared" si="13"/>
        <v>0</v>
      </c>
      <c r="H48" s="853">
        <f t="shared" si="13"/>
        <v>0</v>
      </c>
      <c r="I48" s="852">
        <f t="shared" si="13"/>
        <v>0</v>
      </c>
      <c r="J48" s="851">
        <f t="shared" si="13"/>
        <v>0</v>
      </c>
      <c r="K48" s="853">
        <f t="shared" si="13"/>
        <v>0</v>
      </c>
      <c r="L48" s="852">
        <f t="shared" si="13"/>
        <v>0</v>
      </c>
      <c r="M48" s="851">
        <f t="shared" si="13"/>
        <v>0</v>
      </c>
      <c r="N48" s="853">
        <f t="shared" si="13"/>
        <v>0</v>
      </c>
      <c r="O48" s="852">
        <f>SUM(O44:O47)</f>
        <v>0</v>
      </c>
      <c r="P48" s="854">
        <f t="shared" si="13"/>
        <v>0</v>
      </c>
      <c r="Q48" s="855">
        <f t="shared" si="13"/>
        <v>0</v>
      </c>
    </row>
    <row r="49" spans="1:17" s="52" customFormat="1" ht="3.65" customHeight="1" thickBot="1">
      <c r="A49"/>
      <c r="B49" s="539"/>
      <c r="C49" s="540"/>
      <c r="D49" s="541"/>
      <c r="E49" s="541"/>
      <c r="F49" s="540"/>
      <c r="G49" s="540"/>
      <c r="H49" s="540"/>
      <c r="I49" s="540"/>
      <c r="J49" s="540"/>
      <c r="K49" s="540"/>
      <c r="L49" s="540"/>
      <c r="M49" s="540"/>
      <c r="N49" s="540"/>
      <c r="O49" s="540"/>
      <c r="P49" s="540"/>
      <c r="Q49" s="540"/>
    </row>
    <row r="50" spans="1:17" s="76" customFormat="1" ht="12" customHeight="1" thickBot="1">
      <c r="A50"/>
      <c r="B50" s="724" t="s">
        <v>684</v>
      </c>
      <c r="C50" s="896">
        <f>'3. &amp; 8. T3 BALANS'!G78</f>
        <v>0</v>
      </c>
      <c r="D50" s="921"/>
      <c r="E50" s="557">
        <v>0</v>
      </c>
      <c r="F50" s="937"/>
      <c r="G50" s="938"/>
      <c r="H50" s="856">
        <v>0</v>
      </c>
      <c r="I50" s="939"/>
      <c r="J50" s="940"/>
      <c r="K50" s="856">
        <v>0</v>
      </c>
      <c r="L50" s="939"/>
      <c r="M50" s="940"/>
      <c r="N50" s="856">
        <v>0</v>
      </c>
      <c r="O50" s="939"/>
      <c r="P50" s="940"/>
      <c r="Q50" s="856">
        <v>0</v>
      </c>
    </row>
    <row r="51" spans="1:17" s="76" customFormat="1" ht="3.65" customHeight="1" thickBot="1">
      <c r="A51"/>
      <c r="B51" s="539"/>
      <c r="C51" s="542"/>
      <c r="D51" s="541"/>
      <c r="E51" s="539"/>
      <c r="F51" s="542"/>
      <c r="G51" s="542"/>
      <c r="H51" s="858"/>
      <c r="I51" s="858"/>
      <c r="J51" s="858"/>
      <c r="K51" s="858"/>
      <c r="L51" s="858"/>
      <c r="M51" s="858"/>
      <c r="N51" s="858"/>
      <c r="O51" s="858"/>
      <c r="P51" s="858"/>
      <c r="Q51" s="858"/>
    </row>
    <row r="52" spans="1:17" s="76" customFormat="1" ht="21.75" customHeight="1" thickBot="1">
      <c r="A52" s="52"/>
      <c r="B52" s="1410" t="s">
        <v>772</v>
      </c>
      <c r="C52" s="896">
        <f>'3. &amp; 8. T3 BALANS'!G74</f>
        <v>0</v>
      </c>
      <c r="D52" s="920"/>
      <c r="E52" s="876">
        <v>0</v>
      </c>
      <c r="F52" s="939"/>
      <c r="G52" s="940"/>
      <c r="H52" s="856">
        <v>0</v>
      </c>
      <c r="I52" s="939"/>
      <c r="J52" s="940"/>
      <c r="K52" s="856">
        <f>H52</f>
        <v>0</v>
      </c>
      <c r="L52" s="939"/>
      <c r="M52" s="940"/>
      <c r="N52" s="856">
        <f>K52</f>
        <v>0</v>
      </c>
      <c r="O52" s="939"/>
      <c r="P52" s="940"/>
      <c r="Q52" s="856">
        <f>N52</f>
        <v>0</v>
      </c>
    </row>
    <row r="53" spans="1:17" s="76" customFormat="1" ht="3.65" customHeight="1" thickBot="1">
      <c r="B53" s="539"/>
      <c r="C53" s="542"/>
      <c r="D53" s="541"/>
      <c r="E53" s="539"/>
      <c r="F53" s="542"/>
      <c r="G53" s="542"/>
      <c r="H53" s="858"/>
      <c r="I53" s="858"/>
      <c r="J53" s="858"/>
      <c r="K53" s="858"/>
      <c r="L53" s="858"/>
      <c r="M53" s="858"/>
      <c r="N53" s="858"/>
      <c r="O53" s="858"/>
      <c r="P53" s="858"/>
      <c r="Q53" s="858"/>
    </row>
    <row r="54" spans="1:17" s="76" customFormat="1" ht="12" customHeight="1" thickBot="1">
      <c r="B54" s="2102" t="s">
        <v>685</v>
      </c>
      <c r="C54" s="2103"/>
      <c r="D54" s="941"/>
      <c r="E54" s="941"/>
      <c r="F54" s="939"/>
      <c r="G54" s="940"/>
      <c r="H54" s="856">
        <v>0</v>
      </c>
      <c r="I54" s="939"/>
      <c r="J54" s="940"/>
      <c r="K54" s="856">
        <v>0</v>
      </c>
      <c r="L54" s="939"/>
      <c r="M54" s="940"/>
      <c r="N54" s="856">
        <v>0</v>
      </c>
      <c r="O54" s="939"/>
      <c r="P54" s="940"/>
      <c r="Q54" s="856">
        <v>0</v>
      </c>
    </row>
    <row r="55" spans="1:17" s="76" customFormat="1" ht="3.65" customHeight="1" thickBot="1">
      <c r="A55"/>
      <c r="B55" s="539"/>
      <c r="C55" s="540"/>
      <c r="D55" s="857"/>
      <c r="E55" s="857"/>
      <c r="F55" s="858"/>
      <c r="G55" s="858"/>
      <c r="H55" s="858"/>
      <c r="I55" s="858"/>
      <c r="J55" s="858"/>
      <c r="K55" s="858"/>
      <c r="L55" s="858"/>
      <c r="M55" s="858"/>
      <c r="N55" s="858"/>
      <c r="O55" s="858"/>
      <c r="P55" s="858"/>
      <c r="Q55" s="858"/>
    </row>
    <row r="56" spans="1:17" s="52" customFormat="1" ht="12" customHeight="1" thickBot="1">
      <c r="B56" s="543" t="s">
        <v>686</v>
      </c>
      <c r="C56" s="831">
        <f>C41+C18+C48+C50+C20+C52</f>
        <v>230745</v>
      </c>
      <c r="D56" s="944"/>
      <c r="E56" s="945"/>
      <c r="F56" s="897">
        <f>F41+F48</f>
        <v>230000</v>
      </c>
      <c r="G56" s="831">
        <f>G41+F18+G48+F20</f>
        <v>16936</v>
      </c>
      <c r="H56" s="898">
        <f>H18+H48+H50+H54+H20+H52+H41</f>
        <v>8828.0969999999998</v>
      </c>
      <c r="I56" s="897">
        <f>I41+I48</f>
        <v>0</v>
      </c>
      <c r="J56" s="831">
        <f>J41+I18+J48+I20</f>
        <v>25415</v>
      </c>
      <c r="K56" s="898">
        <f>K18+K48+K50+K54+K20+K52+K41</f>
        <v>8190.6662500000002</v>
      </c>
      <c r="L56" s="897">
        <f>L41+L48</f>
        <v>0</v>
      </c>
      <c r="M56" s="831">
        <f>M41+L18+M48+L20</f>
        <v>24670</v>
      </c>
      <c r="N56" s="898">
        <f>N18+N48+N50+N54+N20+N52+N41</f>
        <v>7233.2</v>
      </c>
      <c r="O56" s="897">
        <f>O41+O48</f>
        <v>0</v>
      </c>
      <c r="P56" s="831">
        <f>P41+O18+P48+O20</f>
        <v>24670</v>
      </c>
      <c r="Q56" s="898">
        <f>Q18+Q48+Q50+Q54+Q20+Q52+Q41</f>
        <v>6299.76</v>
      </c>
    </row>
    <row r="57" spans="1:17" ht="6" customHeight="1">
      <c r="B57" s="51"/>
      <c r="C57" s="51"/>
      <c r="D57" s="51"/>
      <c r="E57" s="51"/>
      <c r="F57" s="51"/>
      <c r="G57" s="51"/>
      <c r="H57" s="51"/>
      <c r="I57" s="51"/>
      <c r="J57" s="51"/>
      <c r="K57" s="51"/>
      <c r="L57" s="51"/>
      <c r="M57" s="51"/>
      <c r="N57" s="51"/>
      <c r="O57" s="51"/>
      <c r="P57" s="51"/>
      <c r="Q57" s="51"/>
    </row>
    <row r="58" spans="1:17" ht="12" customHeight="1">
      <c r="C58" s="51"/>
      <c r="D58" s="51"/>
      <c r="E58" s="544"/>
      <c r="F58" s="544"/>
      <c r="G58" s="544"/>
      <c r="H58" s="544"/>
      <c r="I58" s="544"/>
      <c r="J58" s="544"/>
      <c r="K58" s="51"/>
      <c r="L58" s="51"/>
      <c r="M58" s="51"/>
      <c r="N58" s="51"/>
      <c r="O58" s="51"/>
      <c r="P58" s="51"/>
      <c r="Q58" s="164" t="str">
        <f>STARTSIDAN!J5</f>
        <v xml:space="preserve">Tjänsten erbjuds av: </v>
      </c>
    </row>
    <row r="59" spans="1:17">
      <c r="B59" s="77" t="str">
        <f>'1. T1 INVESTERINGSP. '!B64</f>
        <v>FT22 Det aktiva företagets resultatplan</v>
      </c>
      <c r="C59" s="51"/>
      <c r="D59" s="51"/>
      <c r="E59" s="51"/>
      <c r="F59" s="95"/>
      <c r="G59" s="95"/>
      <c r="H59" s="51"/>
      <c r="I59" s="2040" t="str">
        <f>STARTSIDAN!H7</f>
        <v>Dynamo Närpes och Kristinestads näringslivscentral Ab</v>
      </c>
      <c r="J59" s="2040"/>
      <c r="K59" s="2040"/>
      <c r="L59" s="2040"/>
      <c r="M59" s="2040"/>
      <c r="N59" s="2040"/>
      <c r="O59" s="2040"/>
      <c r="P59" s="2040"/>
      <c r="Q59" s="2040"/>
    </row>
    <row r="60" spans="1:17">
      <c r="J60" s="711"/>
      <c r="K60" s="711"/>
      <c r="L60" s="711"/>
      <c r="M60" s="711"/>
      <c r="N60" s="711"/>
      <c r="O60" s="711"/>
      <c r="P60" s="711"/>
      <c r="Q60" s="711"/>
    </row>
    <row r="61" spans="1:17">
      <c r="A61" s="52"/>
    </row>
    <row r="62" spans="1:17">
      <c r="B62" s="493" t="s">
        <v>399</v>
      </c>
    </row>
    <row r="63" spans="1:17">
      <c r="B63" s="51" t="s">
        <v>400</v>
      </c>
    </row>
    <row r="64" spans="1:17">
      <c r="B64" s="51" t="s">
        <v>401</v>
      </c>
    </row>
  </sheetData>
  <sheetProtection algorithmName="SHA-512" hashValue="mNJqvfeVfTu6siQvdE4hQRI1eI5enKHjyf7zCJUBd9y638CjVqodpF4icxNThG5OD4POVxFULZ+6wHOF+6ycZQ==" saltValue="h74EM9MCrefTj8P6nOktaQ==" spinCount="100000" sheet="1" objects="1" scenarios="1" selectLockedCells="1"/>
  <mergeCells count="73">
    <mergeCell ref="B5:D5"/>
    <mergeCell ref="L12:M12"/>
    <mergeCell ref="N5:Q5"/>
    <mergeCell ref="D7:D10"/>
    <mergeCell ref="F9:H9"/>
    <mergeCell ref="C7:C10"/>
    <mergeCell ref="F10:G10"/>
    <mergeCell ref="O10:P10"/>
    <mergeCell ref="O11:P11"/>
    <mergeCell ref="O12:P12"/>
    <mergeCell ref="F12:G12"/>
    <mergeCell ref="I12:J12"/>
    <mergeCell ref="O16:P16"/>
    <mergeCell ref="F1:G1"/>
    <mergeCell ref="O20:P20"/>
    <mergeCell ref="O18:P18"/>
    <mergeCell ref="O8:Q8"/>
    <mergeCell ref="O9:Q9"/>
    <mergeCell ref="F16:G16"/>
    <mergeCell ref="F15:G15"/>
    <mergeCell ref="F8:H8"/>
    <mergeCell ref="I8:K8"/>
    <mergeCell ref="L9:N9"/>
    <mergeCell ref="L10:M10"/>
    <mergeCell ref="F18:G18"/>
    <mergeCell ref="F17:G17"/>
    <mergeCell ref="L11:M11"/>
    <mergeCell ref="I16:J16"/>
    <mergeCell ref="L16:M16"/>
    <mergeCell ref="O22:Q22"/>
    <mergeCell ref="O23:Q23"/>
    <mergeCell ref="E5:G5"/>
    <mergeCell ref="O13:P13"/>
    <mergeCell ref="O14:P14"/>
    <mergeCell ref="O15:P15"/>
    <mergeCell ref="O17:P17"/>
    <mergeCell ref="L8:N8"/>
    <mergeCell ref="I10:J10"/>
    <mergeCell ref="E7:E10"/>
    <mergeCell ref="F11:G11"/>
    <mergeCell ref="L23:N23"/>
    <mergeCell ref="L22:N22"/>
    <mergeCell ref="L20:M20"/>
    <mergeCell ref="L18:M18"/>
    <mergeCell ref="I18:J18"/>
    <mergeCell ref="I17:J17"/>
    <mergeCell ref="C22:C24"/>
    <mergeCell ref="D22:D24"/>
    <mergeCell ref="F23:H23"/>
    <mergeCell ref="F22:H22"/>
    <mergeCell ref="F20:G20"/>
    <mergeCell ref="I20:J20"/>
    <mergeCell ref="L15:M15"/>
    <mergeCell ref="F14:G14"/>
    <mergeCell ref="L13:M13"/>
    <mergeCell ref="L14:M14"/>
    <mergeCell ref="I13:J13"/>
    <mergeCell ref="E3:F3"/>
    <mergeCell ref="E4:F4"/>
    <mergeCell ref="I59:Q59"/>
    <mergeCell ref="N4:Q4"/>
    <mergeCell ref="B54:C54"/>
    <mergeCell ref="B7:B8"/>
    <mergeCell ref="I23:K23"/>
    <mergeCell ref="E22:E24"/>
    <mergeCell ref="I15:J15"/>
    <mergeCell ref="I11:J11"/>
    <mergeCell ref="I14:J14"/>
    <mergeCell ref="F13:G13"/>
    <mergeCell ref="I22:K22"/>
    <mergeCell ref="I9:K9"/>
    <mergeCell ref="B22:B23"/>
    <mergeCell ref="L17:M17"/>
  </mergeCells>
  <printOptions horizontalCentered="1"/>
  <pageMargins left="0.23622047244094491" right="0.23622047244094491" top="0.74803149606299213" bottom="0.74803149606299213" header="0.31496062992125984" footer="0.31496062992125984"/>
  <pageSetup paperSize="9" scale="80" orientation="landscape" verticalDpi="4"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31">
    <tabColor rgb="FFFFC000"/>
  </sheetPr>
  <dimension ref="A2:AF160"/>
  <sheetViews>
    <sheetView showGridLines="0" showZeros="0" defaultGridColor="0" topLeftCell="A28" colorId="22" zoomScaleNormal="100" zoomScaleSheetLayoutView="85" workbookViewId="0">
      <selection activeCell="P53" sqref="P53"/>
    </sheetView>
  </sheetViews>
  <sheetFormatPr defaultRowHeight="12.45"/>
  <cols>
    <col min="1" max="1" width="12" customWidth="1"/>
    <col min="2" max="2" width="2.84375" customWidth="1"/>
    <col min="3" max="3" width="38.07421875" customWidth="1"/>
    <col min="4" max="4" width="10.07421875" customWidth="1"/>
    <col min="5" max="5" width="6.07421875" customWidth="1"/>
    <col min="6" max="6" width="10.07421875" customWidth="1"/>
    <col min="7" max="7" width="6" customWidth="1"/>
    <col min="8" max="8" width="10.07421875" customWidth="1"/>
    <col min="9" max="9" width="6" customWidth="1"/>
    <col min="10" max="10" width="10.07421875" customWidth="1"/>
    <col min="11" max="11" width="6" customWidth="1"/>
    <col min="12" max="12" width="10.07421875" customWidth="1"/>
    <col min="13" max="13" width="6" customWidth="1"/>
    <col min="14" max="14" width="2.53515625" customWidth="1"/>
    <col min="15" max="17" width="7" customWidth="1"/>
    <col min="18" max="18" width="7.3046875" customWidth="1"/>
    <col min="19" max="19" width="9.07421875" customWidth="1"/>
    <col min="23" max="27" width="9" customWidth="1"/>
  </cols>
  <sheetData>
    <row r="2" spans="2:28" ht="15.45">
      <c r="B2" s="25" t="s">
        <v>402</v>
      </c>
      <c r="E2" s="47" t="s">
        <v>169</v>
      </c>
      <c r="H2" s="25">
        <f>'3. &amp; 8. T3 BALANS'!D12</f>
        <v>0</v>
      </c>
      <c r="O2" s="482"/>
      <c r="P2" s="1"/>
      <c r="V2" s="25" t="s">
        <v>403</v>
      </c>
    </row>
    <row r="3" spans="2:28" ht="14.25" customHeight="1">
      <c r="E3" s="2168">
        <f>'2. &amp; 7. T2  RESULTATB.'!G3</f>
        <v>0</v>
      </c>
      <c r="F3" s="2168"/>
      <c r="O3" s="2167"/>
      <c r="P3" s="2167"/>
      <c r="Q3" s="2167"/>
    </row>
    <row r="4" spans="2:28" ht="20.25" customHeight="1">
      <c r="B4" s="47" t="s">
        <v>171</v>
      </c>
      <c r="C4" s="44"/>
      <c r="D4" s="44"/>
      <c r="E4" s="44" t="s">
        <v>172</v>
      </c>
      <c r="F4" s="57"/>
      <c r="G4" s="65"/>
      <c r="H4" s="41"/>
      <c r="I4" s="57" t="s">
        <v>0</v>
      </c>
      <c r="J4" s="57" t="s">
        <v>173</v>
      </c>
      <c r="K4" s="45"/>
      <c r="L4" s="45" t="s">
        <v>0</v>
      </c>
      <c r="M4" s="45"/>
      <c r="N4" s="19"/>
      <c r="O4" s="483"/>
      <c r="S4" s="484"/>
      <c r="T4" s="152"/>
      <c r="U4" s="152"/>
      <c r="V4" s="152"/>
    </row>
    <row r="5" spans="2:28" ht="12.75" customHeight="1">
      <c r="B5" s="2149" t="str">
        <f>'2. &amp; 7. T2  RESULTATB.'!B5:D5</f>
        <v>Exempel Dagis Ab</v>
      </c>
      <c r="C5" s="2149"/>
      <c r="D5" s="2149"/>
      <c r="E5" s="2139">
        <f>'2. &amp; 7. T2  RESULTATB.'!G5</f>
        <v>0</v>
      </c>
      <c r="F5" s="2139"/>
      <c r="G5" s="2139"/>
      <c r="H5" s="2139"/>
      <c r="I5" s="2139"/>
      <c r="J5" s="613">
        <f>'2. &amp; 7. T2  RESULTATB.'!K5</f>
        <v>0</v>
      </c>
      <c r="K5" s="614"/>
      <c r="L5" s="614"/>
      <c r="M5" s="614"/>
      <c r="N5" s="76"/>
      <c r="O5" s="484"/>
      <c r="P5" s="25"/>
      <c r="S5" s="152"/>
      <c r="T5" s="152"/>
      <c r="U5" s="152"/>
      <c r="V5" s="152"/>
      <c r="X5" s="8"/>
      <c r="Y5" s="8"/>
      <c r="Z5" s="8"/>
      <c r="AA5" s="8"/>
    </row>
    <row r="6" spans="2:28" ht="10.5" customHeight="1" thickBot="1">
      <c r="D6" s="339"/>
      <c r="E6" s="339"/>
      <c r="F6" s="18"/>
      <c r="O6" s="1"/>
      <c r="P6" s="1"/>
      <c r="Q6" s="1"/>
      <c r="R6" s="1"/>
      <c r="S6" s="1"/>
      <c r="T6" s="1"/>
      <c r="U6" s="1"/>
      <c r="V6" s="1"/>
      <c r="W6" s="1"/>
      <c r="X6" s="8"/>
      <c r="Y6" s="8"/>
      <c r="Z6" s="8"/>
      <c r="AA6" s="8"/>
    </row>
    <row r="7" spans="2:28" ht="13.5" customHeight="1">
      <c r="B7" s="2158" t="s">
        <v>672</v>
      </c>
      <c r="C7" s="2159"/>
      <c r="D7" s="2164" t="s">
        <v>241</v>
      </c>
      <c r="E7" s="2165"/>
      <c r="F7" s="2164" t="str">
        <f>'[1]T1 INVESTERINGSP.'!E15</f>
        <v>Prognos 1</v>
      </c>
      <c r="G7" s="2165"/>
      <c r="H7" s="2164" t="s">
        <v>180</v>
      </c>
      <c r="I7" s="2165"/>
      <c r="J7" s="2164" t="s">
        <v>181</v>
      </c>
      <c r="K7" s="2165"/>
      <c r="L7" s="2164" t="s">
        <v>182</v>
      </c>
      <c r="M7" s="2165"/>
      <c r="N7" s="26"/>
      <c r="O7" s="346" t="s">
        <v>215</v>
      </c>
      <c r="P7" s="347"/>
      <c r="Q7" s="347"/>
      <c r="R7" s="348"/>
      <c r="S7" s="573"/>
      <c r="T7" s="573"/>
      <c r="U7" s="573"/>
      <c r="V7" s="573"/>
      <c r="W7" s="574"/>
      <c r="X7" s="575"/>
      <c r="Y7" s="575"/>
      <c r="Z7" s="575"/>
      <c r="AA7" s="575"/>
      <c r="AB7" s="576"/>
    </row>
    <row r="8" spans="2:28" ht="13.5" customHeight="1">
      <c r="B8" s="2160"/>
      <c r="C8" s="2161"/>
      <c r="D8" s="2156">
        <f>'2. &amp; 7. T2  RESULTATB.'!G8</f>
        <v>2022</v>
      </c>
      <c r="E8" s="2157"/>
      <c r="F8" s="2156">
        <f>'2. &amp; 7. T2  RESULTATB.'!I8</f>
        <v>2023</v>
      </c>
      <c r="G8" s="2157"/>
      <c r="H8" s="2156">
        <f>'2. &amp; 7. T2  RESULTATB.'!K8</f>
        <v>2024</v>
      </c>
      <c r="I8" s="2157"/>
      <c r="J8" s="2156">
        <f>'2. &amp; 7. T2  RESULTATB.'!M8</f>
        <v>2025</v>
      </c>
      <c r="K8" s="2157"/>
      <c r="L8" s="2156">
        <f>'2. &amp; 7. T2  RESULTATB.'!O8</f>
        <v>2026</v>
      </c>
      <c r="M8" s="2157"/>
      <c r="N8" s="27"/>
      <c r="O8" s="1528"/>
      <c r="P8" s="1529"/>
      <c r="Q8" s="1529"/>
      <c r="R8" s="1529"/>
      <c r="S8" s="1529"/>
      <c r="T8" s="1529"/>
      <c r="U8" s="1529"/>
      <c r="V8" s="1529"/>
      <c r="W8" s="1529"/>
      <c r="X8" s="1530"/>
      <c r="Y8" s="1530"/>
      <c r="Z8" s="1530"/>
      <c r="AA8" s="1530"/>
      <c r="AB8" s="1531"/>
    </row>
    <row r="9" spans="2:28" ht="13.2" customHeight="1" thickBot="1">
      <c r="B9" s="2162"/>
      <c r="C9" s="2163"/>
      <c r="D9" s="1752" t="s">
        <v>242</v>
      </c>
      <c r="E9" s="1753" t="s">
        <v>13</v>
      </c>
      <c r="F9" s="1752" t="s">
        <v>242</v>
      </c>
      <c r="G9" s="1753" t="s">
        <v>13</v>
      </c>
      <c r="H9" s="1752" t="s">
        <v>242</v>
      </c>
      <c r="I9" s="1753" t="s">
        <v>13</v>
      </c>
      <c r="J9" s="1752" t="s">
        <v>242</v>
      </c>
      <c r="K9" s="1753" t="s">
        <v>13</v>
      </c>
      <c r="L9" s="1752" t="s">
        <v>242</v>
      </c>
      <c r="M9" s="1753" t="s">
        <v>13</v>
      </c>
      <c r="N9" s="27"/>
      <c r="O9" s="1528"/>
      <c r="P9" s="1529"/>
      <c r="Q9" s="1529"/>
      <c r="R9" s="1529"/>
      <c r="S9" s="1529"/>
      <c r="T9" s="1529"/>
      <c r="U9" s="1529"/>
      <c r="V9" s="1529"/>
      <c r="W9" s="1529"/>
      <c r="X9" s="1530"/>
      <c r="Y9" s="1530"/>
      <c r="Z9" s="1530"/>
      <c r="AA9" s="1530"/>
      <c r="AB9" s="1531"/>
    </row>
    <row r="10" spans="2:28" ht="12.75" customHeight="1" thickBot="1">
      <c r="B10" s="1754"/>
      <c r="C10" s="1755" t="s">
        <v>216</v>
      </c>
      <c r="D10" s="2154" t="str">
        <f>'2. &amp; 7. T2  RESULTATB.'!G10</f>
        <v>12</v>
      </c>
      <c r="E10" s="2155"/>
      <c r="F10" s="2154">
        <f>'2. &amp; 7. T2  RESULTATB.'!I10</f>
        <v>12</v>
      </c>
      <c r="G10" s="2155"/>
      <c r="H10" s="2154" t="str">
        <f>'2. &amp; 7. T2  RESULTATB.'!K10</f>
        <v>12</v>
      </c>
      <c r="I10" s="2155"/>
      <c r="J10" s="2154" t="str">
        <f>'2. &amp; 7. T2  RESULTATB.'!M10</f>
        <v>12</v>
      </c>
      <c r="K10" s="2155"/>
      <c r="L10" s="2154" t="str">
        <f>'2. &amp; 7. T2  RESULTATB.'!O10</f>
        <v>12</v>
      </c>
      <c r="M10" s="2155"/>
      <c r="N10" s="27"/>
      <c r="O10" s="1528"/>
      <c r="P10" s="1529"/>
      <c r="Q10" s="1529"/>
      <c r="R10" s="1529"/>
      <c r="S10" s="1529"/>
      <c r="T10" s="1529"/>
      <c r="U10" s="1529"/>
      <c r="V10" s="1529"/>
      <c r="W10" s="1529"/>
      <c r="X10" s="1530"/>
      <c r="Y10" s="1530"/>
      <c r="Z10" s="1530"/>
      <c r="AA10" s="1530"/>
      <c r="AB10" s="1531"/>
    </row>
    <row r="11" spans="2:28" s="1" customFormat="1" ht="13.5" customHeight="1">
      <c r="B11" s="1389" t="s">
        <v>2</v>
      </c>
      <c r="C11" s="265" t="s">
        <v>404</v>
      </c>
      <c r="D11" s="1026">
        <f>D12+D17-D30</f>
        <v>0</v>
      </c>
      <c r="E11" s="1027">
        <f>IF(D$44=0,0,D11/D$44*100)</f>
        <v>0</v>
      </c>
      <c r="F11" s="1026">
        <f>F12+F17+F24-F30</f>
        <v>94800</v>
      </c>
      <c r="G11" s="1027">
        <f>IF(F$44=0,0,F11/F$44*100)</f>
        <v>84.078407265481232</v>
      </c>
      <c r="H11" s="1026">
        <f>H12+H17+H24-H30</f>
        <v>97644</v>
      </c>
      <c r="I11" s="1027">
        <f>IF(H$44=0,0,H11/H$44*100)</f>
        <v>84.078407265481246</v>
      </c>
      <c r="J11" s="1026">
        <f>J12+J17+J24-J30</f>
        <v>100573.32</v>
      </c>
      <c r="K11" s="1027">
        <f>IF(J$44=0,0,J11/J$44*100)</f>
        <v>84.078407265481246</v>
      </c>
      <c r="L11" s="1026">
        <f>L12+L17+L24-L30</f>
        <v>103590.5196</v>
      </c>
      <c r="M11" s="266">
        <f>IF(L$44=0,0,L11/L$44*100)</f>
        <v>84.078407265481246</v>
      </c>
      <c r="N11" s="3"/>
      <c r="O11" s="2169" t="s">
        <v>673</v>
      </c>
      <c r="P11" s="2170"/>
      <c r="Q11" s="2170"/>
      <c r="R11" s="2170"/>
      <c r="S11" s="381"/>
      <c r="T11" s="381"/>
      <c r="U11" s="381"/>
      <c r="V11" s="381"/>
      <c r="W11" s="381"/>
      <c r="X11" s="577"/>
      <c r="Y11" s="577"/>
      <c r="Z11" s="577"/>
      <c r="AA11" s="577"/>
      <c r="AB11" s="578"/>
    </row>
    <row r="12" spans="2:28" s="4" customFormat="1" ht="12.65" customHeight="1">
      <c r="B12" s="267"/>
      <c r="C12" s="268" t="s">
        <v>405</v>
      </c>
      <c r="D12" s="1028"/>
      <c r="E12" s="1029"/>
      <c r="F12" s="1030">
        <f>(F13*F15)</f>
        <v>90000</v>
      </c>
      <c r="G12" s="1031"/>
      <c r="H12" s="1030">
        <f>(H13*H15)</f>
        <v>92700</v>
      </c>
      <c r="I12" s="1031"/>
      <c r="J12" s="1030">
        <f>(J13*J15)</f>
        <v>95481</v>
      </c>
      <c r="K12" s="1031"/>
      <c r="L12" s="1030">
        <f>(L13*L15)</f>
        <v>98345.43</v>
      </c>
      <c r="M12" s="269"/>
      <c r="N12" s="31"/>
      <c r="O12" s="350">
        <f>F$8</f>
        <v>2023</v>
      </c>
      <c r="P12" s="350">
        <f>H$8</f>
        <v>2024</v>
      </c>
      <c r="Q12" s="350">
        <f>J8</f>
        <v>2025</v>
      </c>
      <c r="R12" s="350">
        <f>L$8</f>
        <v>2026</v>
      </c>
      <c r="S12" s="381"/>
      <c r="T12" s="381"/>
      <c r="U12" s="381"/>
      <c r="V12" s="381"/>
      <c r="W12" s="381"/>
      <c r="X12" s="577"/>
      <c r="Y12" s="577"/>
      <c r="Z12" s="577"/>
      <c r="AA12" s="577"/>
      <c r="AB12" s="578"/>
    </row>
    <row r="13" spans="2:28" s="51" customFormat="1" ht="13.2" customHeight="1">
      <c r="B13" s="270"/>
      <c r="C13" s="271" t="s">
        <v>406</v>
      </c>
      <c r="D13" s="1028"/>
      <c r="E13" s="1032"/>
      <c r="F13" s="819">
        <v>7500</v>
      </c>
      <c r="G13" s="1033"/>
      <c r="H13" s="819">
        <f>F13+F13*P13</f>
        <v>7725</v>
      </c>
      <c r="I13" s="1033"/>
      <c r="J13" s="819">
        <f>H13+H13*Q13</f>
        <v>7956.75</v>
      </c>
      <c r="K13" s="1033"/>
      <c r="L13" s="819">
        <f>J13+J13*R13</f>
        <v>8195.4524999999994</v>
      </c>
      <c r="M13" s="272"/>
      <c r="N13" s="56"/>
      <c r="O13" s="415"/>
      <c r="P13" s="476">
        <v>0.03</v>
      </c>
      <c r="Q13" s="476">
        <f>P13</f>
        <v>0.03</v>
      </c>
      <c r="R13" s="476">
        <f>Q13</f>
        <v>0.03</v>
      </c>
      <c r="S13" s="381"/>
      <c r="T13" s="381"/>
      <c r="U13" s="381"/>
      <c r="V13" s="381"/>
      <c r="W13" s="381"/>
      <c r="X13" s="577"/>
      <c r="Y13" s="577"/>
      <c r="Z13" s="577"/>
      <c r="AA13" s="577"/>
      <c r="AB13" s="578"/>
    </row>
    <row r="14" spans="2:28" s="51" customFormat="1" ht="13.2" customHeight="1">
      <c r="B14" s="270"/>
      <c r="C14" s="271" t="s">
        <v>407</v>
      </c>
      <c r="D14" s="1028"/>
      <c r="E14" s="1032"/>
      <c r="F14" s="819">
        <v>360</v>
      </c>
      <c r="G14" s="1033"/>
      <c r="H14" s="819">
        <f>F14+F14*P14</f>
        <v>370.8</v>
      </c>
      <c r="I14" s="1033"/>
      <c r="J14" s="819">
        <f>H14+H14*Q14</f>
        <v>381.92400000000004</v>
      </c>
      <c r="K14" s="1033"/>
      <c r="L14" s="819">
        <f>J14+J14*R14</f>
        <v>393.38172000000003</v>
      </c>
      <c r="M14" s="272"/>
      <c r="N14" s="56"/>
      <c r="O14" s="415"/>
      <c r="P14" s="476">
        <v>0.03</v>
      </c>
      <c r="Q14" s="476">
        <f>P14</f>
        <v>0.03</v>
      </c>
      <c r="R14" s="476">
        <f>Q14</f>
        <v>0.03</v>
      </c>
      <c r="S14" s="381"/>
      <c r="T14" s="381"/>
      <c r="U14" s="381"/>
      <c r="V14" s="381"/>
      <c r="W14" s="381"/>
      <c r="X14" s="577"/>
      <c r="Y14" s="577"/>
      <c r="Z14" s="577"/>
      <c r="AA14" s="577"/>
      <c r="AB14" s="578"/>
    </row>
    <row r="15" spans="2:28" s="51" customFormat="1" ht="13.2" customHeight="1">
      <c r="B15" s="270"/>
      <c r="C15" s="271" t="s">
        <v>408</v>
      </c>
      <c r="D15" s="1028"/>
      <c r="E15" s="1032"/>
      <c r="F15" s="1034">
        <v>12</v>
      </c>
      <c r="G15" s="1033"/>
      <c r="H15" s="1034">
        <f>F15</f>
        <v>12</v>
      </c>
      <c r="I15" s="1033"/>
      <c r="J15" s="1034">
        <f>H15</f>
        <v>12</v>
      </c>
      <c r="K15" s="1033"/>
      <c r="L15" s="1034">
        <f>J15</f>
        <v>12</v>
      </c>
      <c r="M15" s="272"/>
      <c r="N15" s="56"/>
      <c r="O15" s="1407" t="s">
        <v>582</v>
      </c>
      <c r="P15" s="376"/>
      <c r="Q15" s="376"/>
      <c r="R15" s="376"/>
      <c r="S15" s="163"/>
      <c r="T15" s="163"/>
      <c r="U15" s="163"/>
      <c r="V15" s="163"/>
      <c r="W15" s="163"/>
      <c r="X15" s="626"/>
      <c r="Y15" s="626"/>
      <c r="Z15" s="626"/>
      <c r="AA15" s="626"/>
      <c r="AB15" s="627"/>
    </row>
    <row r="16" spans="2:28" s="51" customFormat="1" ht="13.2" customHeight="1">
      <c r="B16" s="270"/>
      <c r="C16" s="271" t="s">
        <v>713</v>
      </c>
      <c r="D16" s="1028"/>
      <c r="E16" s="1403"/>
      <c r="F16" s="1404">
        <v>0.26</v>
      </c>
      <c r="G16" s="1405"/>
      <c r="H16" s="1404">
        <f>F16</f>
        <v>0.26</v>
      </c>
      <c r="I16" s="1406"/>
      <c r="J16" s="1404">
        <f>H16</f>
        <v>0.26</v>
      </c>
      <c r="K16" s="1406"/>
      <c r="L16" s="1404">
        <f>J16</f>
        <v>0.26</v>
      </c>
      <c r="M16" s="272"/>
      <c r="N16" s="56"/>
      <c r="O16" s="1408"/>
      <c r="P16" s="953"/>
      <c r="Q16" s="953"/>
      <c r="R16" s="953"/>
      <c r="S16" s="953"/>
      <c r="T16" s="953"/>
      <c r="U16" s="953"/>
      <c r="V16" s="953"/>
      <c r="W16" s="953"/>
      <c r="X16" s="1409"/>
      <c r="Y16" s="1409"/>
      <c r="Z16" s="1409"/>
      <c r="AA16" s="1409"/>
      <c r="AB16" s="578"/>
    </row>
    <row r="17" spans="1:32" s="4" customFormat="1" ht="13.2" customHeight="1">
      <c r="B17" s="267"/>
      <c r="C17" s="609" t="s">
        <v>780</v>
      </c>
      <c r="D17" s="1028"/>
      <c r="E17" s="1029"/>
      <c r="F17" s="1035">
        <f>F18*F19*F20*F21</f>
        <v>4800</v>
      </c>
      <c r="G17" s="1031"/>
      <c r="H17" s="1035">
        <f>H18*H19*H20*H21</f>
        <v>4944</v>
      </c>
      <c r="I17" s="1031"/>
      <c r="J17" s="1035">
        <f>J18*J19*J20*J21</f>
        <v>5092.32</v>
      </c>
      <c r="K17" s="1031"/>
      <c r="L17" s="1035">
        <f>L18*L19*L20*L21</f>
        <v>5245.0896000000002</v>
      </c>
      <c r="M17" s="269"/>
      <c r="N17" s="31"/>
      <c r="O17" s="350">
        <f>F$8</f>
        <v>2023</v>
      </c>
      <c r="P17" s="350">
        <f>H$8</f>
        <v>2024</v>
      </c>
      <c r="Q17" s="350">
        <f>J$8</f>
        <v>2025</v>
      </c>
      <c r="R17" s="350">
        <f>L$8</f>
        <v>2026</v>
      </c>
      <c r="S17" s="381"/>
      <c r="T17" s="381"/>
      <c r="U17" s="381"/>
      <c r="V17" s="381"/>
      <c r="W17" s="381"/>
      <c r="X17" s="577"/>
      <c r="Y17" s="577"/>
      <c r="Z17" s="577"/>
      <c r="AA17" s="577"/>
      <c r="AB17" s="578"/>
    </row>
    <row r="18" spans="1:32" s="51" customFormat="1" ht="13.2" customHeight="1">
      <c r="B18" s="270"/>
      <c r="C18" s="271" t="s">
        <v>712</v>
      </c>
      <c r="D18" s="1036" t="s">
        <v>0</v>
      </c>
      <c r="E18" s="1032"/>
      <c r="F18" s="1037">
        <v>400</v>
      </c>
      <c r="G18" s="1038"/>
      <c r="H18" s="1037">
        <f>F18+F18*P18</f>
        <v>412</v>
      </c>
      <c r="I18" s="1038"/>
      <c r="J18" s="1037">
        <f>H18+H18*Q18</f>
        <v>424.36</v>
      </c>
      <c r="K18" s="1038"/>
      <c r="L18" s="1037">
        <f>J18+J18*R18</f>
        <v>437.0908</v>
      </c>
      <c r="M18" s="272"/>
      <c r="N18" s="54"/>
      <c r="O18" s="415"/>
      <c r="P18" s="476">
        <v>0.03</v>
      </c>
      <c r="Q18" s="476">
        <f>P18</f>
        <v>0.03</v>
      </c>
      <c r="R18" s="476">
        <f>Q18</f>
        <v>0.03</v>
      </c>
      <c r="S18" s="381"/>
      <c r="T18" s="381"/>
      <c r="U18" s="381"/>
      <c r="V18" s="381"/>
      <c r="W18" s="381"/>
      <c r="X18" s="577"/>
      <c r="Y18" s="577"/>
      <c r="Z18" s="577"/>
      <c r="AA18" s="577"/>
      <c r="AB18" s="578"/>
    </row>
    <row r="19" spans="1:32" s="51" customFormat="1" ht="13.2" customHeight="1">
      <c r="B19" s="270"/>
      <c r="C19" s="271" t="s">
        <v>409</v>
      </c>
      <c r="D19" s="1036"/>
      <c r="E19" s="1032"/>
      <c r="F19" s="819">
        <v>1</v>
      </c>
      <c r="G19" s="1033"/>
      <c r="H19" s="819">
        <f>F19</f>
        <v>1</v>
      </c>
      <c r="I19" s="1033"/>
      <c r="J19" s="819">
        <f>H19</f>
        <v>1</v>
      </c>
      <c r="K19" s="1033"/>
      <c r="L19" s="819">
        <f>J19</f>
        <v>1</v>
      </c>
      <c r="M19" s="272"/>
      <c r="N19" s="54"/>
      <c r="O19" s="494"/>
      <c r="P19" s="495"/>
      <c r="Q19" s="495"/>
      <c r="R19" s="495"/>
      <c r="S19" s="381"/>
      <c r="T19" s="381"/>
      <c r="U19" s="381"/>
      <c r="V19" s="381"/>
      <c r="W19" s="381"/>
      <c r="X19" s="577"/>
      <c r="Y19" s="577"/>
      <c r="Z19" s="577"/>
      <c r="AA19" s="577"/>
      <c r="AB19" s="578"/>
    </row>
    <row r="20" spans="1:32" s="51" customFormat="1" ht="13.2" customHeight="1">
      <c r="B20" s="270"/>
      <c r="C20" s="271" t="s">
        <v>410</v>
      </c>
      <c r="D20" s="1028"/>
      <c r="E20" s="1033"/>
      <c r="F20" s="1034">
        <v>1</v>
      </c>
      <c r="G20" s="1033"/>
      <c r="H20" s="1034">
        <f>F20</f>
        <v>1</v>
      </c>
      <c r="I20" s="1033"/>
      <c r="J20" s="1034">
        <f>H20</f>
        <v>1</v>
      </c>
      <c r="K20" s="1033"/>
      <c r="L20" s="1034">
        <f>J20</f>
        <v>1</v>
      </c>
      <c r="M20" s="272"/>
      <c r="N20" s="54"/>
      <c r="O20" s="414"/>
      <c r="P20" s="207"/>
      <c r="Q20" s="207"/>
      <c r="R20" s="207"/>
      <c r="S20" s="381"/>
      <c r="T20" s="381"/>
      <c r="U20" s="381"/>
      <c r="V20" s="381"/>
      <c r="W20" s="381"/>
      <c r="X20" s="577"/>
      <c r="Y20" s="577"/>
      <c r="Z20" s="577"/>
      <c r="AA20" s="577"/>
      <c r="AB20" s="578"/>
    </row>
    <row r="21" spans="1:32" s="51" customFormat="1" ht="13.2" customHeight="1">
      <c r="B21" s="270"/>
      <c r="C21" s="271" t="s">
        <v>411</v>
      </c>
      <c r="D21" s="1028"/>
      <c r="E21" s="1033"/>
      <c r="F21" s="1034">
        <v>12</v>
      </c>
      <c r="G21" s="1033"/>
      <c r="H21" s="1034">
        <f>F21</f>
        <v>12</v>
      </c>
      <c r="I21" s="1033"/>
      <c r="J21" s="1034">
        <f>H21</f>
        <v>12</v>
      </c>
      <c r="K21" s="1033"/>
      <c r="L21" s="1034">
        <f>J21</f>
        <v>12</v>
      </c>
      <c r="M21" s="272"/>
      <c r="N21" s="54"/>
      <c r="O21" s="350">
        <f>F$8</f>
        <v>2023</v>
      </c>
      <c r="P21" s="350">
        <f>H$8</f>
        <v>2024</v>
      </c>
      <c r="Q21" s="350">
        <f>J$8</f>
        <v>2025</v>
      </c>
      <c r="R21" s="350">
        <f>L$8</f>
        <v>2026</v>
      </c>
      <c r="S21" s="1390" t="s">
        <v>582</v>
      </c>
      <c r="T21" s="376"/>
      <c r="U21" s="376"/>
      <c r="V21" s="376"/>
      <c r="W21" s="163"/>
      <c r="X21" s="163"/>
      <c r="Y21" s="163"/>
      <c r="Z21" s="163"/>
      <c r="AA21" s="163"/>
      <c r="AB21" s="627"/>
      <c r="AC21" s="163"/>
      <c r="AD21" s="626"/>
      <c r="AE21" s="626"/>
      <c r="AF21" s="627"/>
    </row>
    <row r="22" spans="1:32" s="51" customFormat="1" ht="13.2" customHeight="1">
      <c r="B22" s="270"/>
      <c r="C22" s="271" t="s">
        <v>412</v>
      </c>
      <c r="D22" s="1028"/>
      <c r="E22" s="1033"/>
      <c r="F22" s="819">
        <v>1210</v>
      </c>
      <c r="G22" s="1039"/>
      <c r="H22" s="819">
        <f>F22+F22*P22</f>
        <v>1246.3</v>
      </c>
      <c r="I22" s="1033"/>
      <c r="J22" s="819">
        <f>H22+H22*Q22</f>
        <v>1283.6889999999999</v>
      </c>
      <c r="K22" s="1033"/>
      <c r="L22" s="819">
        <f>J22+J22*R22</f>
        <v>1322.1996699999997</v>
      </c>
      <c r="M22" s="272"/>
      <c r="N22" s="54"/>
      <c r="O22" s="415"/>
      <c r="P22" s="476">
        <v>0.03</v>
      </c>
      <c r="Q22" s="476">
        <f>P22</f>
        <v>0.03</v>
      </c>
      <c r="R22" s="476">
        <f>Q22</f>
        <v>0.03</v>
      </c>
      <c r="S22" s="381"/>
      <c r="T22" s="381"/>
      <c r="U22" s="381"/>
      <c r="V22" s="381"/>
      <c r="W22" s="381"/>
      <c r="X22" s="577"/>
      <c r="Y22" s="577"/>
      <c r="Z22" s="577"/>
      <c r="AA22" s="577"/>
      <c r="AB22" s="578"/>
    </row>
    <row r="23" spans="1:32" s="51" customFormat="1" ht="13.2" customHeight="1">
      <c r="B23" s="270"/>
      <c r="C23" s="271" t="s">
        <v>714</v>
      </c>
      <c r="D23" s="1028"/>
      <c r="E23" s="1403"/>
      <c r="F23" s="1404">
        <v>0.25</v>
      </c>
      <c r="G23" s="1405"/>
      <c r="H23" s="1404">
        <f>F23</f>
        <v>0.25</v>
      </c>
      <c r="I23" s="1406"/>
      <c r="J23" s="1404">
        <f>H23</f>
        <v>0.25</v>
      </c>
      <c r="K23" s="1406"/>
      <c r="L23" s="1404">
        <f>J23</f>
        <v>0.25</v>
      </c>
      <c r="M23" s="272"/>
      <c r="N23" s="54"/>
      <c r="O23" s="474"/>
      <c r="P23" s="381"/>
      <c r="Q23" s="381"/>
      <c r="R23" s="381"/>
      <c r="S23" s="381"/>
      <c r="T23" s="381"/>
      <c r="U23" s="381"/>
      <c r="V23" s="381"/>
      <c r="W23" s="381"/>
      <c r="X23" s="577"/>
      <c r="Y23" s="577"/>
      <c r="Z23" s="577"/>
      <c r="AA23" s="577"/>
      <c r="AB23" s="578"/>
    </row>
    <row r="24" spans="1:32" s="4" customFormat="1" ht="13.2" customHeight="1">
      <c r="B24" s="267"/>
      <c r="C24" s="609" t="s">
        <v>413</v>
      </c>
      <c r="D24" s="1028"/>
      <c r="E24" s="1029"/>
      <c r="F24" s="1035">
        <f>F25*F26*F27</f>
        <v>0</v>
      </c>
      <c r="G24" s="1031"/>
      <c r="H24" s="1035">
        <f>H25*H26*H27</f>
        <v>0</v>
      </c>
      <c r="I24" s="1031"/>
      <c r="J24" s="1035">
        <f>J25*J26*J27</f>
        <v>0</v>
      </c>
      <c r="K24" s="1031"/>
      <c r="L24" s="1035">
        <f>L25*L26*L27</f>
        <v>0</v>
      </c>
      <c r="M24" s="269"/>
      <c r="N24" s="31"/>
      <c r="O24" s="350">
        <f>F$8</f>
        <v>2023</v>
      </c>
      <c r="P24" s="350">
        <f>H$8</f>
        <v>2024</v>
      </c>
      <c r="Q24" s="350">
        <f>J$8</f>
        <v>2025</v>
      </c>
      <c r="R24" s="350">
        <f>L$8</f>
        <v>2026</v>
      </c>
      <c r="S24" s="381"/>
      <c r="T24" s="381"/>
      <c r="U24" s="381"/>
      <c r="V24" s="381"/>
      <c r="W24" s="381"/>
      <c r="X24" s="577"/>
      <c r="Y24" s="577"/>
      <c r="Z24" s="577"/>
      <c r="AA24" s="577"/>
      <c r="AB24" s="578"/>
    </row>
    <row r="25" spans="1:32" s="51" customFormat="1" ht="13.2" customHeight="1">
      <c r="B25" s="270"/>
      <c r="C25" s="271" t="s">
        <v>414</v>
      </c>
      <c r="D25" s="1036" t="s">
        <v>0</v>
      </c>
      <c r="E25" s="1032"/>
      <c r="F25" s="819">
        <v>0</v>
      </c>
      <c r="G25" s="1033"/>
      <c r="H25" s="819">
        <f>F25+F25*P25</f>
        <v>0</v>
      </c>
      <c r="I25" s="1033"/>
      <c r="J25" s="819">
        <f>H25+H25*Q25</f>
        <v>0</v>
      </c>
      <c r="K25" s="1033"/>
      <c r="L25" s="819">
        <f>J25+J25*R25</f>
        <v>0</v>
      </c>
      <c r="M25" s="272"/>
      <c r="N25" s="54"/>
      <c r="O25" s="415"/>
      <c r="P25" s="476">
        <v>0.03</v>
      </c>
      <c r="Q25" s="476">
        <f>P25</f>
        <v>0.03</v>
      </c>
      <c r="R25" s="476">
        <f>Q25</f>
        <v>0.03</v>
      </c>
      <c r="S25" s="381"/>
      <c r="T25" s="381"/>
      <c r="U25" s="381"/>
      <c r="V25" s="381"/>
      <c r="W25" s="381"/>
      <c r="X25" s="577"/>
      <c r="Y25" s="577"/>
      <c r="Z25" s="577"/>
      <c r="AA25" s="577"/>
      <c r="AB25" s="578"/>
    </row>
    <row r="26" spans="1:32" s="51" customFormat="1" ht="13.2" customHeight="1">
      <c r="B26" s="270"/>
      <c r="C26" s="271" t="s">
        <v>415</v>
      </c>
      <c r="D26" s="1028"/>
      <c r="E26" s="1033"/>
      <c r="F26" s="1034">
        <v>0</v>
      </c>
      <c r="G26" s="1033"/>
      <c r="H26" s="1034">
        <f>F26</f>
        <v>0</v>
      </c>
      <c r="I26" s="1033"/>
      <c r="J26" s="1034">
        <f>H26</f>
        <v>0</v>
      </c>
      <c r="K26" s="1033"/>
      <c r="L26" s="1034">
        <f>J26</f>
        <v>0</v>
      </c>
      <c r="M26" s="272"/>
      <c r="N26" s="54"/>
      <c r="O26" s="474"/>
      <c r="P26" s="381"/>
      <c r="Q26" s="381"/>
      <c r="R26" s="381"/>
      <c r="S26" s="381"/>
      <c r="T26" s="381"/>
      <c r="U26" s="381"/>
      <c r="V26" s="381"/>
      <c r="W26" s="381"/>
      <c r="X26" s="577"/>
      <c r="Y26" s="577"/>
      <c r="Z26" s="577"/>
      <c r="AA26" s="577"/>
      <c r="AB26" s="578"/>
    </row>
    <row r="27" spans="1:32" s="51" customFormat="1" ht="13.2" customHeight="1">
      <c r="B27" s="270"/>
      <c r="C27" s="271" t="s">
        <v>411</v>
      </c>
      <c r="D27" s="1028"/>
      <c r="E27" s="1033"/>
      <c r="F27" s="1034">
        <v>12.5</v>
      </c>
      <c r="G27" s="1033"/>
      <c r="H27" s="1034">
        <f>F27</f>
        <v>12.5</v>
      </c>
      <c r="I27" s="1033"/>
      <c r="J27" s="1034">
        <f>H27</f>
        <v>12.5</v>
      </c>
      <c r="K27" s="1033"/>
      <c r="L27" s="1034">
        <f>J27</f>
        <v>12.5</v>
      </c>
      <c r="M27" s="272"/>
      <c r="N27" s="54"/>
      <c r="O27" s="350">
        <f>F$8</f>
        <v>2023</v>
      </c>
      <c r="P27" s="350">
        <f>H$8</f>
        <v>2024</v>
      </c>
      <c r="Q27" s="350">
        <f>J$8</f>
        <v>2025</v>
      </c>
      <c r="R27" s="350">
        <f>L$8</f>
        <v>2026</v>
      </c>
      <c r="S27" s="1390" t="s">
        <v>582</v>
      </c>
      <c r="T27" s="376"/>
      <c r="U27" s="376"/>
      <c r="V27" s="376"/>
      <c r="W27" s="163"/>
      <c r="X27" s="163"/>
      <c r="Y27" s="163"/>
      <c r="Z27" s="163"/>
      <c r="AA27" s="163"/>
      <c r="AB27" s="627"/>
      <c r="AC27" s="163"/>
      <c r="AD27" s="626"/>
      <c r="AE27" s="626"/>
      <c r="AF27" s="627"/>
    </row>
    <row r="28" spans="1:32" s="51" customFormat="1" ht="13.2" customHeight="1">
      <c r="B28" s="270"/>
      <c r="C28" s="271" t="s">
        <v>412</v>
      </c>
      <c r="D28" s="1028"/>
      <c r="E28" s="1033"/>
      <c r="F28" s="819">
        <v>0</v>
      </c>
      <c r="G28" s="1039"/>
      <c r="H28" s="819">
        <f>F28+F28*P28</f>
        <v>0</v>
      </c>
      <c r="I28" s="1033"/>
      <c r="J28" s="819">
        <f>H28+H28*Q28</f>
        <v>0</v>
      </c>
      <c r="K28" s="1033"/>
      <c r="L28" s="819">
        <f>J28+J28*R28</f>
        <v>0</v>
      </c>
      <c r="M28" s="272"/>
      <c r="N28" s="54"/>
      <c r="O28" s="415"/>
      <c r="P28" s="476">
        <v>0.03</v>
      </c>
      <c r="Q28" s="476">
        <f>P28</f>
        <v>0.03</v>
      </c>
      <c r="R28" s="476">
        <f>Q28</f>
        <v>0.03</v>
      </c>
      <c r="S28" s="381"/>
      <c r="T28" s="381"/>
      <c r="U28" s="381"/>
      <c r="V28" s="381"/>
      <c r="W28" s="381"/>
      <c r="X28" s="577"/>
      <c r="Y28" s="577"/>
      <c r="Z28" s="577"/>
      <c r="AA28" s="577"/>
      <c r="AB28" s="578"/>
    </row>
    <row r="29" spans="1:32" s="51" customFormat="1" ht="13.2" customHeight="1">
      <c r="B29" s="270"/>
      <c r="C29" s="271" t="s">
        <v>715</v>
      </c>
      <c r="D29" s="1028"/>
      <c r="E29" s="1040"/>
      <c r="F29" s="1404">
        <v>0.27</v>
      </c>
      <c r="G29" s="1405"/>
      <c r="H29" s="1404">
        <f>F29</f>
        <v>0.27</v>
      </c>
      <c r="I29" s="1406"/>
      <c r="J29" s="1404">
        <f>H29</f>
        <v>0.27</v>
      </c>
      <c r="K29" s="1406"/>
      <c r="L29" s="1404">
        <f>J29</f>
        <v>0.27</v>
      </c>
      <c r="M29" s="296"/>
      <c r="N29" s="54"/>
      <c r="O29" s="474"/>
      <c r="P29" s="381"/>
      <c r="Q29" s="381"/>
      <c r="R29" s="381"/>
      <c r="S29" s="381"/>
      <c r="T29" s="381"/>
      <c r="U29" s="381"/>
      <c r="V29" s="381"/>
      <c r="W29" s="381"/>
      <c r="X29" s="577"/>
      <c r="Y29" s="577"/>
      <c r="Z29" s="577"/>
      <c r="AA29" s="577"/>
      <c r="AB29" s="578"/>
    </row>
    <row r="30" spans="1:32" s="51" customFormat="1" ht="13.2" customHeight="1" thickBot="1">
      <c r="B30" s="270"/>
      <c r="C30" s="526" t="s">
        <v>416</v>
      </c>
      <c r="D30" s="1028"/>
      <c r="E30" s="1040"/>
      <c r="F30" s="1041">
        <v>0</v>
      </c>
      <c r="G30" s="1042"/>
      <c r="H30" s="1041"/>
      <c r="I30" s="1043"/>
      <c r="J30" s="1041"/>
      <c r="K30" s="1043"/>
      <c r="L30" s="1041"/>
      <c r="M30" s="296"/>
      <c r="N30" s="54"/>
      <c r="O30" s="474"/>
      <c r="P30" s="381"/>
      <c r="Q30" s="381"/>
      <c r="R30" s="381"/>
      <c r="S30" s="381"/>
      <c r="T30" s="381"/>
      <c r="U30" s="381"/>
      <c r="V30" s="381"/>
      <c r="W30" s="381"/>
      <c r="X30" s="577"/>
      <c r="Y30" s="577"/>
      <c r="Z30" s="577"/>
      <c r="AA30" s="577"/>
      <c r="AB30" s="578"/>
    </row>
    <row r="31" spans="1:32" s="1" customFormat="1" ht="13.2" customHeight="1">
      <c r="B31" s="1389" t="s">
        <v>3</v>
      </c>
      <c r="C31" s="275" t="s">
        <v>417</v>
      </c>
      <c r="D31" s="1044" t="s">
        <v>0</v>
      </c>
      <c r="E31" s="1027" t="s">
        <v>0</v>
      </c>
      <c r="F31" s="1044">
        <f>F32+F39+F41+F43+F42</f>
        <v>17951.898000000001</v>
      </c>
      <c r="G31" s="1027">
        <f>IF(F$44=0,0,F31/F$44*100)</f>
        <v>15.921592734518757</v>
      </c>
      <c r="H31" s="1044">
        <f>H32+H39+H41+H43+H42</f>
        <v>18490.45494</v>
      </c>
      <c r="I31" s="1027">
        <f>IF(H$44=0,0,H31/H$44*100)</f>
        <v>15.921592734518757</v>
      </c>
      <c r="J31" s="1044">
        <f>J32+J39+J41+J43+J42</f>
        <v>19045.168588200002</v>
      </c>
      <c r="K31" s="1027">
        <f>IF(J$44=0,0,J31/J$44*100)</f>
        <v>15.921592734518757</v>
      </c>
      <c r="L31" s="1044">
        <f>L32+L39+L41+L43+L42</f>
        <v>19616.523645846002</v>
      </c>
      <c r="M31" s="266">
        <f>IF(L$44=0,0,L31/L$44*100)</f>
        <v>15.921592734518757</v>
      </c>
      <c r="N31" s="3"/>
      <c r="O31" s="474"/>
      <c r="P31" s="381"/>
      <c r="Q31" s="381"/>
      <c r="R31" s="381"/>
      <c r="S31" s="381"/>
      <c r="T31" s="381"/>
      <c r="U31" s="381"/>
      <c r="V31" s="381"/>
      <c r="W31" s="381"/>
      <c r="X31" s="577"/>
      <c r="Y31" s="577"/>
      <c r="Z31" s="577"/>
      <c r="AA31" s="577"/>
      <c r="AB31" s="578"/>
    </row>
    <row r="32" spans="1:32" s="4" customFormat="1" ht="13.2" customHeight="1">
      <c r="A32"/>
      <c r="B32" s="267"/>
      <c r="C32" s="273" t="s">
        <v>418</v>
      </c>
      <c r="D32" s="1045"/>
      <c r="E32" s="1046"/>
      <c r="F32" s="1035">
        <f>F34+F37+F38</f>
        <v>15505.74</v>
      </c>
      <c r="G32" s="1046"/>
      <c r="H32" s="1035">
        <f>H34+H37+H38</f>
        <v>15970.912199999999</v>
      </c>
      <c r="I32" s="1046"/>
      <c r="J32" s="1035">
        <f>J34+J37+J38</f>
        <v>16450.039565999999</v>
      </c>
      <c r="K32" s="1046"/>
      <c r="L32" s="1035">
        <f>L34+L37+L38</f>
        <v>16943.54075298</v>
      </c>
      <c r="M32" s="276"/>
      <c r="N32" s="32"/>
      <c r="O32" s="474"/>
      <c r="P32" s="381"/>
      <c r="Q32" s="381"/>
      <c r="R32" s="381"/>
      <c r="S32" s="381"/>
      <c r="T32" s="381"/>
      <c r="U32" s="381"/>
      <c r="V32" s="381"/>
      <c r="W32" s="381"/>
      <c r="X32" s="577"/>
      <c r="Y32" s="577"/>
      <c r="Z32" s="577"/>
      <c r="AA32" s="577"/>
      <c r="AB32" s="578"/>
    </row>
    <row r="33" spans="1:28" s="51" customFormat="1" ht="13.2" customHeight="1">
      <c r="A33" s="52"/>
      <c r="B33" s="270"/>
      <c r="C33" s="271" t="s">
        <v>419</v>
      </c>
      <c r="D33" s="1045"/>
      <c r="E33" s="1047"/>
      <c r="F33" s="1048">
        <v>0.17399999999999999</v>
      </c>
      <c r="G33" s="1047"/>
      <c r="H33" s="1049">
        <f>F33</f>
        <v>0.17399999999999999</v>
      </c>
      <c r="I33" s="1050"/>
      <c r="J33" s="1049">
        <f>H33</f>
        <v>0.17399999999999999</v>
      </c>
      <c r="K33" s="1047"/>
      <c r="L33" s="1049">
        <f>J33</f>
        <v>0.17399999999999999</v>
      </c>
      <c r="M33" s="277"/>
      <c r="N33" s="54"/>
      <c r="O33" s="474"/>
      <c r="P33" s="381"/>
      <c r="Q33" s="381"/>
      <c r="R33" s="381"/>
      <c r="S33" s="381"/>
      <c r="T33" s="381"/>
      <c r="U33" s="381"/>
      <c r="V33" s="381"/>
      <c r="W33" s="381"/>
      <c r="X33" s="577"/>
      <c r="Y33" s="577"/>
      <c r="Z33" s="577"/>
      <c r="AA33" s="577"/>
      <c r="AB33" s="578"/>
    </row>
    <row r="34" spans="1:28" s="51" customFormat="1" ht="13.2" customHeight="1">
      <c r="A34" s="2"/>
      <c r="B34" s="270"/>
      <c r="C34" s="271" t="s">
        <v>420</v>
      </c>
      <c r="D34" s="1051"/>
      <c r="E34" s="1033"/>
      <c r="F34" s="1052">
        <f>(F33)*(F17+F24+F22+F28)</f>
        <v>1045.74</v>
      </c>
      <c r="G34" s="1033"/>
      <c r="H34" s="1052">
        <f>(H33)*(H17+H24+H22+H28)</f>
        <v>1077.1122</v>
      </c>
      <c r="I34" s="1053"/>
      <c r="J34" s="1052">
        <f>(J33)*(J17+J24+J22+J28)</f>
        <v>1109.4255659999999</v>
      </c>
      <c r="K34" s="1033"/>
      <c r="L34" s="1052">
        <f>(L33)*(L17+L24+L22+L28)</f>
        <v>1142.70833298</v>
      </c>
      <c r="M34" s="272"/>
      <c r="N34" s="54"/>
      <c r="O34" s="350">
        <f>F$8</f>
        <v>2023</v>
      </c>
      <c r="P34" s="350">
        <f>H$8</f>
        <v>2024</v>
      </c>
      <c r="Q34" s="350">
        <f>J$8</f>
        <v>2025</v>
      </c>
      <c r="R34" s="350">
        <f>L$8</f>
        <v>2026</v>
      </c>
      <c r="S34" s="381"/>
      <c r="T34" s="381"/>
      <c r="U34" s="381"/>
      <c r="V34" s="381"/>
      <c r="W34" s="381"/>
      <c r="X34" s="577"/>
      <c r="Y34" s="577"/>
      <c r="Z34" s="577"/>
      <c r="AA34" s="577"/>
      <c r="AB34" s="578"/>
    </row>
    <row r="35" spans="1:28" s="51" customFormat="1" ht="13.2" customHeight="1">
      <c r="A35"/>
      <c r="B35" s="270"/>
      <c r="C35" s="271" t="s">
        <v>421</v>
      </c>
      <c r="D35" s="1028"/>
      <c r="E35" s="1033"/>
      <c r="F35" s="1054">
        <v>60000</v>
      </c>
      <c r="G35" s="1033"/>
      <c r="H35" s="1054">
        <f>F35+F35*P35</f>
        <v>61800</v>
      </c>
      <c r="I35" s="1053"/>
      <c r="J35" s="1054">
        <f>H35+H35*Q35</f>
        <v>63654</v>
      </c>
      <c r="K35" s="1033"/>
      <c r="L35" s="1054">
        <f>J35+J35*R35</f>
        <v>65563.62</v>
      </c>
      <c r="M35" s="272"/>
      <c r="N35" s="54"/>
      <c r="O35" s="415"/>
      <c r="P35" s="476">
        <v>0.03</v>
      </c>
      <c r="Q35" s="476">
        <f>P35</f>
        <v>0.03</v>
      </c>
      <c r="R35" s="476">
        <f>Q35</f>
        <v>0.03</v>
      </c>
      <c r="S35" s="381"/>
      <c r="T35" s="381"/>
      <c r="U35" s="381"/>
      <c r="V35" s="381"/>
      <c r="W35" s="381"/>
      <c r="X35" s="577"/>
      <c r="Y35" s="577"/>
      <c r="Z35" s="577"/>
      <c r="AA35" s="577"/>
      <c r="AB35" s="578"/>
    </row>
    <row r="36" spans="1:28" s="51" customFormat="1" ht="13.2" customHeight="1">
      <c r="A36"/>
      <c r="B36" s="270"/>
      <c r="C36" s="271" t="s">
        <v>422</v>
      </c>
      <c r="D36" s="1045"/>
      <c r="E36" s="1047"/>
      <c r="F36" s="1048">
        <v>0.24099999999999999</v>
      </c>
      <c r="G36" s="1047"/>
      <c r="H36" s="1049">
        <f>F36</f>
        <v>0.24099999999999999</v>
      </c>
      <c r="I36" s="1050"/>
      <c r="J36" s="1049">
        <f>H36</f>
        <v>0.24099999999999999</v>
      </c>
      <c r="K36" s="1047"/>
      <c r="L36" s="1049">
        <f>J36</f>
        <v>0.24099999999999999</v>
      </c>
      <c r="M36" s="277"/>
      <c r="N36" s="54"/>
      <c r="O36" s="474"/>
      <c r="P36" s="381"/>
      <c r="Q36" s="381"/>
      <c r="R36" s="381"/>
      <c r="S36" s="381"/>
      <c r="T36" s="381"/>
      <c r="U36" s="381"/>
      <c r="V36" s="381"/>
      <c r="W36" s="381"/>
      <c r="X36" s="577"/>
      <c r="Y36" s="577"/>
      <c r="Z36" s="577"/>
      <c r="AA36" s="577"/>
      <c r="AB36" s="578"/>
    </row>
    <row r="37" spans="1:28" s="51" customFormat="1" ht="13.2" customHeight="1">
      <c r="A37"/>
      <c r="B37" s="270"/>
      <c r="C37" s="271" t="s">
        <v>423</v>
      </c>
      <c r="D37" s="1051"/>
      <c r="E37" s="1033"/>
      <c r="F37" s="1052">
        <f>F35*F36</f>
        <v>14460</v>
      </c>
      <c r="G37" s="1033"/>
      <c r="H37" s="1052">
        <f>H35*H36</f>
        <v>14893.8</v>
      </c>
      <c r="I37" s="1053"/>
      <c r="J37" s="1052">
        <f>J35*J36</f>
        <v>15340.614</v>
      </c>
      <c r="K37" s="1033"/>
      <c r="L37" s="1052">
        <f>L35*L36</f>
        <v>15800.832419999999</v>
      </c>
      <c r="M37" s="272"/>
      <c r="N37" s="54"/>
      <c r="O37" s="474"/>
      <c r="P37" s="381"/>
      <c r="Q37" s="381"/>
      <c r="R37" s="381"/>
      <c r="S37" s="381"/>
      <c r="T37" s="381"/>
      <c r="U37" s="381"/>
      <c r="V37" s="381"/>
      <c r="W37" s="381"/>
      <c r="X37" s="577"/>
      <c r="Y37" s="577"/>
      <c r="Z37" s="577"/>
      <c r="AA37" s="577"/>
      <c r="AB37" s="578"/>
    </row>
    <row r="38" spans="1:28" s="51" customFormat="1" ht="13.2" customHeight="1">
      <c r="A38"/>
      <c r="B38" s="270"/>
      <c r="C38" s="271" t="s">
        <v>424</v>
      </c>
      <c r="D38" s="1051"/>
      <c r="E38" s="1033"/>
      <c r="F38" s="819">
        <v>0</v>
      </c>
      <c r="G38" s="1033"/>
      <c r="H38" s="819">
        <f>F38</f>
        <v>0</v>
      </c>
      <c r="I38" s="1053"/>
      <c r="J38" s="819">
        <f>H38</f>
        <v>0</v>
      </c>
      <c r="K38" s="1033"/>
      <c r="L38" s="819">
        <f>J38</f>
        <v>0</v>
      </c>
      <c r="M38" s="272"/>
      <c r="N38" s="54"/>
      <c r="O38" s="474"/>
      <c r="P38" s="381"/>
      <c r="Q38" s="381"/>
      <c r="R38" s="381"/>
      <c r="S38" s="381"/>
      <c r="T38" s="381"/>
      <c r="U38" s="381"/>
      <c r="V38" s="381"/>
      <c r="W38" s="381"/>
      <c r="X38" s="577"/>
      <c r="Y38" s="577"/>
      <c r="Z38" s="577"/>
      <c r="AA38" s="577"/>
      <c r="AB38" s="578"/>
    </row>
    <row r="39" spans="1:28" s="4" customFormat="1" ht="13.2" customHeight="1">
      <c r="A39"/>
      <c r="B39" s="267"/>
      <c r="C39" s="273" t="s">
        <v>425</v>
      </c>
      <c r="D39" s="1055"/>
      <c r="E39" s="1046"/>
      <c r="F39" s="1035">
        <f>(F40)*(F17+F24+F22+F28)</f>
        <v>162.27000000000001</v>
      </c>
      <c r="G39" s="1046"/>
      <c r="H39" s="1035">
        <f>(H40)*(H17+H24+H22+H28)</f>
        <v>167.13810000000001</v>
      </c>
      <c r="I39" s="1056"/>
      <c r="J39" s="1035">
        <f>(J40)*(J17+J24+J22+J28)</f>
        <v>172.152243</v>
      </c>
      <c r="K39" s="1046"/>
      <c r="L39" s="1035">
        <f>(L40)*(L17+L24+L22+L28)</f>
        <v>177.31681029000001</v>
      </c>
      <c r="M39" s="276"/>
      <c r="N39" s="32"/>
      <c r="O39" s="474"/>
      <c r="P39" s="381"/>
      <c r="Q39" s="381"/>
      <c r="R39" s="381"/>
      <c r="S39" s="381"/>
      <c r="T39" s="381"/>
      <c r="U39" s="381"/>
      <c r="V39" s="381"/>
      <c r="W39" s="381"/>
      <c r="X39" s="577"/>
      <c r="Y39" s="577"/>
      <c r="Z39" s="577"/>
      <c r="AA39" s="577"/>
      <c r="AB39" s="578"/>
    </row>
    <row r="40" spans="1:28" s="51" customFormat="1" ht="13.2" customHeight="1">
      <c r="A40"/>
      <c r="B40" s="270"/>
      <c r="C40" s="271" t="s">
        <v>426</v>
      </c>
      <c r="D40" s="1057"/>
      <c r="E40" s="1047"/>
      <c r="F40" s="1048">
        <v>2.7E-2</v>
      </c>
      <c r="G40" s="1047"/>
      <c r="H40" s="1049">
        <f>F40</f>
        <v>2.7E-2</v>
      </c>
      <c r="I40" s="1050"/>
      <c r="J40" s="1049">
        <f>H40</f>
        <v>2.7E-2</v>
      </c>
      <c r="K40" s="1047"/>
      <c r="L40" s="1049">
        <f>J40</f>
        <v>2.7E-2</v>
      </c>
      <c r="M40" s="277"/>
      <c r="N40" s="54"/>
      <c r="O40" s="474"/>
      <c r="P40" s="381"/>
      <c r="Q40" s="381"/>
      <c r="R40" s="381"/>
      <c r="S40" s="381"/>
      <c r="T40" s="381"/>
      <c r="U40" s="381"/>
      <c r="V40" s="381"/>
      <c r="W40" s="381"/>
      <c r="X40" s="577"/>
      <c r="Y40" s="577"/>
      <c r="Z40" s="577"/>
      <c r="AA40" s="577"/>
      <c r="AB40" s="578"/>
    </row>
    <row r="41" spans="1:28" s="51" customFormat="1" ht="13.2" customHeight="1">
      <c r="A41"/>
      <c r="B41" s="270"/>
      <c r="C41" s="1127" t="s">
        <v>586</v>
      </c>
      <c r="D41" s="1045"/>
      <c r="E41" s="1033"/>
      <c r="F41" s="1035">
        <f>1.7%*F35+1.34%*(F12+F14*F15)</f>
        <v>2283.8880000000004</v>
      </c>
      <c r="G41" s="1046"/>
      <c r="H41" s="1035">
        <f>1.7%*H35+1.34%*(H12+H14*H15)</f>
        <v>2352.4046400000002</v>
      </c>
      <c r="I41" s="1058"/>
      <c r="J41" s="1035">
        <f>1.7%*J35+1.34%*(J12+J14*J15)</f>
        <v>2422.9767792000002</v>
      </c>
      <c r="K41" s="1046"/>
      <c r="L41" s="1035">
        <f>1.7%*L35+1.34%*(L12+L14*L15)</f>
        <v>2495.666082576</v>
      </c>
      <c r="M41" s="1033"/>
      <c r="N41" s="54"/>
      <c r="O41" s="350">
        <f>F$8</f>
        <v>2023</v>
      </c>
      <c r="P41" s="350">
        <f>H$8</f>
        <v>2024</v>
      </c>
      <c r="Q41" s="350">
        <f>J$8</f>
        <v>2025</v>
      </c>
      <c r="R41" s="350">
        <f>L$8</f>
        <v>2026</v>
      </c>
      <c r="S41" s="381"/>
      <c r="T41" s="381"/>
      <c r="U41" s="381"/>
      <c r="V41" s="381" t="s">
        <v>23</v>
      </c>
      <c r="W41" s="381"/>
      <c r="X41" s="577"/>
      <c r="Y41" s="577"/>
      <c r="Z41" s="577"/>
      <c r="AA41" s="577"/>
      <c r="AB41" s="578"/>
    </row>
    <row r="42" spans="1:28" s="51" customFormat="1" ht="13.2" customHeight="1">
      <c r="A42"/>
      <c r="B42" s="270"/>
      <c r="C42" s="527" t="s">
        <v>427</v>
      </c>
      <c r="D42" s="1045"/>
      <c r="E42" s="1033"/>
      <c r="F42" s="1059">
        <v>0</v>
      </c>
      <c r="G42" s="1046"/>
      <c r="H42" s="1059">
        <f>F42+F42*P42</f>
        <v>0</v>
      </c>
      <c r="I42" s="1058"/>
      <c r="J42" s="1059">
        <f>H42+H42*Q42</f>
        <v>0</v>
      </c>
      <c r="K42" s="1046"/>
      <c r="L42" s="1059">
        <f>J42+J42*R42</f>
        <v>0</v>
      </c>
      <c r="M42" s="1033"/>
      <c r="N42" s="54"/>
      <c r="O42" s="415"/>
      <c r="P42" s="476">
        <v>0.03</v>
      </c>
      <c r="Q42" s="476">
        <f>P42</f>
        <v>0.03</v>
      </c>
      <c r="R42" s="476">
        <f>Q42</f>
        <v>0.03</v>
      </c>
      <c r="S42" s="381"/>
      <c r="T42" s="381"/>
      <c r="U42" s="381"/>
      <c r="V42" s="381"/>
      <c r="W42" s="381"/>
      <c r="X42" s="577"/>
      <c r="Y42" s="577"/>
      <c r="Z42" s="577"/>
      <c r="AA42" s="577"/>
      <c r="AB42" s="578"/>
    </row>
    <row r="43" spans="1:28" s="51" customFormat="1" ht="13.2" customHeight="1">
      <c r="A43"/>
      <c r="B43" s="270"/>
      <c r="C43" s="273" t="s">
        <v>428</v>
      </c>
      <c r="D43" s="1045"/>
      <c r="E43" s="1033"/>
      <c r="F43" s="1060">
        <v>0</v>
      </c>
      <c r="G43" s="1046"/>
      <c r="H43" s="1060">
        <f>F43+F43*P43</f>
        <v>0</v>
      </c>
      <c r="I43" s="1046"/>
      <c r="J43" s="1060">
        <f>H43+H43*Q43</f>
        <v>0</v>
      </c>
      <c r="K43" s="1046"/>
      <c r="L43" s="1060">
        <f>J43+J43*R43</f>
        <v>0</v>
      </c>
      <c r="M43" s="1046"/>
      <c r="N43" s="54"/>
      <c r="O43" s="415"/>
      <c r="P43" s="476">
        <v>0.03</v>
      </c>
      <c r="Q43" s="476">
        <f>P43</f>
        <v>0.03</v>
      </c>
      <c r="R43" s="476">
        <f>Q43</f>
        <v>0.03</v>
      </c>
      <c r="S43" s="381"/>
      <c r="T43" s="381"/>
      <c r="U43" s="381"/>
      <c r="V43" s="381"/>
      <c r="W43" s="381"/>
      <c r="X43" s="577"/>
      <c r="Y43" s="577"/>
      <c r="Z43" s="577"/>
      <c r="AA43" s="577"/>
      <c r="AB43" s="578"/>
    </row>
    <row r="44" spans="1:28" s="51" customFormat="1" ht="13.2" customHeight="1" thickBot="1">
      <c r="A44"/>
      <c r="B44" s="274"/>
      <c r="C44" s="278" t="s">
        <v>429</v>
      </c>
      <c r="D44" s="1051"/>
      <c r="E44" s="1033"/>
      <c r="F44" s="1061">
        <f>F31+F11</f>
        <v>112751.898</v>
      </c>
      <c r="G44" s="1062">
        <v>100</v>
      </c>
      <c r="H44" s="1061">
        <f>H31+H11</f>
        <v>116134.45494</v>
      </c>
      <c r="I44" s="1062">
        <v>100</v>
      </c>
      <c r="J44" s="1061">
        <f>J31+J11</f>
        <v>119618.48858820001</v>
      </c>
      <c r="K44" s="1062">
        <v>100</v>
      </c>
      <c r="L44" s="1061">
        <f>L31+L11</f>
        <v>123207.043245846</v>
      </c>
      <c r="M44" s="1062">
        <v>100</v>
      </c>
      <c r="N44" s="54"/>
      <c r="O44" s="474"/>
      <c r="P44" s="381"/>
      <c r="Q44" s="381"/>
      <c r="R44" s="381"/>
      <c r="S44" s="381"/>
      <c r="T44" s="381"/>
      <c r="U44" s="381"/>
      <c r="V44" s="381"/>
      <c r="W44" s="381"/>
      <c r="X44" s="577"/>
      <c r="Y44" s="577"/>
      <c r="Z44" s="577"/>
      <c r="AA44" s="577"/>
      <c r="AB44" s="578"/>
    </row>
    <row r="45" spans="1:28" s="1" customFormat="1" ht="13.2" customHeight="1" thickBot="1">
      <c r="A45"/>
      <c r="B45" s="1389" t="s">
        <v>4</v>
      </c>
      <c r="C45" s="284" t="s">
        <v>430</v>
      </c>
      <c r="D45" s="1063">
        <f>D46+D52+D63+D69+D74+D79+D83+D86+D87+D88+D94+D99+D104+D107+D112+D116+D117+D118+D121+D119+D120+D122+D123</f>
        <v>42068</v>
      </c>
      <c r="E45" s="1064">
        <v>100</v>
      </c>
      <c r="F45" s="1063">
        <f>F46+F52+F63+F69+F74+F79+F83+F86+F87+F88+F94+F99+F104+F107+F112+F116+F117+F118+F121+F119+F120+F122+F123</f>
        <v>38496.009999999995</v>
      </c>
      <c r="G45" s="1064">
        <v>100</v>
      </c>
      <c r="H45" s="1063">
        <f>H46+H52+H63+H69+H74+H79+H83+H86+H87+H88+H94+H99+H104+H107+H112+H116+H117+H118+H121+H119+H120+H122+H123</f>
        <v>30434.766800000001</v>
      </c>
      <c r="I45" s="1064">
        <v>100</v>
      </c>
      <c r="J45" s="1063">
        <f>J46+J52+J63+J69+J74+J79+J83+J86+J87+J88+J94+J99+J104+J107+J112+J116+J117+J118+J121+J119+J120+J122+J123</f>
        <v>31212.809804000004</v>
      </c>
      <c r="K45" s="1064">
        <v>100</v>
      </c>
      <c r="L45" s="1063">
        <f>L46+L52+L63+L69+L74+L79+L83+L86+L87+L88+L94+L99+L104+L107+L112+L116+L117+L118+L121+L119+L120+L122+L123</f>
        <v>32014.194098119999</v>
      </c>
      <c r="M45" s="1064">
        <v>100</v>
      </c>
      <c r="N45" s="3"/>
      <c r="O45" s="474"/>
      <c r="P45" s="381"/>
      <c r="Q45" s="381"/>
      <c r="R45" s="381"/>
      <c r="S45" s="381"/>
      <c r="T45" s="381"/>
      <c r="U45" s="381"/>
      <c r="V45" s="381"/>
      <c r="W45" s="381"/>
      <c r="X45" s="577"/>
      <c r="Y45" s="577"/>
      <c r="Z45" s="577"/>
      <c r="AA45" s="577"/>
      <c r="AB45" s="578"/>
    </row>
    <row r="46" spans="1:28" s="4" customFormat="1" ht="13.2" customHeight="1">
      <c r="A46"/>
      <c r="B46" s="267" t="s">
        <v>0</v>
      </c>
      <c r="C46" s="279" t="s">
        <v>431</v>
      </c>
      <c r="D46" s="1065">
        <f>SUM(D47:D51)</f>
        <v>2780</v>
      </c>
      <c r="E46" s="1066">
        <f>IF(D$45=0,0,100*D46/D$45)</f>
        <v>6.608348388323666</v>
      </c>
      <c r="F46" s="1065">
        <f>SUM(F47:F51)</f>
        <v>2863.4</v>
      </c>
      <c r="G46" s="1066">
        <f>IF(F$45=0,0,100*F46/F$45)</f>
        <v>7.4381734626523643</v>
      </c>
      <c r="H46" s="1065">
        <f>SUM(H47:H51)</f>
        <v>2949.3019999999997</v>
      </c>
      <c r="I46" s="1066">
        <f>IF(H$45=0,0,100*H46/H$45)</f>
        <v>9.6905687478439937</v>
      </c>
      <c r="J46" s="1065">
        <f>SUM(J47:J51)</f>
        <v>3037.7810600000003</v>
      </c>
      <c r="K46" s="1066">
        <f>IF(J$45=0,0,100*J46/J$45)</f>
        <v>9.7324818850839261</v>
      </c>
      <c r="L46" s="1065">
        <f>SUM(L47:L51)</f>
        <v>3128.9144917999997</v>
      </c>
      <c r="M46" s="1066">
        <f>IF(L$45=0,0,100*L46/L$45)</f>
        <v>9.7735225887936448</v>
      </c>
      <c r="N46" s="49"/>
      <c r="O46" s="350">
        <f>F$8</f>
        <v>2023</v>
      </c>
      <c r="P46" s="350">
        <f>H$8</f>
        <v>2024</v>
      </c>
      <c r="Q46" s="350">
        <f>J$8</f>
        <v>2025</v>
      </c>
      <c r="R46" s="350">
        <f>L$8</f>
        <v>2026</v>
      </c>
      <c r="S46" s="381"/>
      <c r="T46" s="381"/>
      <c r="U46" s="381"/>
      <c r="V46" s="381"/>
      <c r="W46" s="381"/>
      <c r="X46" s="577"/>
      <c r="Y46" s="577"/>
      <c r="Z46" s="577"/>
      <c r="AA46" s="577"/>
      <c r="AB46" s="578"/>
    </row>
    <row r="47" spans="1:28" s="51" customFormat="1" ht="13.2" customHeight="1">
      <c r="A47"/>
      <c r="B47" s="270"/>
      <c r="C47" s="271" t="s">
        <v>432</v>
      </c>
      <c r="D47" s="819">
        <v>660</v>
      </c>
      <c r="E47" s="1033"/>
      <c r="F47" s="819">
        <f>D47+D47*O47</f>
        <v>679.8</v>
      </c>
      <c r="G47" s="1033"/>
      <c r="H47" s="819">
        <f>F47+F47*P47</f>
        <v>700.19399999999996</v>
      </c>
      <c r="I47" s="1033"/>
      <c r="J47" s="819">
        <f>H47+H47*Q47</f>
        <v>721.19981999999993</v>
      </c>
      <c r="K47" s="1033"/>
      <c r="L47" s="819">
        <f>J47+J47*R47</f>
        <v>742.83581459999994</v>
      </c>
      <c r="M47" s="1033"/>
      <c r="N47" s="55"/>
      <c r="O47" s="476">
        <v>0.03</v>
      </c>
      <c r="P47" s="476">
        <f>O47</f>
        <v>0.03</v>
      </c>
      <c r="Q47" s="476">
        <f t="shared" ref="Q47:R51" si="0">P47</f>
        <v>0.03</v>
      </c>
      <c r="R47" s="476">
        <f t="shared" si="0"/>
        <v>0.03</v>
      </c>
      <c r="S47" s="381"/>
      <c r="T47" s="381"/>
      <c r="U47" s="381"/>
      <c r="V47" s="381"/>
      <c r="W47" s="381"/>
      <c r="X47" s="577"/>
      <c r="Y47" s="577"/>
      <c r="Z47" s="577"/>
      <c r="AA47" s="577"/>
      <c r="AB47" s="578"/>
    </row>
    <row r="48" spans="1:28" s="51" customFormat="1" ht="13.2" customHeight="1">
      <c r="A48"/>
      <c r="B48" s="270"/>
      <c r="C48" s="271" t="s">
        <v>433</v>
      </c>
      <c r="D48" s="819">
        <v>750</v>
      </c>
      <c r="E48" s="1033"/>
      <c r="F48" s="819">
        <f>D48+D48*O48</f>
        <v>772.5</v>
      </c>
      <c r="G48" s="1033"/>
      <c r="H48" s="819">
        <f>F48+F48*P48</f>
        <v>795.67499999999995</v>
      </c>
      <c r="I48" s="1033"/>
      <c r="J48" s="819">
        <f>H48+H48*Q48</f>
        <v>819.5452499999999</v>
      </c>
      <c r="K48" s="1033"/>
      <c r="L48" s="819">
        <f>J48+J48*R48</f>
        <v>844.13160749999986</v>
      </c>
      <c r="M48" s="1033"/>
      <c r="N48" s="54"/>
      <c r="O48" s="476">
        <v>0.03</v>
      </c>
      <c r="P48" s="476">
        <f>O48</f>
        <v>0.03</v>
      </c>
      <c r="Q48" s="476">
        <f t="shared" si="0"/>
        <v>0.03</v>
      </c>
      <c r="R48" s="476">
        <f t="shared" si="0"/>
        <v>0.03</v>
      </c>
      <c r="S48" s="381"/>
      <c r="T48" s="381"/>
      <c r="U48" s="381"/>
      <c r="V48" s="381"/>
      <c r="W48" s="381"/>
      <c r="X48" s="577"/>
      <c r="Y48" s="577"/>
      <c r="Z48" s="577"/>
      <c r="AA48" s="577"/>
      <c r="AB48" s="578"/>
    </row>
    <row r="49" spans="1:28" s="51" customFormat="1" ht="13.2" customHeight="1">
      <c r="A49"/>
      <c r="B49" s="270"/>
      <c r="C49" s="271" t="s">
        <v>434</v>
      </c>
      <c r="D49" s="819">
        <v>750</v>
      </c>
      <c r="E49" s="1033"/>
      <c r="F49" s="819">
        <f>D49+D49*O49</f>
        <v>772.5</v>
      </c>
      <c r="G49" s="1033"/>
      <c r="H49" s="819">
        <f>F49+F49*P49</f>
        <v>795.67499999999995</v>
      </c>
      <c r="I49" s="1033"/>
      <c r="J49" s="819">
        <f>H49+H49*Q49</f>
        <v>819.5452499999999</v>
      </c>
      <c r="K49" s="1033"/>
      <c r="L49" s="819">
        <f>J49+J49*R49</f>
        <v>844.13160749999986</v>
      </c>
      <c r="M49" s="1033"/>
      <c r="N49" s="54"/>
      <c r="O49" s="476">
        <v>0.03</v>
      </c>
      <c r="P49" s="476">
        <f>O49</f>
        <v>0.03</v>
      </c>
      <c r="Q49" s="476">
        <f t="shared" si="0"/>
        <v>0.03</v>
      </c>
      <c r="R49" s="476">
        <f t="shared" si="0"/>
        <v>0.03</v>
      </c>
      <c r="S49" s="381"/>
      <c r="T49" s="381"/>
      <c r="U49" s="381"/>
      <c r="V49" s="381"/>
      <c r="W49" s="381"/>
      <c r="X49" s="577"/>
      <c r="Y49" s="577"/>
      <c r="Z49" s="577"/>
      <c r="AA49" s="577"/>
      <c r="AB49" s="578"/>
    </row>
    <row r="50" spans="1:28" s="51" customFormat="1" ht="13.2" customHeight="1">
      <c r="A50"/>
      <c r="B50" s="270"/>
      <c r="C50" s="271" t="s">
        <v>435</v>
      </c>
      <c r="D50" s="819">
        <v>620</v>
      </c>
      <c r="E50" s="1033"/>
      <c r="F50" s="819">
        <f>D50+D50*O50</f>
        <v>638.6</v>
      </c>
      <c r="G50" s="1033"/>
      <c r="H50" s="819">
        <f>F50+F50*P50</f>
        <v>657.75800000000004</v>
      </c>
      <c r="I50" s="1033"/>
      <c r="J50" s="819">
        <f>H50+H50*Q50</f>
        <v>677.49074000000007</v>
      </c>
      <c r="K50" s="1033"/>
      <c r="L50" s="819">
        <f>J50+J50*R50</f>
        <v>697.81546220000007</v>
      </c>
      <c r="M50" s="1033"/>
      <c r="N50" s="54"/>
      <c r="O50" s="476">
        <v>0.03</v>
      </c>
      <c r="P50" s="476">
        <f>O50</f>
        <v>0.03</v>
      </c>
      <c r="Q50" s="476">
        <f t="shared" si="0"/>
        <v>0.03</v>
      </c>
      <c r="R50" s="476">
        <f t="shared" si="0"/>
        <v>0.03</v>
      </c>
      <c r="S50" s="381"/>
      <c r="T50" s="381"/>
      <c r="U50" s="381"/>
      <c r="V50" s="381"/>
      <c r="W50" s="381"/>
      <c r="X50" s="577"/>
      <c r="Y50" s="577"/>
      <c r="Z50" s="577"/>
      <c r="AA50" s="577"/>
      <c r="AB50" s="578"/>
    </row>
    <row r="51" spans="1:28" s="51" customFormat="1" ht="13.2" customHeight="1" thickBot="1">
      <c r="A51"/>
      <c r="B51" s="270"/>
      <c r="C51" s="283" t="s">
        <v>436</v>
      </c>
      <c r="D51" s="1067">
        <v>0</v>
      </c>
      <c r="E51" s="1068"/>
      <c r="F51" s="819">
        <f>D51+D51*O51</f>
        <v>0</v>
      </c>
      <c r="G51" s="1068"/>
      <c r="H51" s="819">
        <f>F51+F51*P51</f>
        <v>0</v>
      </c>
      <c r="I51" s="1068"/>
      <c r="J51" s="1067">
        <f>H51+H51*Q51</f>
        <v>0</v>
      </c>
      <c r="K51" s="1068"/>
      <c r="L51" s="1067">
        <f>J51+J51*R51</f>
        <v>0</v>
      </c>
      <c r="M51" s="1068"/>
      <c r="N51" s="54"/>
      <c r="O51" s="476">
        <v>0.03</v>
      </c>
      <c r="P51" s="476">
        <f>O51</f>
        <v>0.03</v>
      </c>
      <c r="Q51" s="476">
        <f t="shared" si="0"/>
        <v>0.03</v>
      </c>
      <c r="R51" s="476">
        <f t="shared" si="0"/>
        <v>0.03</v>
      </c>
      <c r="S51" s="381"/>
      <c r="T51" s="381"/>
      <c r="U51" s="381"/>
      <c r="V51" s="381"/>
      <c r="W51" s="381"/>
      <c r="X51" s="577"/>
      <c r="Y51" s="577"/>
      <c r="Z51" s="577"/>
      <c r="AA51" s="577"/>
      <c r="AB51" s="578"/>
    </row>
    <row r="52" spans="1:28" s="4" customFormat="1" ht="13.2" customHeight="1">
      <c r="A52"/>
      <c r="B52" s="416" t="s">
        <v>0</v>
      </c>
      <c r="C52" s="417" t="s">
        <v>447</v>
      </c>
      <c r="D52" s="1065">
        <f>SUM(D53:D62)</f>
        <v>20681</v>
      </c>
      <c r="E52" s="1066">
        <f>IF(D$45=0,0,100*D52/D$45)</f>
        <v>49.160882380907104</v>
      </c>
      <c r="F52" s="1065">
        <f>SUM(F53:F62)</f>
        <v>14603.52</v>
      </c>
      <c r="G52" s="1066">
        <f>IF(F$45=0,0,100*F52/F$45)</f>
        <v>37.935152240452979</v>
      </c>
      <c r="H52" s="1065">
        <f>SUM(H53:H62)</f>
        <v>7427.8656000000001</v>
      </c>
      <c r="I52" s="1066">
        <f>IF(H$45=0,0,100*H52/H$45)</f>
        <v>24.405856791385041</v>
      </c>
      <c r="J52" s="1065">
        <f>SUM(J53:J62)</f>
        <v>7650.7015680000004</v>
      </c>
      <c r="K52" s="1066">
        <f>IF(J$45=0,0,100*J52/J$45)</f>
        <v>24.511415716952026</v>
      </c>
      <c r="L52" s="1065">
        <f>SUM(L53:L62)</f>
        <v>7880.2226150400011</v>
      </c>
      <c r="M52" s="1066">
        <f>IF(L$45=0,0,100*L52/L$45)</f>
        <v>24.614777404322538</v>
      </c>
      <c r="N52" s="49"/>
      <c r="O52" s="350">
        <f>F$8</f>
        <v>2023</v>
      </c>
      <c r="P52" s="350">
        <f>H$8</f>
        <v>2024</v>
      </c>
      <c r="Q52" s="350">
        <f>J$8</f>
        <v>2025</v>
      </c>
      <c r="R52" s="350">
        <f>L$8</f>
        <v>2026</v>
      </c>
      <c r="S52" s="381"/>
      <c r="T52" s="381"/>
      <c r="U52" s="381"/>
      <c r="V52" s="381"/>
      <c r="W52" s="381"/>
      <c r="X52" s="577"/>
      <c r="Y52" s="577"/>
      <c r="Z52" s="577"/>
      <c r="AA52" s="577"/>
      <c r="AB52" s="578"/>
    </row>
    <row r="53" spans="1:28" s="51" customFormat="1" ht="13.2" customHeight="1">
      <c r="A53"/>
      <c r="B53" s="280"/>
      <c r="C53" s="271" t="s">
        <v>437</v>
      </c>
      <c r="D53" s="819">
        <v>14784</v>
      </c>
      <c r="E53" s="1033"/>
      <c r="F53" s="819">
        <v>7392</v>
      </c>
      <c r="G53" s="1033"/>
      <c r="H53" s="819">
        <v>0</v>
      </c>
      <c r="I53" s="1033"/>
      <c r="J53" s="819">
        <f>H53+H53*Q53</f>
        <v>0</v>
      </c>
      <c r="K53" s="1033"/>
      <c r="L53" s="819">
        <f t="shared" ref="L53:L62" si="1">J53+J53*R53</f>
        <v>0</v>
      </c>
      <c r="M53" s="1033"/>
      <c r="N53" s="55"/>
      <c r="O53" s="476">
        <v>0.03</v>
      </c>
      <c r="P53" s="476">
        <f t="shared" ref="P53:P62" si="2">O53</f>
        <v>0.03</v>
      </c>
      <c r="Q53" s="476">
        <f t="shared" ref="Q53:R62" si="3">P53</f>
        <v>0.03</v>
      </c>
      <c r="R53" s="476">
        <f t="shared" si="3"/>
        <v>0.03</v>
      </c>
      <c r="S53" s="381" t="s">
        <v>785</v>
      </c>
      <c r="T53" s="381"/>
      <c r="U53" s="381"/>
      <c r="V53" s="381"/>
      <c r="W53" s="381"/>
      <c r="X53" s="577"/>
      <c r="Y53" s="577"/>
      <c r="Z53" s="577"/>
      <c r="AA53" s="577"/>
      <c r="AB53" s="578"/>
    </row>
    <row r="54" spans="1:28" s="51" customFormat="1" ht="13.2" customHeight="1">
      <c r="A54"/>
      <c r="B54" s="270"/>
      <c r="C54" s="271" t="s">
        <v>438</v>
      </c>
      <c r="D54" s="819">
        <v>1320</v>
      </c>
      <c r="E54" s="1033"/>
      <c r="F54" s="819">
        <f t="shared" ref="F53:F62" si="4">D54+D54*O54</f>
        <v>1359.6</v>
      </c>
      <c r="G54" s="1033"/>
      <c r="H54" s="819">
        <f t="shared" ref="H54:H62" si="5">F54+F54*P54</f>
        <v>1400.3879999999999</v>
      </c>
      <c r="I54" s="1033"/>
      <c r="J54" s="819">
        <f t="shared" ref="J54:J62" si="6">H54+H54*Q54</f>
        <v>1442.3996399999999</v>
      </c>
      <c r="K54" s="1033"/>
      <c r="L54" s="819">
        <f t="shared" si="1"/>
        <v>1485.6716291999999</v>
      </c>
      <c r="M54" s="1033"/>
      <c r="N54" s="56"/>
      <c r="O54" s="476">
        <v>0.03</v>
      </c>
      <c r="P54" s="476">
        <f t="shared" si="2"/>
        <v>0.03</v>
      </c>
      <c r="Q54" s="476">
        <f t="shared" si="3"/>
        <v>0.03</v>
      </c>
      <c r="R54" s="476">
        <f t="shared" si="3"/>
        <v>0.03</v>
      </c>
      <c r="S54" s="381"/>
      <c r="T54" s="381"/>
      <c r="U54" s="381"/>
      <c r="V54" s="381"/>
      <c r="W54" s="381"/>
      <c r="X54" s="577"/>
      <c r="Y54" s="577"/>
      <c r="Z54" s="577"/>
      <c r="AA54" s="577"/>
      <c r="AB54" s="578"/>
    </row>
    <row r="55" spans="1:28" s="51" customFormat="1" ht="13.2" customHeight="1">
      <c r="A55" s="52"/>
      <c r="B55" s="270"/>
      <c r="C55" s="271" t="s">
        <v>439</v>
      </c>
      <c r="D55" s="819">
        <v>1414</v>
      </c>
      <c r="E55" s="1033"/>
      <c r="F55" s="819">
        <f t="shared" si="4"/>
        <v>1456.42</v>
      </c>
      <c r="G55" s="1033"/>
      <c r="H55" s="819">
        <f t="shared" si="5"/>
        <v>1500.1126000000002</v>
      </c>
      <c r="I55" s="1033"/>
      <c r="J55" s="819">
        <f t="shared" si="6"/>
        <v>1545.1159780000003</v>
      </c>
      <c r="K55" s="1033"/>
      <c r="L55" s="819">
        <f t="shared" si="1"/>
        <v>1591.4694573400002</v>
      </c>
      <c r="M55" s="1033"/>
      <c r="N55" s="56"/>
      <c r="O55" s="476">
        <v>0.03</v>
      </c>
      <c r="P55" s="476">
        <f t="shared" si="2"/>
        <v>0.03</v>
      </c>
      <c r="Q55" s="476">
        <f t="shared" si="3"/>
        <v>0.03</v>
      </c>
      <c r="R55" s="476">
        <f t="shared" si="3"/>
        <v>0.03</v>
      </c>
      <c r="S55" s="381"/>
      <c r="T55" s="381"/>
      <c r="U55" s="381"/>
      <c r="V55" s="381"/>
      <c r="W55" s="381"/>
      <c r="X55" s="577"/>
      <c r="Y55" s="577"/>
      <c r="Z55" s="577"/>
      <c r="AA55" s="577"/>
      <c r="AB55" s="578"/>
    </row>
    <row r="56" spans="1:28" s="51" customFormat="1" ht="13.2" customHeight="1">
      <c r="A56" s="2"/>
      <c r="B56" s="270"/>
      <c r="C56" s="271" t="s">
        <v>440</v>
      </c>
      <c r="D56" s="819">
        <v>0</v>
      </c>
      <c r="E56" s="1033"/>
      <c r="F56" s="819">
        <f t="shared" si="4"/>
        <v>0</v>
      </c>
      <c r="G56" s="1033"/>
      <c r="H56" s="819">
        <f t="shared" si="5"/>
        <v>0</v>
      </c>
      <c r="I56" s="1033"/>
      <c r="J56" s="819">
        <f t="shared" si="6"/>
        <v>0</v>
      </c>
      <c r="K56" s="1033"/>
      <c r="L56" s="819">
        <f t="shared" si="1"/>
        <v>0</v>
      </c>
      <c r="M56" s="1033"/>
      <c r="N56" s="56"/>
      <c r="O56" s="476">
        <v>0.03</v>
      </c>
      <c r="P56" s="476">
        <f t="shared" si="2"/>
        <v>0.03</v>
      </c>
      <c r="Q56" s="476">
        <f t="shared" si="3"/>
        <v>0.03</v>
      </c>
      <c r="R56" s="476">
        <f t="shared" si="3"/>
        <v>0.03</v>
      </c>
      <c r="S56" s="381"/>
      <c r="T56" s="381"/>
      <c r="U56" s="381"/>
      <c r="V56" s="381"/>
      <c r="W56" s="381"/>
      <c r="X56" s="577"/>
      <c r="Y56" s="577"/>
      <c r="Z56" s="577"/>
      <c r="AA56" s="577"/>
      <c r="AB56" s="578"/>
    </row>
    <row r="57" spans="1:28" s="51" customFormat="1" ht="13.2" customHeight="1">
      <c r="A57"/>
      <c r="B57" s="270"/>
      <c r="C57" s="271" t="s">
        <v>441</v>
      </c>
      <c r="D57" s="819">
        <v>350</v>
      </c>
      <c r="E57" s="1033"/>
      <c r="F57" s="819">
        <f t="shared" si="4"/>
        <v>360.5</v>
      </c>
      <c r="G57" s="1033"/>
      <c r="H57" s="819">
        <f t="shared" si="5"/>
        <v>371.315</v>
      </c>
      <c r="I57" s="1033"/>
      <c r="J57" s="819">
        <f t="shared" si="6"/>
        <v>382.45445000000001</v>
      </c>
      <c r="K57" s="1033"/>
      <c r="L57" s="819">
        <f t="shared" si="1"/>
        <v>393.92808350000001</v>
      </c>
      <c r="M57" s="1033"/>
      <c r="N57" s="56"/>
      <c r="O57" s="476">
        <v>0.03</v>
      </c>
      <c r="P57" s="476">
        <f t="shared" si="2"/>
        <v>0.03</v>
      </c>
      <c r="Q57" s="476">
        <f t="shared" si="3"/>
        <v>0.03</v>
      </c>
      <c r="R57" s="476">
        <f t="shared" si="3"/>
        <v>0.03</v>
      </c>
      <c r="S57" s="381"/>
      <c r="T57" s="381"/>
      <c r="U57" s="381"/>
      <c r="V57" s="381"/>
      <c r="W57" s="381"/>
      <c r="X57" s="577"/>
      <c r="Y57" s="577"/>
      <c r="Z57" s="577"/>
      <c r="AA57" s="577"/>
      <c r="AB57" s="578"/>
    </row>
    <row r="58" spans="1:28" s="51" customFormat="1" ht="13.2" customHeight="1">
      <c r="A58"/>
      <c r="B58" s="270"/>
      <c r="C58" s="271" t="s">
        <v>442</v>
      </c>
      <c r="D58" s="819">
        <v>2180</v>
      </c>
      <c r="E58" s="1033"/>
      <c r="F58" s="819">
        <v>1200</v>
      </c>
      <c r="G58" s="1033"/>
      <c r="H58" s="819">
        <f t="shared" si="5"/>
        <v>1236</v>
      </c>
      <c r="I58" s="1033"/>
      <c r="J58" s="819">
        <f t="shared" si="6"/>
        <v>1273.08</v>
      </c>
      <c r="K58" s="1033"/>
      <c r="L58" s="819">
        <f t="shared" si="1"/>
        <v>1311.2723999999998</v>
      </c>
      <c r="M58" s="1033"/>
      <c r="N58" s="56"/>
      <c r="O58" s="476">
        <v>0.03</v>
      </c>
      <c r="P58" s="476">
        <f t="shared" si="2"/>
        <v>0.03</v>
      </c>
      <c r="Q58" s="476">
        <f t="shared" si="3"/>
        <v>0.03</v>
      </c>
      <c r="R58" s="476">
        <f t="shared" si="3"/>
        <v>0.03</v>
      </c>
      <c r="S58" s="381"/>
      <c r="T58" s="381"/>
      <c r="U58" s="381"/>
      <c r="V58" s="381"/>
      <c r="W58" s="381"/>
      <c r="X58" s="577"/>
      <c r="Y58" s="577"/>
      <c r="Z58" s="577"/>
      <c r="AA58" s="577"/>
      <c r="AB58" s="578"/>
    </row>
    <row r="59" spans="1:28" s="51" customFormat="1" ht="13.2" customHeight="1">
      <c r="B59" s="270"/>
      <c r="C59" s="271" t="s">
        <v>443</v>
      </c>
      <c r="D59" s="819">
        <v>633</v>
      </c>
      <c r="E59" s="1033"/>
      <c r="F59" s="819">
        <v>1660</v>
      </c>
      <c r="G59" s="1033"/>
      <c r="H59" s="819">
        <f t="shared" si="5"/>
        <v>1709.8</v>
      </c>
      <c r="I59" s="1033"/>
      <c r="J59" s="819">
        <f t="shared" si="6"/>
        <v>1761.0940000000001</v>
      </c>
      <c r="K59" s="1033"/>
      <c r="L59" s="819">
        <f t="shared" si="1"/>
        <v>1813.9268200000001</v>
      </c>
      <c r="M59" s="1033"/>
      <c r="N59" s="56"/>
      <c r="O59" s="476">
        <v>0.03</v>
      </c>
      <c r="P59" s="476">
        <f t="shared" si="2"/>
        <v>0.03</v>
      </c>
      <c r="Q59" s="476">
        <f t="shared" si="3"/>
        <v>0.03</v>
      </c>
      <c r="R59" s="476">
        <f t="shared" si="3"/>
        <v>0.03</v>
      </c>
      <c r="S59" s="381"/>
      <c r="T59" s="381"/>
      <c r="U59" s="381"/>
      <c r="V59" s="381"/>
      <c r="W59" s="381"/>
      <c r="X59" s="577"/>
      <c r="Y59" s="577"/>
      <c r="Z59" s="577"/>
      <c r="AA59" s="577"/>
      <c r="AB59" s="578"/>
    </row>
    <row r="60" spans="1:28" s="51" customFormat="1" ht="13.2" customHeight="1">
      <c r="A60" s="4"/>
      <c r="B60" s="270"/>
      <c r="C60" s="271" t="s">
        <v>444</v>
      </c>
      <c r="D60" s="819"/>
      <c r="E60" s="1033"/>
      <c r="F60" s="819">
        <f t="shared" si="4"/>
        <v>0</v>
      </c>
      <c r="G60" s="1033"/>
      <c r="H60" s="819">
        <f>F60+F60*P60</f>
        <v>0</v>
      </c>
      <c r="I60" s="1033"/>
      <c r="J60" s="819">
        <f>H60+H60*Q60</f>
        <v>0</v>
      </c>
      <c r="K60" s="1033"/>
      <c r="L60" s="819">
        <f>J60+J60*R60</f>
        <v>0</v>
      </c>
      <c r="M60" s="1033"/>
      <c r="N60" s="56"/>
      <c r="O60" s="476">
        <v>0.03</v>
      </c>
      <c r="P60" s="476">
        <f t="shared" si="2"/>
        <v>0.03</v>
      </c>
      <c r="Q60" s="476">
        <f t="shared" si="3"/>
        <v>0.03</v>
      </c>
      <c r="R60" s="476">
        <f t="shared" si="3"/>
        <v>0.03</v>
      </c>
      <c r="S60" s="381"/>
      <c r="T60" s="381"/>
      <c r="U60" s="381"/>
      <c r="V60" s="381"/>
      <c r="W60" s="381"/>
      <c r="X60" s="577"/>
      <c r="Y60" s="577"/>
      <c r="Z60" s="577"/>
      <c r="AA60" s="577"/>
      <c r="AB60" s="578"/>
    </row>
    <row r="61" spans="1:28" s="51" customFormat="1" ht="13.2" customHeight="1">
      <c r="A61" s="4"/>
      <c r="B61" s="270"/>
      <c r="C61" s="271" t="s">
        <v>445</v>
      </c>
      <c r="D61" s="819">
        <v>0</v>
      </c>
      <c r="E61" s="1033"/>
      <c r="F61" s="819">
        <v>750</v>
      </c>
      <c r="G61" s="1033"/>
      <c r="H61" s="819">
        <f t="shared" si="5"/>
        <v>772.5</v>
      </c>
      <c r="I61" s="1033">
        <v>0</v>
      </c>
      <c r="J61" s="819">
        <f t="shared" si="6"/>
        <v>795.67499999999995</v>
      </c>
      <c r="K61" s="1033"/>
      <c r="L61" s="819">
        <f>J61+J61*R61</f>
        <v>819.5452499999999</v>
      </c>
      <c r="M61" s="1033"/>
      <c r="N61" s="56"/>
      <c r="O61" s="476">
        <v>0.03</v>
      </c>
      <c r="P61" s="476">
        <f t="shared" si="2"/>
        <v>0.03</v>
      </c>
      <c r="Q61" s="476">
        <f t="shared" si="3"/>
        <v>0.03</v>
      </c>
      <c r="R61" s="476">
        <f t="shared" si="3"/>
        <v>0.03</v>
      </c>
      <c r="S61" s="381"/>
      <c r="T61" s="381"/>
      <c r="U61" s="381"/>
      <c r="V61" s="381"/>
      <c r="W61" s="381"/>
      <c r="X61" s="577"/>
      <c r="Y61" s="577"/>
      <c r="Z61" s="577"/>
      <c r="AA61" s="577"/>
      <c r="AB61" s="578"/>
    </row>
    <row r="62" spans="1:28" s="51" customFormat="1" ht="13.2" customHeight="1" thickBot="1">
      <c r="A62" s="52"/>
      <c r="B62" s="270"/>
      <c r="C62" s="281" t="s">
        <v>446</v>
      </c>
      <c r="D62" s="1069">
        <v>0</v>
      </c>
      <c r="E62" s="1070"/>
      <c r="F62" s="819">
        <v>425</v>
      </c>
      <c r="G62" s="1070"/>
      <c r="H62" s="819">
        <f t="shared" si="5"/>
        <v>437.75</v>
      </c>
      <c r="I62" s="1070"/>
      <c r="J62" s="819">
        <f t="shared" si="6"/>
        <v>450.88249999999999</v>
      </c>
      <c r="K62" s="1070"/>
      <c r="L62" s="819">
        <f t="shared" si="1"/>
        <v>464.408975</v>
      </c>
      <c r="M62" s="1070"/>
      <c r="N62" s="56"/>
      <c r="O62" s="476">
        <v>0.03</v>
      </c>
      <c r="P62" s="476">
        <f t="shared" si="2"/>
        <v>0.03</v>
      </c>
      <c r="Q62" s="476">
        <f t="shared" si="3"/>
        <v>0.03</v>
      </c>
      <c r="R62" s="476">
        <f t="shared" si="3"/>
        <v>0.03</v>
      </c>
      <c r="S62" s="381"/>
      <c r="T62" s="381"/>
      <c r="U62" s="381"/>
      <c r="V62" s="381"/>
      <c r="W62" s="381"/>
      <c r="X62" s="577"/>
      <c r="Y62" s="577"/>
      <c r="Z62" s="577"/>
      <c r="AA62" s="577"/>
      <c r="AB62" s="578"/>
    </row>
    <row r="63" spans="1:28" s="4" customFormat="1" ht="13.2" customHeight="1">
      <c r="A63"/>
      <c r="B63" s="267"/>
      <c r="C63" s="279" t="s">
        <v>589</v>
      </c>
      <c r="D63" s="1065">
        <f>SUM(D64:D68)</f>
        <v>0</v>
      </c>
      <c r="E63" s="1066">
        <f>IF(D$45=0,0,100*D63/D$45)</f>
        <v>0</v>
      </c>
      <c r="F63" s="1065">
        <f>SUM(F64:F68)</f>
        <v>0</v>
      </c>
      <c r="G63" s="1066">
        <f>IF(F$45=0,0,100*F63/F$45)</f>
        <v>0</v>
      </c>
      <c r="H63" s="1065">
        <f>SUM(H64:H68)</f>
        <v>0</v>
      </c>
      <c r="I63" s="1066">
        <f>IF(H$45=0,0,100*H63/H$45)</f>
        <v>0</v>
      </c>
      <c r="J63" s="1065">
        <f>SUM(J64:J68)</f>
        <v>0</v>
      </c>
      <c r="K63" s="1066">
        <f>IF(J$45=0,0,100*J63/J$45)</f>
        <v>0</v>
      </c>
      <c r="L63" s="1065">
        <f>SUM(L64:L68)</f>
        <v>0</v>
      </c>
      <c r="M63" s="1066">
        <f>IF(L$45=0,0,100*L63/L$45)</f>
        <v>0</v>
      </c>
      <c r="N63" s="32"/>
      <c r="O63" s="350">
        <f>F$8</f>
        <v>2023</v>
      </c>
      <c r="P63" s="350">
        <f>H$8</f>
        <v>2024</v>
      </c>
      <c r="Q63" s="350">
        <f>J$8</f>
        <v>2025</v>
      </c>
      <c r="R63" s="350">
        <f>L$8</f>
        <v>2026</v>
      </c>
      <c r="S63" s="381"/>
      <c r="T63" s="381"/>
      <c r="U63" s="381"/>
      <c r="V63" s="381"/>
      <c r="W63" s="381"/>
      <c r="X63" s="577"/>
      <c r="Y63" s="577"/>
      <c r="Z63" s="577"/>
      <c r="AA63" s="577"/>
      <c r="AB63" s="578"/>
    </row>
    <row r="64" spans="1:28" s="51" customFormat="1" ht="13.2" customHeight="1">
      <c r="A64" s="52"/>
      <c r="B64" s="270"/>
      <c r="C64" s="271" t="s">
        <v>448</v>
      </c>
      <c r="D64" s="819">
        <v>0</v>
      </c>
      <c r="E64" s="1033"/>
      <c r="F64" s="819">
        <f>D64+D64*O64</f>
        <v>0</v>
      </c>
      <c r="G64" s="1033"/>
      <c r="H64" s="819">
        <f>F64+F64*P64</f>
        <v>0</v>
      </c>
      <c r="I64" s="1033"/>
      <c r="J64" s="819">
        <f>H64+H64*Q64</f>
        <v>0</v>
      </c>
      <c r="K64" s="1033"/>
      <c r="L64" s="819">
        <f>J64+J64*R64</f>
        <v>0</v>
      </c>
      <c r="M64" s="1033"/>
      <c r="N64" s="54"/>
      <c r="O64" s="476">
        <v>0.03</v>
      </c>
      <c r="P64" s="476">
        <f>O64</f>
        <v>0.03</v>
      </c>
      <c r="Q64" s="476">
        <f t="shared" ref="Q64:R68" si="7">P64</f>
        <v>0.03</v>
      </c>
      <c r="R64" s="476">
        <f t="shared" si="7"/>
        <v>0.03</v>
      </c>
      <c r="S64" s="381"/>
      <c r="T64" s="381"/>
      <c r="U64" s="381"/>
      <c r="V64" s="381"/>
      <c r="W64" s="381"/>
      <c r="X64" s="577"/>
      <c r="Y64" s="577"/>
      <c r="Z64" s="577"/>
      <c r="AA64" s="577"/>
      <c r="AB64" s="578"/>
    </row>
    <row r="65" spans="1:28" s="51" customFormat="1" ht="13.2" customHeight="1">
      <c r="B65" s="270"/>
      <c r="C65" s="271" t="s">
        <v>449</v>
      </c>
      <c r="D65" s="819">
        <v>0</v>
      </c>
      <c r="E65" s="1033"/>
      <c r="F65" s="819">
        <f>D65+D65*O65</f>
        <v>0</v>
      </c>
      <c r="G65" s="1033"/>
      <c r="H65" s="819">
        <f>F65+F65*P65</f>
        <v>0</v>
      </c>
      <c r="I65" s="1033"/>
      <c r="J65" s="819">
        <f>H65+H65*Q65</f>
        <v>0</v>
      </c>
      <c r="K65" s="1033"/>
      <c r="L65" s="819">
        <f>J65+J65*R65</f>
        <v>0</v>
      </c>
      <c r="M65" s="1033"/>
      <c r="N65" s="54"/>
      <c r="O65" s="476">
        <v>0.03</v>
      </c>
      <c r="P65" s="476">
        <f>O65</f>
        <v>0.03</v>
      </c>
      <c r="Q65" s="476">
        <f t="shared" si="7"/>
        <v>0.03</v>
      </c>
      <c r="R65" s="476">
        <f t="shared" si="7"/>
        <v>0.03</v>
      </c>
      <c r="S65" s="381"/>
      <c r="T65" s="381"/>
      <c r="U65" s="381"/>
      <c r="V65" s="381"/>
      <c r="W65" s="381"/>
      <c r="X65" s="577"/>
      <c r="Y65" s="577"/>
      <c r="Z65" s="577"/>
      <c r="AA65" s="577"/>
      <c r="AB65" s="578"/>
    </row>
    <row r="66" spans="1:28" s="51" customFormat="1" ht="13.2" customHeight="1">
      <c r="B66" s="270"/>
      <c r="C66" s="271" t="s">
        <v>450</v>
      </c>
      <c r="D66" s="819">
        <v>0</v>
      </c>
      <c r="E66" s="1033"/>
      <c r="F66" s="819">
        <f>D66+D66*O66</f>
        <v>0</v>
      </c>
      <c r="G66" s="1033"/>
      <c r="H66" s="819">
        <f>F66+F66*P66</f>
        <v>0</v>
      </c>
      <c r="I66" s="1033"/>
      <c r="J66" s="819">
        <f>H66+H66*Q66</f>
        <v>0</v>
      </c>
      <c r="K66" s="1033"/>
      <c r="L66" s="819">
        <f>J66+J66*R66</f>
        <v>0</v>
      </c>
      <c r="M66" s="1033"/>
      <c r="N66" s="54"/>
      <c r="O66" s="476">
        <v>0.03</v>
      </c>
      <c r="P66" s="476">
        <f>O66</f>
        <v>0.03</v>
      </c>
      <c r="Q66" s="476">
        <f t="shared" si="7"/>
        <v>0.03</v>
      </c>
      <c r="R66" s="476">
        <f t="shared" si="7"/>
        <v>0.03</v>
      </c>
      <c r="S66" s="381"/>
      <c r="T66" s="381"/>
      <c r="U66" s="381"/>
      <c r="V66" s="381"/>
      <c r="W66" s="381"/>
      <c r="X66" s="577"/>
      <c r="Y66" s="577"/>
      <c r="Z66" s="577"/>
      <c r="AA66" s="577"/>
      <c r="AB66" s="578"/>
    </row>
    <row r="67" spans="1:28" s="51" customFormat="1" ht="13.2" customHeight="1">
      <c r="B67" s="270"/>
      <c r="C67" s="271" t="s">
        <v>451</v>
      </c>
      <c r="D67" s="819">
        <v>0</v>
      </c>
      <c r="E67" s="1033"/>
      <c r="F67" s="819">
        <f>D67+D67*O67</f>
        <v>0</v>
      </c>
      <c r="G67" s="1033"/>
      <c r="H67" s="819">
        <f>F67+F67*P67</f>
        <v>0</v>
      </c>
      <c r="I67" s="1033"/>
      <c r="J67" s="819">
        <f>H67+H67*Q67</f>
        <v>0</v>
      </c>
      <c r="K67" s="1033"/>
      <c r="L67" s="819">
        <f>J67+J67*R67</f>
        <v>0</v>
      </c>
      <c r="M67" s="1033"/>
      <c r="N67" s="54"/>
      <c r="O67" s="476">
        <v>0.03</v>
      </c>
      <c r="P67" s="476">
        <f>O67</f>
        <v>0.03</v>
      </c>
      <c r="Q67" s="476">
        <f t="shared" si="7"/>
        <v>0.03</v>
      </c>
      <c r="R67" s="476">
        <f t="shared" si="7"/>
        <v>0.03</v>
      </c>
      <c r="S67" s="381"/>
      <c r="T67" s="381"/>
      <c r="U67" s="381"/>
      <c r="V67" s="381"/>
      <c r="W67" s="381"/>
      <c r="X67" s="577"/>
      <c r="Y67" s="577"/>
      <c r="Z67" s="577"/>
      <c r="AA67" s="577"/>
      <c r="AB67" s="578"/>
    </row>
    <row r="68" spans="1:28" s="51" customFormat="1" ht="13.2" customHeight="1" thickBot="1">
      <c r="B68" s="270"/>
      <c r="C68" s="281" t="s">
        <v>452</v>
      </c>
      <c r="D68" s="1069">
        <v>0</v>
      </c>
      <c r="E68" s="1070"/>
      <c r="F68" s="819">
        <f>D68+D68*O68</f>
        <v>0</v>
      </c>
      <c r="G68" s="1070"/>
      <c r="H68" s="819">
        <f>F68+F68*P68</f>
        <v>0</v>
      </c>
      <c r="I68" s="1070"/>
      <c r="J68" s="819">
        <f>H68+H68*Q68</f>
        <v>0</v>
      </c>
      <c r="K68" s="1070"/>
      <c r="L68" s="819">
        <f>J68+J68*R68</f>
        <v>0</v>
      </c>
      <c r="M68" s="1070"/>
      <c r="N68" s="54"/>
      <c r="O68" s="476">
        <v>0.03</v>
      </c>
      <c r="P68" s="476">
        <f>O68</f>
        <v>0.03</v>
      </c>
      <c r="Q68" s="476">
        <f t="shared" si="7"/>
        <v>0.03</v>
      </c>
      <c r="R68" s="476">
        <f t="shared" si="7"/>
        <v>0.03</v>
      </c>
      <c r="S68" s="579"/>
      <c r="T68" s="579"/>
      <c r="U68" s="579"/>
      <c r="V68" s="579"/>
      <c r="W68" s="579"/>
      <c r="X68" s="580"/>
      <c r="Y68" s="580"/>
      <c r="Z68" s="580"/>
      <c r="AA68" s="580"/>
      <c r="AB68" s="581"/>
    </row>
    <row r="69" spans="1:28" s="4" customFormat="1" ht="13.2" customHeight="1">
      <c r="B69" s="267"/>
      <c r="C69" s="279" t="s">
        <v>453</v>
      </c>
      <c r="D69" s="1065">
        <f>SUM(D70:D73)</f>
        <v>1064</v>
      </c>
      <c r="E69" s="1066">
        <f>IF(D$45=0,0,100*D69/D$45)</f>
        <v>2.529238375962727</v>
      </c>
      <c r="F69" s="1065">
        <f>SUM(F70:F73)</f>
        <v>1095.92</v>
      </c>
      <c r="G69" s="1066">
        <f>IF(F$45=0,0,100*F69/F$45)</f>
        <v>2.8468404907417684</v>
      </c>
      <c r="H69" s="1065">
        <f>SUM(H70:H73)</f>
        <v>1128.7976000000001</v>
      </c>
      <c r="I69" s="1066">
        <f>IF(H$45=0,0,100*H69/H$45)</f>
        <v>3.7089083265129537</v>
      </c>
      <c r="J69" s="1065">
        <f>SUM(J70:J73)</f>
        <v>1162.6615280000001</v>
      </c>
      <c r="K69" s="1066">
        <f>IF(J$45=0,0,100*J69/J$45)</f>
        <v>3.724949901341474</v>
      </c>
      <c r="L69" s="1065">
        <f>SUM(L70:L73)</f>
        <v>1197.54137384</v>
      </c>
      <c r="M69" s="1066">
        <f>IF(L$45=0,0,100*L69/L$45)</f>
        <v>3.7406575663584309</v>
      </c>
      <c r="N69" s="32"/>
      <c r="O69" s="525">
        <f>F$8</f>
        <v>2023</v>
      </c>
      <c r="P69" s="525">
        <f>H$8</f>
        <v>2024</v>
      </c>
      <c r="Q69" s="525">
        <f>J$8</f>
        <v>2025</v>
      </c>
      <c r="R69" s="525">
        <f>L$8</f>
        <v>2026</v>
      </c>
      <c r="S69" s="381"/>
      <c r="T69" s="381"/>
      <c r="U69" s="381"/>
      <c r="V69" s="381"/>
      <c r="W69" s="381"/>
      <c r="X69" s="577"/>
      <c r="Y69" s="577"/>
      <c r="Z69" s="577"/>
      <c r="AA69" s="577"/>
      <c r="AB69" s="578"/>
    </row>
    <row r="70" spans="1:28" s="51" customFormat="1" ht="13.2" customHeight="1">
      <c r="B70" s="270"/>
      <c r="C70" s="271" t="s">
        <v>454</v>
      </c>
      <c r="D70" s="819">
        <v>320</v>
      </c>
      <c r="E70" s="1033"/>
      <c r="F70" s="819">
        <f>D70+D70*O70</f>
        <v>329.6</v>
      </c>
      <c r="G70" s="1033"/>
      <c r="H70" s="819">
        <f>F70+F70*P70</f>
        <v>339.488</v>
      </c>
      <c r="I70" s="1033"/>
      <c r="J70" s="819">
        <f>H70+H70*Q70</f>
        <v>349.67264</v>
      </c>
      <c r="K70" s="1033"/>
      <c r="L70" s="819">
        <f>J70+J70*R70</f>
        <v>360.1628192</v>
      </c>
      <c r="M70" s="1033"/>
      <c r="N70" s="54"/>
      <c r="O70" s="476">
        <v>0.03</v>
      </c>
      <c r="P70" s="476">
        <f>O70</f>
        <v>0.03</v>
      </c>
      <c r="Q70" s="476">
        <f t="shared" ref="Q70:R73" si="8">P70</f>
        <v>0.03</v>
      </c>
      <c r="R70" s="476">
        <f t="shared" si="8"/>
        <v>0.03</v>
      </c>
      <c r="S70" s="381"/>
      <c r="T70" s="381"/>
      <c r="U70" s="381"/>
      <c r="V70" s="381"/>
      <c r="W70" s="381"/>
      <c r="X70" s="577"/>
      <c r="Y70" s="577"/>
      <c r="Z70" s="577"/>
      <c r="AA70" s="577"/>
      <c r="AB70" s="578"/>
    </row>
    <row r="71" spans="1:28" s="51" customFormat="1" ht="13.2" customHeight="1">
      <c r="B71" s="270"/>
      <c r="C71" s="271" t="s">
        <v>455</v>
      </c>
      <c r="D71" s="819">
        <v>66</v>
      </c>
      <c r="E71" s="1033"/>
      <c r="F71" s="819">
        <f>D71+D71*O71</f>
        <v>67.98</v>
      </c>
      <c r="G71" s="1033"/>
      <c r="H71" s="819">
        <f>F71+F71*P71</f>
        <v>70.019400000000005</v>
      </c>
      <c r="I71" s="1033"/>
      <c r="J71" s="819">
        <f>H71+H71*Q71</f>
        <v>72.119982000000007</v>
      </c>
      <c r="K71" s="1033"/>
      <c r="L71" s="819">
        <f>J71+J71*R71</f>
        <v>74.283581460000008</v>
      </c>
      <c r="M71" s="1033"/>
      <c r="N71" s="54"/>
      <c r="O71" s="476">
        <v>0.03</v>
      </c>
      <c r="P71" s="476">
        <f>O71</f>
        <v>0.03</v>
      </c>
      <c r="Q71" s="476">
        <f t="shared" si="8"/>
        <v>0.03</v>
      </c>
      <c r="R71" s="476">
        <f t="shared" si="8"/>
        <v>0.03</v>
      </c>
      <c r="S71" s="381"/>
      <c r="T71" s="381"/>
      <c r="U71" s="381"/>
      <c r="V71" s="381"/>
      <c r="W71" s="381"/>
      <c r="X71" s="577"/>
      <c r="Y71" s="577"/>
      <c r="Z71" s="577"/>
      <c r="AA71" s="577"/>
      <c r="AB71" s="578"/>
    </row>
    <row r="72" spans="1:28" s="51" customFormat="1" ht="13.2" customHeight="1">
      <c r="B72" s="270"/>
      <c r="C72" s="271" t="s">
        <v>456</v>
      </c>
      <c r="D72" s="819">
        <v>560</v>
      </c>
      <c r="E72" s="1033"/>
      <c r="F72" s="819">
        <f>D72+D72*O72</f>
        <v>576.79999999999995</v>
      </c>
      <c r="G72" s="1033"/>
      <c r="H72" s="819">
        <f>F72+F72*P72</f>
        <v>594.10399999999993</v>
      </c>
      <c r="I72" s="1033"/>
      <c r="J72" s="819">
        <f>H72+H72*Q72</f>
        <v>611.92711999999995</v>
      </c>
      <c r="K72" s="1033"/>
      <c r="L72" s="819">
        <f>J72+J72*R72</f>
        <v>630.28493359999993</v>
      </c>
      <c r="M72" s="1033"/>
      <c r="N72" s="54"/>
      <c r="O72" s="476">
        <v>0.03</v>
      </c>
      <c r="P72" s="476">
        <f>O72</f>
        <v>0.03</v>
      </c>
      <c r="Q72" s="476">
        <f t="shared" si="8"/>
        <v>0.03</v>
      </c>
      <c r="R72" s="476">
        <f t="shared" si="8"/>
        <v>0.03</v>
      </c>
      <c r="S72" s="381"/>
      <c r="T72" s="381"/>
      <c r="U72" s="381"/>
      <c r="V72" s="381"/>
      <c r="W72" s="381"/>
      <c r="X72" s="577"/>
      <c r="Y72" s="577"/>
      <c r="Z72" s="577"/>
      <c r="AA72" s="577"/>
      <c r="AB72" s="578"/>
    </row>
    <row r="73" spans="1:28" s="51" customFormat="1" ht="13.2" customHeight="1" thickBot="1">
      <c r="B73" s="270"/>
      <c r="C73" s="281" t="s">
        <v>457</v>
      </c>
      <c r="D73" s="1069">
        <v>118</v>
      </c>
      <c r="E73" s="1070"/>
      <c r="F73" s="819">
        <f>D73+D73*O73</f>
        <v>121.54</v>
      </c>
      <c r="G73" s="1070"/>
      <c r="H73" s="819">
        <f>F73+F73*P73</f>
        <v>125.1862</v>
      </c>
      <c r="I73" s="1070"/>
      <c r="J73" s="1069">
        <f>H73+H73*Q73</f>
        <v>128.94178600000001</v>
      </c>
      <c r="K73" s="1070"/>
      <c r="L73" s="1069">
        <f>J73+J73*R73</f>
        <v>132.81003957999999</v>
      </c>
      <c r="M73" s="1070"/>
      <c r="N73" s="54"/>
      <c r="O73" s="476">
        <v>0.03</v>
      </c>
      <c r="P73" s="476">
        <f>O73</f>
        <v>0.03</v>
      </c>
      <c r="Q73" s="476">
        <f t="shared" si="8"/>
        <v>0.03</v>
      </c>
      <c r="R73" s="476">
        <f t="shared" si="8"/>
        <v>0.03</v>
      </c>
      <c r="S73" s="381"/>
      <c r="T73" s="381"/>
      <c r="U73" s="381"/>
      <c r="V73" s="381"/>
      <c r="W73" s="381"/>
      <c r="X73" s="577"/>
      <c r="Y73" s="577"/>
      <c r="Z73" s="577"/>
      <c r="AA73" s="577"/>
      <c r="AB73" s="578"/>
    </row>
    <row r="74" spans="1:28" s="4" customFormat="1" ht="13.2" customHeight="1">
      <c r="B74" s="267"/>
      <c r="C74" s="282" t="s">
        <v>494</v>
      </c>
      <c r="D74" s="1065">
        <f>SUM(D75:D78)</f>
        <v>3329</v>
      </c>
      <c r="E74" s="1066">
        <f>IF(D$45=0,0,100*D74/D$45)</f>
        <v>7.91337833983075</v>
      </c>
      <c r="F74" s="1065">
        <f>SUM(F75:F78)</f>
        <v>3428.87</v>
      </c>
      <c r="G74" s="1066">
        <f>IF(F$45=0,0,100*F74/F$45)</f>
        <v>8.9070789414279563</v>
      </c>
      <c r="H74" s="1065">
        <f>SUM(H75:H78)</f>
        <v>3531.7360999999996</v>
      </c>
      <c r="I74" s="1066">
        <f>IF(H$45=0,0,100*H74/H$45)</f>
        <v>11.604281784738365</v>
      </c>
      <c r="J74" s="1065">
        <f>SUM(J75:J78)</f>
        <v>3637.6881829999998</v>
      </c>
      <c r="K74" s="1066">
        <f>IF(J$45=0,0,100*J74/J$45)</f>
        <v>11.65447201274978</v>
      </c>
      <c r="L74" s="1065">
        <f>SUM(L75:L78)</f>
        <v>3746.8188284899993</v>
      </c>
      <c r="M74" s="1071">
        <f>IF(L$45=0,0,100*L74/L$45)</f>
        <v>11.703617517300014</v>
      </c>
      <c r="N74" s="32"/>
      <c r="O74" s="350">
        <f>F$8</f>
        <v>2023</v>
      </c>
      <c r="P74" s="350">
        <f>H$8</f>
        <v>2024</v>
      </c>
      <c r="Q74" s="350">
        <f>J$8</f>
        <v>2025</v>
      </c>
      <c r="R74" s="350">
        <f>L$8</f>
        <v>2026</v>
      </c>
      <c r="S74" s="381"/>
      <c r="T74" s="381"/>
      <c r="U74" s="381"/>
      <c r="V74" s="381"/>
      <c r="W74" s="381"/>
      <c r="X74" s="577"/>
      <c r="Y74" s="577"/>
      <c r="Z74" s="577"/>
      <c r="AA74" s="577"/>
      <c r="AB74" s="578"/>
    </row>
    <row r="75" spans="1:28" s="51" customFormat="1" ht="13.2" customHeight="1">
      <c r="B75" s="270"/>
      <c r="C75" s="271" t="s">
        <v>495</v>
      </c>
      <c r="D75" s="819">
        <v>0</v>
      </c>
      <c r="E75" s="1033"/>
      <c r="F75" s="819">
        <f>D75+D75*O75</f>
        <v>0</v>
      </c>
      <c r="G75" s="1033"/>
      <c r="H75" s="819">
        <f>F75+F75*P75</f>
        <v>0</v>
      </c>
      <c r="I75" s="1033"/>
      <c r="J75" s="819">
        <f>H75+H75*Q75</f>
        <v>0</v>
      </c>
      <c r="K75" s="1033"/>
      <c r="L75" s="819">
        <f>J75+J75*R75</f>
        <v>0</v>
      </c>
      <c r="M75" s="1033"/>
      <c r="N75" s="54"/>
      <c r="O75" s="476">
        <v>0.03</v>
      </c>
      <c r="P75" s="476">
        <f>O75</f>
        <v>0.03</v>
      </c>
      <c r="Q75" s="476">
        <f t="shared" ref="Q75:R78" si="9">P75</f>
        <v>0.03</v>
      </c>
      <c r="R75" s="476">
        <f t="shared" si="9"/>
        <v>0.03</v>
      </c>
      <c r="S75" s="381"/>
      <c r="T75" s="381"/>
      <c r="U75" s="381"/>
      <c r="V75" s="381"/>
      <c r="W75" s="381"/>
      <c r="X75" s="577"/>
      <c r="Y75" s="577"/>
      <c r="Z75" s="577"/>
      <c r="AA75" s="577"/>
      <c r="AB75" s="578"/>
    </row>
    <row r="76" spans="1:28" s="51" customFormat="1" ht="13.2" customHeight="1">
      <c r="B76" s="270"/>
      <c r="C76" s="271" t="s">
        <v>450</v>
      </c>
      <c r="D76" s="819">
        <v>841</v>
      </c>
      <c r="E76" s="1033"/>
      <c r="F76" s="819">
        <f>D76+D76*O76</f>
        <v>866.23</v>
      </c>
      <c r="G76" s="1033"/>
      <c r="H76" s="819">
        <f>F76+F76*P76</f>
        <v>892.21690000000001</v>
      </c>
      <c r="I76" s="1033"/>
      <c r="J76" s="819">
        <f>H76+H76*Q76</f>
        <v>918.98340700000006</v>
      </c>
      <c r="K76" s="1033"/>
      <c r="L76" s="819">
        <f>J76+J76*R76</f>
        <v>946.55290921000005</v>
      </c>
      <c r="M76" s="1033"/>
      <c r="N76" s="54"/>
      <c r="O76" s="476">
        <v>0.03</v>
      </c>
      <c r="P76" s="476">
        <f>O76</f>
        <v>0.03</v>
      </c>
      <c r="Q76" s="476">
        <f t="shared" si="9"/>
        <v>0.03</v>
      </c>
      <c r="R76" s="476">
        <f t="shared" si="9"/>
        <v>0.03</v>
      </c>
      <c r="S76" s="381"/>
      <c r="T76" s="381"/>
      <c r="U76" s="381"/>
      <c r="V76" s="381"/>
      <c r="W76" s="381"/>
      <c r="X76" s="577"/>
      <c r="Y76" s="577"/>
      <c r="Z76" s="577"/>
      <c r="AA76" s="577"/>
      <c r="AB76" s="578"/>
    </row>
    <row r="77" spans="1:28" s="51" customFormat="1" ht="13.2" customHeight="1">
      <c r="B77" s="270"/>
      <c r="C77" s="271" t="s">
        <v>496</v>
      </c>
      <c r="D77" s="819">
        <v>2215</v>
      </c>
      <c r="E77" s="1033"/>
      <c r="F77" s="819">
        <f>D77+D77*O77</f>
        <v>2281.4499999999998</v>
      </c>
      <c r="G77" s="1033"/>
      <c r="H77" s="819">
        <f>F77+F77*P77</f>
        <v>2349.8934999999997</v>
      </c>
      <c r="I77" s="1033"/>
      <c r="J77" s="819">
        <f>H77+H77*Q77</f>
        <v>2420.3903049999994</v>
      </c>
      <c r="K77" s="1033"/>
      <c r="L77" s="819">
        <f>J77+J77*R77</f>
        <v>2493.0020141499995</v>
      </c>
      <c r="M77" s="1033"/>
      <c r="N77" s="54"/>
      <c r="O77" s="476">
        <v>0.03</v>
      </c>
      <c r="P77" s="476">
        <f>O77</f>
        <v>0.03</v>
      </c>
      <c r="Q77" s="476">
        <f t="shared" si="9"/>
        <v>0.03</v>
      </c>
      <c r="R77" s="476">
        <f t="shared" si="9"/>
        <v>0.03</v>
      </c>
      <c r="S77" s="381"/>
      <c r="T77" s="381"/>
      <c r="U77" s="381"/>
      <c r="V77" s="381"/>
      <c r="W77" s="381"/>
      <c r="X77" s="577"/>
      <c r="Y77" s="577"/>
      <c r="Z77" s="577"/>
      <c r="AA77" s="577"/>
      <c r="AB77" s="578"/>
    </row>
    <row r="78" spans="1:28" s="51" customFormat="1" ht="13.2" customHeight="1" thickBot="1">
      <c r="A78" s="1"/>
      <c r="B78" s="270"/>
      <c r="C78" s="281" t="s">
        <v>497</v>
      </c>
      <c r="D78" s="1069">
        <v>273</v>
      </c>
      <c r="E78" s="1070"/>
      <c r="F78" s="819">
        <f>D78+D78*O78</f>
        <v>281.19</v>
      </c>
      <c r="G78" s="1070"/>
      <c r="H78" s="819">
        <f>F78+F78*P78</f>
        <v>289.62569999999999</v>
      </c>
      <c r="I78" s="1070"/>
      <c r="J78" s="819">
        <f>H78+H78*Q78</f>
        <v>298.31447099999997</v>
      </c>
      <c r="K78" s="1070"/>
      <c r="L78" s="819">
        <f>J78+J78*R78</f>
        <v>307.26390512999996</v>
      </c>
      <c r="M78" s="1070"/>
      <c r="N78" s="54"/>
      <c r="O78" s="476">
        <v>0.03</v>
      </c>
      <c r="P78" s="476">
        <f>O78</f>
        <v>0.03</v>
      </c>
      <c r="Q78" s="476">
        <f t="shared" si="9"/>
        <v>0.03</v>
      </c>
      <c r="R78" s="476">
        <f t="shared" si="9"/>
        <v>0.03</v>
      </c>
      <c r="S78" s="381"/>
      <c r="T78" s="381"/>
      <c r="U78" s="381"/>
      <c r="V78" s="381"/>
      <c r="W78" s="381"/>
      <c r="X78" s="577"/>
      <c r="Y78" s="577"/>
      <c r="Z78" s="577"/>
      <c r="AA78" s="577"/>
      <c r="AB78" s="578"/>
    </row>
    <row r="79" spans="1:28" s="4" customFormat="1" ht="13.2" customHeight="1">
      <c r="A79" s="1481"/>
      <c r="B79" s="267"/>
      <c r="C79" s="279" t="s">
        <v>458</v>
      </c>
      <c r="D79" s="1065">
        <f>SUM(D80:D82)</f>
        <v>0</v>
      </c>
      <c r="E79" s="1066">
        <f>IF(D$45=0,0,100*D79/D$45)</f>
        <v>0</v>
      </c>
      <c r="F79" s="1065">
        <f>SUM(F80:F82)</f>
        <v>0</v>
      </c>
      <c r="G79" s="1066">
        <f>IF(F$45=0,0,100*F79/F$45)</f>
        <v>0</v>
      </c>
      <c r="H79" s="1065">
        <f>SUM(H80:H82)</f>
        <v>0</v>
      </c>
      <c r="I79" s="1066">
        <f>IF(H$45=0,0,100*H79/H$45)</f>
        <v>0</v>
      </c>
      <c r="J79" s="1065">
        <f>SUM(J80:J82)</f>
        <v>0</v>
      </c>
      <c r="K79" s="1066">
        <f>IF(J$45=0,0,100*J79/J$45)</f>
        <v>0</v>
      </c>
      <c r="L79" s="1065">
        <f>SUM(L80:L82)</f>
        <v>0</v>
      </c>
      <c r="M79" s="1066">
        <f>IF(L$45=0,0,100*L79/L$45)</f>
        <v>0</v>
      </c>
      <c r="N79" s="32"/>
      <c r="O79" s="350">
        <f>F$8</f>
        <v>2023</v>
      </c>
      <c r="P79" s="350">
        <f>H$8</f>
        <v>2024</v>
      </c>
      <c r="Q79" s="350">
        <f>J$8</f>
        <v>2025</v>
      </c>
      <c r="R79" s="350">
        <f>L$8</f>
        <v>2026</v>
      </c>
      <c r="S79" s="381"/>
      <c r="T79" s="381"/>
      <c r="U79" s="381"/>
      <c r="V79" s="381"/>
      <c r="W79" s="381"/>
      <c r="X79" s="577"/>
      <c r="Y79" s="577"/>
      <c r="Z79" s="577"/>
      <c r="AA79" s="577"/>
      <c r="AB79" s="578"/>
    </row>
    <row r="80" spans="1:28" s="51" customFormat="1" ht="13.2" customHeight="1">
      <c r="A80" s="52"/>
      <c r="B80" s="270"/>
      <c r="C80" s="271" t="s">
        <v>459</v>
      </c>
      <c r="D80" s="819">
        <v>0</v>
      </c>
      <c r="E80" s="1033"/>
      <c r="F80" s="819">
        <f t="shared" ref="F80:F87" si="10">D80+D80*O80</f>
        <v>0</v>
      </c>
      <c r="G80" s="1033"/>
      <c r="H80" s="819">
        <f>F80+F80*P80</f>
        <v>0</v>
      </c>
      <c r="I80" s="1033"/>
      <c r="J80" s="819">
        <f>H80+H80*Q80</f>
        <v>0</v>
      </c>
      <c r="K80" s="1033"/>
      <c r="L80" s="819">
        <f>J80+J80*R80</f>
        <v>0</v>
      </c>
      <c r="M80" s="1033"/>
      <c r="N80" s="54"/>
      <c r="O80" s="476">
        <v>0.03</v>
      </c>
      <c r="P80" s="476">
        <f>O80</f>
        <v>0.03</v>
      </c>
      <c r="Q80" s="476">
        <f t="shared" ref="Q80:R82" si="11">P80</f>
        <v>0.03</v>
      </c>
      <c r="R80" s="476">
        <f t="shared" si="11"/>
        <v>0.03</v>
      </c>
      <c r="S80" s="381"/>
      <c r="T80" s="381"/>
      <c r="U80" s="381"/>
      <c r="V80" s="381"/>
      <c r="W80" s="381"/>
      <c r="X80" s="577"/>
      <c r="Y80" s="577"/>
      <c r="Z80" s="577"/>
      <c r="AA80" s="577"/>
      <c r="AB80" s="578"/>
    </row>
    <row r="81" spans="1:28" s="51" customFormat="1" ht="13.2" customHeight="1">
      <c r="A81" s="2"/>
      <c r="B81" s="270"/>
      <c r="C81" s="271" t="s">
        <v>460</v>
      </c>
      <c r="D81" s="819">
        <v>0</v>
      </c>
      <c r="E81" s="1033"/>
      <c r="F81" s="819">
        <f t="shared" si="10"/>
        <v>0</v>
      </c>
      <c r="G81" s="1033"/>
      <c r="H81" s="819">
        <f>F81+F81*P81</f>
        <v>0</v>
      </c>
      <c r="I81" s="1033"/>
      <c r="J81" s="819">
        <f>H81+H81*Q81</f>
        <v>0</v>
      </c>
      <c r="K81" s="1033"/>
      <c r="L81" s="819">
        <f>J81+J81*R81</f>
        <v>0</v>
      </c>
      <c r="M81" s="1033"/>
      <c r="N81" s="54"/>
      <c r="O81" s="476">
        <v>0.03</v>
      </c>
      <c r="P81" s="476">
        <f>O81</f>
        <v>0.03</v>
      </c>
      <c r="Q81" s="476">
        <f t="shared" si="11"/>
        <v>0.03</v>
      </c>
      <c r="R81" s="476">
        <f t="shared" si="11"/>
        <v>0.03</v>
      </c>
      <c r="S81" s="381"/>
      <c r="T81" s="381"/>
      <c r="U81" s="381"/>
      <c r="V81" s="381"/>
      <c r="W81" s="381"/>
      <c r="X81" s="577"/>
      <c r="Y81" s="577"/>
      <c r="Z81" s="577"/>
      <c r="AA81" s="577"/>
      <c r="AB81" s="578"/>
    </row>
    <row r="82" spans="1:28" s="51" customFormat="1" ht="13.2" customHeight="1" thickBot="1">
      <c r="A82" s="1481"/>
      <c r="B82" s="270"/>
      <c r="C82" s="281" t="s">
        <v>461</v>
      </c>
      <c r="D82" s="1069">
        <v>0</v>
      </c>
      <c r="E82" s="1070"/>
      <c r="F82" s="1069">
        <f t="shared" si="10"/>
        <v>0</v>
      </c>
      <c r="G82" s="1070"/>
      <c r="H82" s="819">
        <f>F82+F82*P82</f>
        <v>0</v>
      </c>
      <c r="I82" s="1070"/>
      <c r="J82" s="819">
        <f>H82+H82*Q82</f>
        <v>0</v>
      </c>
      <c r="K82" s="1070"/>
      <c r="L82" s="819">
        <f>J82+J82*R82</f>
        <v>0</v>
      </c>
      <c r="M82" s="1070"/>
      <c r="N82" s="54"/>
      <c r="O82" s="476">
        <v>0.03</v>
      </c>
      <c r="P82" s="476">
        <f>O82</f>
        <v>0.03</v>
      </c>
      <c r="Q82" s="476">
        <f t="shared" si="11"/>
        <v>0.03</v>
      </c>
      <c r="R82" s="476">
        <f t="shared" si="11"/>
        <v>0.03</v>
      </c>
      <c r="S82" s="381"/>
      <c r="T82" s="381"/>
      <c r="U82" s="381"/>
      <c r="V82" s="381"/>
      <c r="W82" s="381"/>
      <c r="X82" s="577"/>
      <c r="Y82" s="577"/>
      <c r="Z82" s="577"/>
      <c r="AA82" s="577"/>
      <c r="AB82" s="578"/>
    </row>
    <row r="83" spans="1:28" s="4" customFormat="1" ht="13.2" customHeight="1">
      <c r="A83" s="1481"/>
      <c r="B83" s="267"/>
      <c r="C83" s="282" t="s">
        <v>462</v>
      </c>
      <c r="D83" s="1065">
        <f>SUM(D84:D85)</f>
        <v>4884</v>
      </c>
      <c r="E83" s="1066">
        <f>IF(D$45=0,0,100*D83/D$45)</f>
        <v>11.60977465056575</v>
      </c>
      <c r="F83" s="1065">
        <f>SUM(F84:F85)</f>
        <v>6094.4</v>
      </c>
      <c r="G83" s="1066">
        <f>IF(F$45=0,0,100*F83/F$45)</f>
        <v>15.831251082904439</v>
      </c>
      <c r="H83" s="1065">
        <f>SUM(H84:H85)</f>
        <v>5009.232</v>
      </c>
      <c r="I83" s="1066">
        <f>IF(H$45=0,0,100*H83/H$45)</f>
        <v>16.458913692087169</v>
      </c>
      <c r="J83" s="1065">
        <f>SUM(J84:J85)</f>
        <v>5024.5089600000001</v>
      </c>
      <c r="K83" s="1066">
        <f>IF(J$45=0,0,100*J83/J$45)</f>
        <v>16.097586188335072</v>
      </c>
      <c r="L83" s="1065">
        <f>SUM(L84:L85)</f>
        <v>5040.2442288000002</v>
      </c>
      <c r="M83" s="1066">
        <f>IF(L$45=0,0,100*L83/L$45)</f>
        <v>15.743779816390829</v>
      </c>
      <c r="N83" s="32"/>
      <c r="O83" s="350">
        <f>F$8</f>
        <v>2023</v>
      </c>
      <c r="P83" s="350">
        <f>H$8</f>
        <v>2024</v>
      </c>
      <c r="Q83" s="350">
        <f>J$8</f>
        <v>2025</v>
      </c>
      <c r="R83" s="350">
        <f>L$8</f>
        <v>2026</v>
      </c>
      <c r="S83" s="381"/>
      <c r="T83" s="381"/>
      <c r="U83" s="381"/>
      <c r="V83" s="381"/>
      <c r="W83" s="381"/>
      <c r="X83" s="577"/>
      <c r="Y83" s="577"/>
      <c r="Z83" s="577"/>
      <c r="AA83" s="577"/>
      <c r="AB83" s="578"/>
    </row>
    <row r="84" spans="1:28" s="51" customFormat="1" ht="13.2" customHeight="1">
      <c r="A84" s="1481"/>
      <c r="B84" s="270"/>
      <c r="C84" s="271" t="s">
        <v>463</v>
      </c>
      <c r="D84" s="819">
        <v>480</v>
      </c>
      <c r="E84" s="1033"/>
      <c r="F84" s="819">
        <f t="shared" si="10"/>
        <v>494.4</v>
      </c>
      <c r="G84" s="1033"/>
      <c r="H84" s="819">
        <f>F84+F84*P84</f>
        <v>509.23199999999997</v>
      </c>
      <c r="I84" s="1033"/>
      <c r="J84" s="819">
        <f>H84+H84*Q84</f>
        <v>524.50896</v>
      </c>
      <c r="K84" s="1033"/>
      <c r="L84" s="819">
        <f>J84+J84*R84</f>
        <v>540.24422879999997</v>
      </c>
      <c r="M84" s="1033"/>
      <c r="N84" s="54"/>
      <c r="O84" s="476">
        <v>0.03</v>
      </c>
      <c r="P84" s="476">
        <f>O84</f>
        <v>0.03</v>
      </c>
      <c r="Q84" s="476">
        <f t="shared" ref="Q84:R87" si="12">P84</f>
        <v>0.03</v>
      </c>
      <c r="R84" s="476">
        <f t="shared" si="12"/>
        <v>0.03</v>
      </c>
      <c r="S84" s="381"/>
      <c r="T84" s="381"/>
      <c r="U84" s="381"/>
      <c r="V84" s="381"/>
      <c r="W84" s="381"/>
      <c r="X84" s="577"/>
      <c r="Y84" s="577"/>
      <c r="Z84" s="577"/>
      <c r="AA84" s="577"/>
      <c r="AB84" s="578"/>
    </row>
    <row r="85" spans="1:28" s="51" customFormat="1" ht="13.2" customHeight="1" thickBot="1">
      <c r="A85" s="1481"/>
      <c r="B85" s="270"/>
      <c r="C85" s="283" t="s">
        <v>464</v>
      </c>
      <c r="D85" s="1067">
        <v>4404</v>
      </c>
      <c r="E85" s="1068"/>
      <c r="F85" s="1067">
        <v>5600</v>
      </c>
      <c r="G85" s="1068"/>
      <c r="H85" s="819">
        <v>4500</v>
      </c>
      <c r="I85" s="1068"/>
      <c r="J85" s="1067">
        <f>H85+H85*Q85</f>
        <v>4500</v>
      </c>
      <c r="K85" s="1068"/>
      <c r="L85" s="1067">
        <f>J85+J85*R85</f>
        <v>4500</v>
      </c>
      <c r="M85" s="1070"/>
      <c r="N85" s="54"/>
      <c r="O85" s="476">
        <v>0</v>
      </c>
      <c r="P85" s="476">
        <f>O85</f>
        <v>0</v>
      </c>
      <c r="Q85" s="476">
        <f t="shared" si="12"/>
        <v>0</v>
      </c>
      <c r="R85" s="476">
        <f t="shared" si="12"/>
        <v>0</v>
      </c>
      <c r="S85" s="381"/>
      <c r="T85" s="381"/>
      <c r="U85" s="381"/>
      <c r="V85" s="381"/>
      <c r="W85" s="381"/>
      <c r="X85" s="577"/>
      <c r="Y85" s="577"/>
      <c r="Z85" s="577"/>
      <c r="AA85" s="577"/>
      <c r="AB85" s="578"/>
    </row>
    <row r="86" spans="1:28" s="4" customFormat="1" ht="13.2" customHeight="1" thickBot="1">
      <c r="A86" s="1481"/>
      <c r="B86" s="267"/>
      <c r="C86" s="284" t="s">
        <v>465</v>
      </c>
      <c r="D86" s="1072">
        <v>0</v>
      </c>
      <c r="E86" s="903">
        <f>IF(D$45=0,0,100*D86/D$45)</f>
        <v>0</v>
      </c>
      <c r="F86" s="1072">
        <f t="shared" si="10"/>
        <v>0</v>
      </c>
      <c r="G86" s="903">
        <f>IF(F$45=0,0,100*F86/F$45)</f>
        <v>0</v>
      </c>
      <c r="H86" s="1072">
        <f>F86+F86*P86</f>
        <v>0</v>
      </c>
      <c r="I86" s="903">
        <f>IF(H$45=0,0,100*H86/H$45)</f>
        <v>0</v>
      </c>
      <c r="J86" s="1072">
        <f>H86+H86*Q86</f>
        <v>0</v>
      </c>
      <c r="K86" s="903">
        <f>IF(J$45=0,0,100*J86/J$45)</f>
        <v>0</v>
      </c>
      <c r="L86" s="1073">
        <f>J86+J86*R86</f>
        <v>0</v>
      </c>
      <c r="M86" s="1074">
        <f>IF(L$45=0,0,100*L86/L$45)</f>
        <v>0</v>
      </c>
      <c r="N86" s="32"/>
      <c r="O86" s="476">
        <v>0.03</v>
      </c>
      <c r="P86" s="476">
        <f>O86</f>
        <v>0.03</v>
      </c>
      <c r="Q86" s="476">
        <f t="shared" si="12"/>
        <v>0.03</v>
      </c>
      <c r="R86" s="476">
        <f t="shared" si="12"/>
        <v>0.03</v>
      </c>
      <c r="S86" s="381"/>
      <c r="T86" s="381"/>
      <c r="U86" s="381"/>
      <c r="V86" s="381"/>
      <c r="W86" s="381"/>
      <c r="X86" s="577"/>
      <c r="Y86" s="577"/>
      <c r="Z86" s="577"/>
      <c r="AA86" s="577"/>
      <c r="AB86" s="578"/>
    </row>
    <row r="87" spans="1:28" s="4" customFormat="1" ht="13.2" customHeight="1" thickBot="1">
      <c r="A87" s="1481"/>
      <c r="B87" s="267"/>
      <c r="C87" s="282" t="s">
        <v>466</v>
      </c>
      <c r="D87" s="1073">
        <v>0</v>
      </c>
      <c r="E87" s="1074">
        <f>IF(D$45=0,0,100*D87/D$45)</f>
        <v>0</v>
      </c>
      <c r="F87" s="1073">
        <f t="shared" si="10"/>
        <v>0</v>
      </c>
      <c r="G87" s="1074">
        <f>IF(F$45=0,0,100*F87/F$45)</f>
        <v>0</v>
      </c>
      <c r="H87" s="1073">
        <f>F87+F87*P87</f>
        <v>0</v>
      </c>
      <c r="I87" s="1074">
        <f>IF(H$45=0,0,100*H87/H$45)</f>
        <v>0</v>
      </c>
      <c r="J87" s="1073">
        <f>H87+H87*Q87</f>
        <v>0</v>
      </c>
      <c r="K87" s="1074">
        <f>IF(J$45=0,0,100*J87/J$45)</f>
        <v>0</v>
      </c>
      <c r="L87" s="1073">
        <f>J87+J87*R87</f>
        <v>0</v>
      </c>
      <c r="M87" s="1066">
        <f>IF(L$45=0,0,100*L87/L$45)</f>
        <v>0</v>
      </c>
      <c r="N87" s="32"/>
      <c r="O87" s="476">
        <v>0.03</v>
      </c>
      <c r="P87" s="476">
        <f>O87</f>
        <v>0.03</v>
      </c>
      <c r="Q87" s="476">
        <f t="shared" si="12"/>
        <v>0.03</v>
      </c>
      <c r="R87" s="476">
        <f t="shared" si="12"/>
        <v>0.03</v>
      </c>
      <c r="S87" s="381"/>
      <c r="T87" s="381"/>
      <c r="U87" s="381"/>
      <c r="V87" s="381"/>
      <c r="W87" s="381"/>
      <c r="X87" s="577"/>
      <c r="Y87" s="577"/>
      <c r="Z87" s="577"/>
      <c r="AA87" s="577"/>
      <c r="AB87" s="578"/>
    </row>
    <row r="88" spans="1:28" s="4" customFormat="1" ht="13.2" customHeight="1">
      <c r="A88" s="1481"/>
      <c r="B88" s="267"/>
      <c r="C88" s="279" t="s">
        <v>467</v>
      </c>
      <c r="D88" s="1075">
        <f>SUM(D89:D93)</f>
        <v>356</v>
      </c>
      <c r="E88" s="1076">
        <f>IF(D$45=0,0,100*D88/D$45)</f>
        <v>0.84624893030331849</v>
      </c>
      <c r="F88" s="1075">
        <f>SUM(F89:F93)</f>
        <v>1166.68</v>
      </c>
      <c r="G88" s="1076">
        <f>IF(F$45=0,0,100*F88/F$45)</f>
        <v>3.0306517480642805</v>
      </c>
      <c r="H88" s="1075">
        <f>SUM(H89:H93)</f>
        <v>877.68039999999996</v>
      </c>
      <c r="I88" s="1076">
        <f>IF(H$45=0,0,100*H88/H$45)</f>
        <v>2.8838085265039712</v>
      </c>
      <c r="J88" s="1075">
        <f>SUM(J89:J93)</f>
        <v>904.01081199999999</v>
      </c>
      <c r="K88" s="1076">
        <f>IF(J$45=0,0,100*J88/J$45)</f>
        <v>2.896281423161553</v>
      </c>
      <c r="L88" s="1075">
        <f>SUM(L89:L93)</f>
        <v>931.13113636000003</v>
      </c>
      <c r="M88" s="1066">
        <f>IF(L$45=0,0,100*L88/L$45)</f>
        <v>2.9084946930295517</v>
      </c>
      <c r="N88" s="31"/>
      <c r="O88" s="350">
        <f>F$8</f>
        <v>2023</v>
      </c>
      <c r="P88" s="350">
        <f>H$8</f>
        <v>2024</v>
      </c>
      <c r="Q88" s="350">
        <f>J$8</f>
        <v>2025</v>
      </c>
      <c r="R88" s="350">
        <f>L$8</f>
        <v>2026</v>
      </c>
      <c r="S88" s="381"/>
      <c r="T88" s="381"/>
      <c r="U88" s="381"/>
      <c r="V88" s="381"/>
      <c r="W88" s="381"/>
      <c r="X88" s="577"/>
      <c r="Y88" s="577"/>
      <c r="Z88" s="577"/>
      <c r="AA88" s="577"/>
      <c r="AB88" s="578"/>
    </row>
    <row r="89" spans="1:28" s="51" customFormat="1" ht="13.2" customHeight="1">
      <c r="A89" s="1481"/>
      <c r="B89" s="270"/>
      <c r="C89" s="271" t="s">
        <v>468</v>
      </c>
      <c r="D89" s="819">
        <v>0</v>
      </c>
      <c r="E89" s="1033"/>
      <c r="F89" s="819">
        <f>D89+D89*O89</f>
        <v>0</v>
      </c>
      <c r="G89" s="1033"/>
      <c r="H89" s="819">
        <f>F89+F89*P89</f>
        <v>0</v>
      </c>
      <c r="I89" s="1033"/>
      <c r="J89" s="819">
        <f>H89+H89*Q89</f>
        <v>0</v>
      </c>
      <c r="K89" s="1033"/>
      <c r="L89" s="819">
        <f>J89+J89*R89</f>
        <v>0</v>
      </c>
      <c r="M89" s="1033"/>
      <c r="N89" s="56"/>
      <c r="O89" s="476">
        <v>0.03</v>
      </c>
      <c r="P89" s="476">
        <f>O89</f>
        <v>0.03</v>
      </c>
      <c r="Q89" s="476">
        <f t="shared" ref="Q89:R93" si="13">P89</f>
        <v>0.03</v>
      </c>
      <c r="R89" s="476">
        <f t="shared" si="13"/>
        <v>0.03</v>
      </c>
      <c r="S89" s="381"/>
      <c r="T89" s="381"/>
      <c r="U89" s="381"/>
      <c r="V89" s="381"/>
      <c r="W89" s="381"/>
      <c r="X89" s="577"/>
      <c r="Y89" s="577"/>
      <c r="Z89" s="577"/>
      <c r="AA89" s="577"/>
      <c r="AB89" s="578"/>
    </row>
    <row r="90" spans="1:28" s="51" customFormat="1" ht="13.2" customHeight="1">
      <c r="A90" s="1481"/>
      <c r="B90" s="270"/>
      <c r="C90" s="271" t="s">
        <v>469</v>
      </c>
      <c r="D90" s="819">
        <v>356</v>
      </c>
      <c r="E90" s="1033"/>
      <c r="F90" s="819">
        <f>D90+D90*O90</f>
        <v>366.68</v>
      </c>
      <c r="G90" s="1033"/>
      <c r="H90" s="819">
        <f>F90+F90*P90</f>
        <v>377.68040000000002</v>
      </c>
      <c r="I90" s="1033"/>
      <c r="J90" s="819">
        <f>H90+H90*Q90</f>
        <v>389.01081200000004</v>
      </c>
      <c r="K90" s="1033"/>
      <c r="L90" s="819">
        <f>J90+J90*R90</f>
        <v>400.68113636000004</v>
      </c>
      <c r="M90" s="1033"/>
      <c r="N90" s="56"/>
      <c r="O90" s="476">
        <v>0.03</v>
      </c>
      <c r="P90" s="476">
        <f>O90</f>
        <v>0.03</v>
      </c>
      <c r="Q90" s="476">
        <f t="shared" si="13"/>
        <v>0.03</v>
      </c>
      <c r="R90" s="476">
        <f t="shared" si="13"/>
        <v>0.03</v>
      </c>
      <c r="S90" s="381"/>
      <c r="T90" s="381"/>
      <c r="U90" s="381"/>
      <c r="V90" s="381"/>
      <c r="W90" s="381"/>
      <c r="X90" s="577"/>
      <c r="Y90" s="577"/>
      <c r="Z90" s="577"/>
      <c r="AA90" s="577"/>
      <c r="AB90" s="578"/>
    </row>
    <row r="91" spans="1:28" s="51" customFormat="1" ht="13.2" customHeight="1">
      <c r="A91" s="1481"/>
      <c r="B91" s="270"/>
      <c r="C91" s="271" t="s">
        <v>470</v>
      </c>
      <c r="D91" s="819">
        <v>0</v>
      </c>
      <c r="E91" s="1033"/>
      <c r="F91" s="819">
        <f>D91+D91*O91</f>
        <v>0</v>
      </c>
      <c r="G91" s="1033"/>
      <c r="H91" s="819">
        <f>F91+F91*P91</f>
        <v>0</v>
      </c>
      <c r="I91" s="1033"/>
      <c r="J91" s="819">
        <f>H91+H91*Q91</f>
        <v>0</v>
      </c>
      <c r="K91" s="1033"/>
      <c r="L91" s="819">
        <f>J91+J91*R91</f>
        <v>0</v>
      </c>
      <c r="M91" s="1033"/>
      <c r="N91" s="56"/>
      <c r="O91" s="476">
        <v>0.03</v>
      </c>
      <c r="P91" s="476">
        <f>O91</f>
        <v>0.03</v>
      </c>
      <c r="Q91" s="476">
        <f t="shared" si="13"/>
        <v>0.03</v>
      </c>
      <c r="R91" s="476">
        <f t="shared" si="13"/>
        <v>0.03</v>
      </c>
      <c r="S91" s="381"/>
      <c r="T91" s="381"/>
      <c r="U91" s="381"/>
      <c r="V91" s="381"/>
      <c r="W91" s="381"/>
      <c r="X91" s="577"/>
      <c r="Y91" s="577"/>
      <c r="Z91" s="577"/>
      <c r="AA91" s="577"/>
      <c r="AB91" s="578"/>
    </row>
    <row r="92" spans="1:28" s="51" customFormat="1" ht="13.2" customHeight="1">
      <c r="A92" s="1481"/>
      <c r="B92" s="270"/>
      <c r="C92" s="271" t="s">
        <v>471</v>
      </c>
      <c r="D92" s="819">
        <v>0</v>
      </c>
      <c r="E92" s="1033"/>
      <c r="F92" s="819">
        <v>800</v>
      </c>
      <c r="G92" s="1033"/>
      <c r="H92" s="819">
        <v>500</v>
      </c>
      <c r="I92" s="1033"/>
      <c r="J92" s="819">
        <f>H92+H92*Q92</f>
        <v>515</v>
      </c>
      <c r="K92" s="1033"/>
      <c r="L92" s="819">
        <f>J92+J92*R92</f>
        <v>530.45000000000005</v>
      </c>
      <c r="M92" s="1033"/>
      <c r="N92" s="56"/>
      <c r="O92" s="476">
        <v>0.03</v>
      </c>
      <c r="P92" s="476">
        <f>O92</f>
        <v>0.03</v>
      </c>
      <c r="Q92" s="476">
        <f t="shared" si="13"/>
        <v>0.03</v>
      </c>
      <c r="R92" s="476">
        <f t="shared" si="13"/>
        <v>0.03</v>
      </c>
      <c r="S92" s="381"/>
      <c r="T92" s="381"/>
      <c r="U92" s="381"/>
      <c r="V92" s="381"/>
      <c r="W92" s="381"/>
      <c r="X92" s="577"/>
      <c r="Y92" s="577"/>
      <c r="Z92" s="577"/>
      <c r="AA92" s="577"/>
      <c r="AB92" s="578"/>
    </row>
    <row r="93" spans="1:28" s="51" customFormat="1" ht="13.2" customHeight="1" thickBot="1">
      <c r="A93" s="1481"/>
      <c r="B93" s="270"/>
      <c r="C93" s="281" t="s">
        <v>472</v>
      </c>
      <c r="D93" s="1067">
        <v>0</v>
      </c>
      <c r="E93" s="1068"/>
      <c r="F93" s="819">
        <f>D93+D93*O93</f>
        <v>0</v>
      </c>
      <c r="G93" s="1068"/>
      <c r="H93" s="819">
        <f>F93+F93*P93</f>
        <v>0</v>
      </c>
      <c r="I93" s="1068"/>
      <c r="J93" s="1067">
        <f>H93+H93*Q93</f>
        <v>0</v>
      </c>
      <c r="K93" s="1068"/>
      <c r="L93" s="1067">
        <f>J93+J93*R93</f>
        <v>0</v>
      </c>
      <c r="M93" s="1068"/>
      <c r="N93" s="56"/>
      <c r="O93" s="476">
        <v>0.03</v>
      </c>
      <c r="P93" s="476">
        <f>O93</f>
        <v>0.03</v>
      </c>
      <c r="Q93" s="476">
        <f t="shared" si="13"/>
        <v>0.03</v>
      </c>
      <c r="R93" s="476">
        <f t="shared" si="13"/>
        <v>0.03</v>
      </c>
      <c r="S93" s="381"/>
      <c r="T93" s="381"/>
      <c r="U93" s="381"/>
      <c r="V93" s="381"/>
      <c r="W93" s="381"/>
      <c r="X93" s="577"/>
      <c r="Y93" s="577"/>
      <c r="Z93" s="577"/>
      <c r="AA93" s="577"/>
      <c r="AB93" s="578"/>
    </row>
    <row r="94" spans="1:28" s="4" customFormat="1" ht="13.2" customHeight="1">
      <c r="A94" s="1481"/>
      <c r="B94" s="267"/>
      <c r="C94" s="282" t="s">
        <v>709</v>
      </c>
      <c r="D94" s="1065">
        <f>SUM(D95:D98)</f>
        <v>0</v>
      </c>
      <c r="E94" s="1066">
        <f>IF(D$45=0,0,100*D94/D$45)</f>
        <v>0</v>
      </c>
      <c r="F94" s="1065">
        <f>SUM(F95:F98)</f>
        <v>0</v>
      </c>
      <c r="G94" s="1066">
        <f>IF(F$45=0,0,100*F94/F$45)</f>
        <v>0</v>
      </c>
      <c r="H94" s="1065">
        <f>SUM(H95:H98)</f>
        <v>0</v>
      </c>
      <c r="I94" s="1066">
        <f>IF(H$45=0,0,100*H94/H$45)</f>
        <v>0</v>
      </c>
      <c r="J94" s="1065">
        <f>SUM(J95:J98)</f>
        <v>0</v>
      </c>
      <c r="K94" s="1066">
        <f>IF(J$45=0,0,100*J94/J$45)</f>
        <v>0</v>
      </c>
      <c r="L94" s="1065">
        <f>SUM(L95:L98)</f>
        <v>0</v>
      </c>
      <c r="M94" s="1066">
        <f>IF(L$45=0,0,100*L94/L$45)</f>
        <v>0</v>
      </c>
      <c r="N94" s="32"/>
      <c r="O94" s="350">
        <f>F$8</f>
        <v>2023</v>
      </c>
      <c r="P94" s="350">
        <f>H$8</f>
        <v>2024</v>
      </c>
      <c r="Q94" s="350">
        <f>J$8</f>
        <v>2025</v>
      </c>
      <c r="R94" s="350">
        <f>L$8</f>
        <v>2026</v>
      </c>
      <c r="S94" s="381"/>
      <c r="T94" s="381"/>
      <c r="U94" s="381"/>
      <c r="V94" s="381"/>
      <c r="W94" s="381"/>
      <c r="X94" s="577"/>
      <c r="Y94" s="577"/>
      <c r="Z94" s="577"/>
      <c r="AA94" s="577"/>
      <c r="AB94" s="578"/>
    </row>
    <row r="95" spans="1:28" s="51" customFormat="1" ht="13.2" customHeight="1">
      <c r="A95" s="1481"/>
      <c r="B95" s="270"/>
      <c r="C95" s="271" t="s">
        <v>473</v>
      </c>
      <c r="D95" s="819">
        <v>0</v>
      </c>
      <c r="E95" s="1033"/>
      <c r="F95" s="819">
        <f>D95+D95*O95</f>
        <v>0</v>
      </c>
      <c r="G95" s="1033"/>
      <c r="H95" s="819">
        <f>F95+F95*P95</f>
        <v>0</v>
      </c>
      <c r="I95" s="1033"/>
      <c r="J95" s="819">
        <f>H95+H95*Q95</f>
        <v>0</v>
      </c>
      <c r="K95" s="1033"/>
      <c r="L95" s="819">
        <f>J95+J95*R95</f>
        <v>0</v>
      </c>
      <c r="M95" s="1033"/>
      <c r="N95" s="54"/>
      <c r="O95" s="476">
        <v>0.03</v>
      </c>
      <c r="P95" s="476">
        <f>O95</f>
        <v>0.03</v>
      </c>
      <c r="Q95" s="476">
        <f t="shared" ref="Q95:R98" si="14">P95</f>
        <v>0.03</v>
      </c>
      <c r="R95" s="476">
        <f t="shared" si="14"/>
        <v>0.03</v>
      </c>
      <c r="S95" s="381"/>
      <c r="T95" s="381"/>
      <c r="U95" s="381"/>
      <c r="V95" s="381"/>
      <c r="W95" s="381"/>
      <c r="X95" s="577"/>
      <c r="Y95" s="577"/>
      <c r="Z95" s="577"/>
      <c r="AA95" s="577"/>
      <c r="AB95" s="578"/>
    </row>
    <row r="96" spans="1:28" s="51" customFormat="1" ht="13.2" customHeight="1">
      <c r="A96" s="1481"/>
      <c r="B96" s="270"/>
      <c r="C96" s="271" t="s">
        <v>474</v>
      </c>
      <c r="D96" s="819">
        <v>0</v>
      </c>
      <c r="E96" s="1033"/>
      <c r="F96" s="819">
        <f>D96+D96*O96</f>
        <v>0</v>
      </c>
      <c r="G96" s="1033"/>
      <c r="H96" s="819">
        <f>F96+F96*P96</f>
        <v>0</v>
      </c>
      <c r="I96" s="1033"/>
      <c r="J96" s="819">
        <f>H96+H96*Q96</f>
        <v>0</v>
      </c>
      <c r="K96" s="1033"/>
      <c r="L96" s="819">
        <f>J96+J96*R96</f>
        <v>0</v>
      </c>
      <c r="M96" s="1033"/>
      <c r="N96" s="54"/>
      <c r="O96" s="476">
        <v>0.03</v>
      </c>
      <c r="P96" s="476">
        <f>O96</f>
        <v>0.03</v>
      </c>
      <c r="Q96" s="476">
        <f t="shared" si="14"/>
        <v>0.03</v>
      </c>
      <c r="R96" s="476">
        <f t="shared" si="14"/>
        <v>0.03</v>
      </c>
      <c r="S96" s="381"/>
      <c r="T96" s="381"/>
      <c r="U96" s="381"/>
      <c r="V96" s="381"/>
      <c r="W96" s="381"/>
      <c r="X96" s="577"/>
      <c r="Y96" s="577"/>
      <c r="Z96" s="577"/>
      <c r="AA96" s="577"/>
      <c r="AB96" s="578"/>
    </row>
    <row r="97" spans="1:28" s="51" customFormat="1" ht="13.2" customHeight="1">
      <c r="A97" s="1481"/>
      <c r="B97" s="270"/>
      <c r="C97" s="271" t="s">
        <v>475</v>
      </c>
      <c r="D97" s="819">
        <v>0</v>
      </c>
      <c r="E97" s="1033"/>
      <c r="F97" s="819">
        <f>D97+D97*O97</f>
        <v>0</v>
      </c>
      <c r="G97" s="1033"/>
      <c r="H97" s="819">
        <f>F97+F97*P97</f>
        <v>0</v>
      </c>
      <c r="I97" s="1033"/>
      <c r="J97" s="819">
        <f>H97+H97*Q97</f>
        <v>0</v>
      </c>
      <c r="K97" s="1033"/>
      <c r="L97" s="819">
        <f>J97+J97*R97</f>
        <v>0</v>
      </c>
      <c r="M97" s="1033"/>
      <c r="N97" s="56"/>
      <c r="O97" s="476">
        <v>0.03</v>
      </c>
      <c r="P97" s="476">
        <f>O97</f>
        <v>0.03</v>
      </c>
      <c r="Q97" s="476">
        <f t="shared" si="14"/>
        <v>0.03</v>
      </c>
      <c r="R97" s="476">
        <f t="shared" si="14"/>
        <v>0.03</v>
      </c>
      <c r="S97" s="381"/>
      <c r="T97" s="381"/>
      <c r="U97" s="381"/>
      <c r="V97" s="381"/>
      <c r="W97" s="381"/>
      <c r="X97" s="577"/>
      <c r="Y97" s="577"/>
      <c r="Z97" s="577"/>
      <c r="AA97" s="577"/>
      <c r="AB97" s="578"/>
    </row>
    <row r="98" spans="1:28" s="51" customFormat="1" ht="13.2" customHeight="1" thickBot="1">
      <c r="A98" s="1481"/>
      <c r="B98" s="270"/>
      <c r="C98" s="278" t="s">
        <v>476</v>
      </c>
      <c r="D98" s="1077">
        <v>0</v>
      </c>
      <c r="E98" s="1078"/>
      <c r="F98" s="819">
        <f>D98+D98*O98</f>
        <v>0</v>
      </c>
      <c r="G98" s="1078"/>
      <c r="H98" s="819">
        <f>F98+F98*P98</f>
        <v>0</v>
      </c>
      <c r="I98" s="1078"/>
      <c r="J98" s="819">
        <f>H98+H98*Q98</f>
        <v>0</v>
      </c>
      <c r="K98" s="1078"/>
      <c r="L98" s="819">
        <f>J98+J98*R98</f>
        <v>0</v>
      </c>
      <c r="M98" s="1078"/>
      <c r="N98" s="56"/>
      <c r="O98" s="476">
        <v>0.03</v>
      </c>
      <c r="P98" s="476">
        <f>O98</f>
        <v>0.03</v>
      </c>
      <c r="Q98" s="476">
        <f t="shared" si="14"/>
        <v>0.03</v>
      </c>
      <c r="R98" s="476">
        <f t="shared" si="14"/>
        <v>0.03</v>
      </c>
      <c r="S98" s="381"/>
      <c r="T98" s="381"/>
      <c r="U98" s="381"/>
      <c r="V98" s="381"/>
      <c r="W98" s="381"/>
      <c r="X98" s="577"/>
      <c r="Y98" s="577"/>
      <c r="Z98" s="577"/>
      <c r="AA98" s="577"/>
      <c r="AB98" s="578"/>
    </row>
    <row r="99" spans="1:28" s="4" customFormat="1" ht="13.2" customHeight="1">
      <c r="A99" s="1481"/>
      <c r="B99" s="267"/>
      <c r="C99" s="279" t="s">
        <v>477</v>
      </c>
      <c r="D99" s="1065">
        <f>SUM(D100:D103)</f>
        <v>4220</v>
      </c>
      <c r="E99" s="1066">
        <f>IF(D$45=0,0,100*D99/D$45)</f>
        <v>10.031377769325854</v>
      </c>
      <c r="F99" s="1065">
        <f>SUM(F100:F103)</f>
        <v>4346.6000000000004</v>
      </c>
      <c r="G99" s="1066">
        <f>IF(F$45=0,0,100*F99/F$45)</f>
        <v>11.291040292227692</v>
      </c>
      <c r="H99" s="1065">
        <f>SUM(H100:H103)</f>
        <v>4476.9980000000005</v>
      </c>
      <c r="I99" s="1066">
        <f>IF(H$45=0,0,100*H99/H$45)</f>
        <v>14.710143926583331</v>
      </c>
      <c r="J99" s="1065">
        <f>SUM(J100:J103)</f>
        <v>4611.3079400000006</v>
      </c>
      <c r="K99" s="1066">
        <f>IF(J$45=0,0,100*J99/J$45)</f>
        <v>14.773767465846824</v>
      </c>
      <c r="L99" s="1065">
        <f>SUM(L100:L103)</f>
        <v>4749.6471782000008</v>
      </c>
      <c r="M99" s="1066">
        <f>IF(L$45=0,0,100*L99/L$45)</f>
        <v>14.836066663564456</v>
      </c>
      <c r="N99" s="31"/>
      <c r="O99" s="350">
        <f>F$8</f>
        <v>2023</v>
      </c>
      <c r="P99" s="350">
        <f>H$8</f>
        <v>2024</v>
      </c>
      <c r="Q99" s="350">
        <f>J$8</f>
        <v>2025</v>
      </c>
      <c r="R99" s="350">
        <f>L$8</f>
        <v>2026</v>
      </c>
      <c r="S99" s="381"/>
      <c r="T99" s="381"/>
      <c r="U99" s="381"/>
      <c r="V99" s="381"/>
      <c r="W99" s="381"/>
      <c r="X99" s="577"/>
      <c r="Y99" s="577"/>
      <c r="Z99" s="577"/>
      <c r="AA99" s="577"/>
      <c r="AB99" s="578"/>
    </row>
    <row r="100" spans="1:28" s="51" customFormat="1" ht="13.2" customHeight="1">
      <c r="A100" s="1481"/>
      <c r="B100" s="270"/>
      <c r="C100" s="271" t="s">
        <v>478</v>
      </c>
      <c r="D100" s="819">
        <v>0</v>
      </c>
      <c r="E100" s="1033"/>
      <c r="F100" s="819">
        <f t="shared" ref="F100:F120" si="15">D100+D100*O100</f>
        <v>0</v>
      </c>
      <c r="G100" s="1033"/>
      <c r="H100" s="819">
        <f>F100+F100*P100</f>
        <v>0</v>
      </c>
      <c r="I100" s="1033"/>
      <c r="J100" s="819">
        <f>H100+H100*Q100</f>
        <v>0</v>
      </c>
      <c r="K100" s="1033"/>
      <c r="L100" s="819">
        <f>J100+J100*R100</f>
        <v>0</v>
      </c>
      <c r="M100" s="1033"/>
      <c r="N100" s="56"/>
      <c r="O100" s="476">
        <v>0.03</v>
      </c>
      <c r="P100" s="476">
        <f>O100</f>
        <v>0.03</v>
      </c>
      <c r="Q100" s="476">
        <f t="shared" ref="Q100:R103" si="16">P100</f>
        <v>0.03</v>
      </c>
      <c r="R100" s="476">
        <f t="shared" si="16"/>
        <v>0.03</v>
      </c>
      <c r="S100" s="381"/>
      <c r="T100" s="381"/>
      <c r="U100" s="381"/>
      <c r="V100" s="381"/>
      <c r="W100" s="381"/>
      <c r="X100" s="577"/>
      <c r="Y100" s="577"/>
      <c r="Z100" s="577"/>
      <c r="AA100" s="577"/>
      <c r="AB100" s="578"/>
    </row>
    <row r="101" spans="1:28" s="51" customFormat="1" ht="13.2" customHeight="1">
      <c r="A101" s="1481"/>
      <c r="B101" s="270"/>
      <c r="C101" s="271" t="s">
        <v>479</v>
      </c>
      <c r="D101" s="819">
        <v>4220</v>
      </c>
      <c r="E101" s="1033"/>
      <c r="F101" s="819">
        <f t="shared" si="15"/>
        <v>4346.6000000000004</v>
      </c>
      <c r="G101" s="1033"/>
      <c r="H101" s="819">
        <f>F101+F101*P101</f>
        <v>4476.9980000000005</v>
      </c>
      <c r="I101" s="1033"/>
      <c r="J101" s="819">
        <f>H101+H101*Q101</f>
        <v>4611.3079400000006</v>
      </c>
      <c r="K101" s="1033"/>
      <c r="L101" s="819">
        <f>J101+J101*R101</f>
        <v>4749.6471782000008</v>
      </c>
      <c r="M101" s="1033"/>
      <c r="N101" s="56"/>
      <c r="O101" s="476">
        <v>0.03</v>
      </c>
      <c r="P101" s="476">
        <f>O101</f>
        <v>0.03</v>
      </c>
      <c r="Q101" s="476">
        <f t="shared" si="16"/>
        <v>0.03</v>
      </c>
      <c r="R101" s="476">
        <f t="shared" si="16"/>
        <v>0.03</v>
      </c>
      <c r="S101" s="381"/>
      <c r="T101" s="381"/>
      <c r="U101" s="381"/>
      <c r="V101" s="381"/>
      <c r="W101" s="381"/>
      <c r="X101" s="577"/>
      <c r="Y101" s="577"/>
      <c r="Z101" s="577"/>
      <c r="AA101" s="577"/>
      <c r="AB101" s="578"/>
    </row>
    <row r="102" spans="1:28" s="51" customFormat="1" ht="13.2" customHeight="1">
      <c r="A102" s="52"/>
      <c r="B102" s="270"/>
      <c r="C102" s="271" t="s">
        <v>480</v>
      </c>
      <c r="D102" s="819">
        <v>0</v>
      </c>
      <c r="E102" s="1033"/>
      <c r="F102" s="819">
        <f t="shared" si="15"/>
        <v>0</v>
      </c>
      <c r="G102" s="1033"/>
      <c r="H102" s="819">
        <f>F102+F102*P102</f>
        <v>0</v>
      </c>
      <c r="I102" s="1033"/>
      <c r="J102" s="819">
        <f>H102+H102*Q102</f>
        <v>0</v>
      </c>
      <c r="K102" s="1033"/>
      <c r="L102" s="819">
        <f>J102+J102*R102</f>
        <v>0</v>
      </c>
      <c r="M102" s="1033"/>
      <c r="N102" s="56"/>
      <c r="O102" s="476">
        <v>0.03</v>
      </c>
      <c r="P102" s="476">
        <f>O102</f>
        <v>0.03</v>
      </c>
      <c r="Q102" s="476">
        <f t="shared" si="16"/>
        <v>0.03</v>
      </c>
      <c r="R102" s="476">
        <f t="shared" si="16"/>
        <v>0.03</v>
      </c>
      <c r="S102" s="381"/>
      <c r="T102" s="381"/>
      <c r="U102" s="381"/>
      <c r="V102" s="381"/>
      <c r="W102" s="381"/>
      <c r="X102" s="577"/>
      <c r="Y102" s="577"/>
      <c r="Z102" s="577"/>
      <c r="AA102" s="577"/>
      <c r="AB102" s="578"/>
    </row>
    <row r="103" spans="1:28" s="51" customFormat="1" ht="13.2" customHeight="1" thickBot="1">
      <c r="A103" s="2"/>
      <c r="B103" s="270"/>
      <c r="C103" s="283" t="s">
        <v>481</v>
      </c>
      <c r="D103" s="1067">
        <v>0</v>
      </c>
      <c r="E103" s="1068"/>
      <c r="F103" s="819">
        <f t="shared" si="15"/>
        <v>0</v>
      </c>
      <c r="G103" s="1068"/>
      <c r="H103" s="819">
        <f>F103+F103*P103</f>
        <v>0</v>
      </c>
      <c r="I103" s="1068"/>
      <c r="J103" s="819">
        <f>H103+H103*Q103</f>
        <v>0</v>
      </c>
      <c r="K103" s="1068"/>
      <c r="L103" s="819">
        <f>J103+J103*R103</f>
        <v>0</v>
      </c>
      <c r="M103" s="1068"/>
      <c r="N103" s="56"/>
      <c r="O103" s="476">
        <v>0.03</v>
      </c>
      <c r="P103" s="476">
        <f>O103</f>
        <v>0.03</v>
      </c>
      <c r="Q103" s="476">
        <f t="shared" si="16"/>
        <v>0.03</v>
      </c>
      <c r="R103" s="476">
        <f t="shared" si="16"/>
        <v>0.03</v>
      </c>
      <c r="S103" s="381"/>
      <c r="T103" s="381"/>
      <c r="U103" s="381"/>
      <c r="V103" s="381"/>
      <c r="W103" s="381"/>
      <c r="X103" s="577"/>
      <c r="Y103" s="577"/>
      <c r="Z103" s="577"/>
      <c r="AA103" s="577"/>
      <c r="AB103" s="578"/>
    </row>
    <row r="104" spans="1:28" s="4" customFormat="1" ht="13.2" customHeight="1">
      <c r="A104" s="1481"/>
      <c r="B104" s="267"/>
      <c r="C104" s="279" t="s">
        <v>482</v>
      </c>
      <c r="D104" s="1065">
        <f>SUM(D105:D106)</f>
        <v>1065</v>
      </c>
      <c r="E104" s="1066">
        <f>IF(D$45=0,0,100*D104/D$45)</f>
        <v>2.5316154796995343</v>
      </c>
      <c r="F104" s="1065">
        <f>SUM(F105:F106)</f>
        <v>1096.95</v>
      </c>
      <c r="G104" s="1066">
        <f>IF(F$45=0,0,100*F104/F$45)</f>
        <v>2.8495160927067511</v>
      </c>
      <c r="H104" s="1065">
        <f>SUM(H105:H106)</f>
        <v>1129.8585</v>
      </c>
      <c r="I104" s="1066">
        <f>IF(H$45=0,0,100*H104/H$45)</f>
        <v>3.7123941426093006</v>
      </c>
      <c r="J104" s="1065">
        <f>SUM(J105:J106)</f>
        <v>1163.7542550000001</v>
      </c>
      <c r="K104" s="1066">
        <f>IF(J$45=0,0,100*J104/J$45)</f>
        <v>3.7284507941058926</v>
      </c>
      <c r="L104" s="1065">
        <f>SUM(L105:L106)</f>
        <v>1198.6668826499999</v>
      </c>
      <c r="M104" s="1066">
        <f>IF(L$45=0,0,100*L104/L$45)</f>
        <v>3.7441732219659105</v>
      </c>
      <c r="N104" s="31"/>
      <c r="O104" s="350">
        <f>F$8</f>
        <v>2023</v>
      </c>
      <c r="P104" s="350">
        <f>H$8</f>
        <v>2024</v>
      </c>
      <c r="Q104" s="350">
        <f>J$8</f>
        <v>2025</v>
      </c>
      <c r="R104" s="350">
        <f>L$8</f>
        <v>2026</v>
      </c>
      <c r="S104" s="381"/>
      <c r="T104" s="381"/>
      <c r="U104" s="381"/>
      <c r="V104" s="381"/>
      <c r="W104" s="381"/>
      <c r="X104" s="577"/>
      <c r="Y104" s="577"/>
      <c r="Z104" s="577"/>
      <c r="AA104" s="577"/>
      <c r="AB104" s="578"/>
    </row>
    <row r="105" spans="1:28" s="51" customFormat="1" ht="13.2" customHeight="1">
      <c r="A105" s="1481"/>
      <c r="B105" s="270"/>
      <c r="C105" s="271" t="s">
        <v>483</v>
      </c>
      <c r="D105" s="819">
        <v>855</v>
      </c>
      <c r="E105" s="1033"/>
      <c r="F105" s="819">
        <f t="shared" si="15"/>
        <v>880.65</v>
      </c>
      <c r="G105" s="1033"/>
      <c r="H105" s="819">
        <f>F105+F105*P105</f>
        <v>907.06949999999995</v>
      </c>
      <c r="I105" s="1033"/>
      <c r="J105" s="819">
        <f>H105+H105*Q105</f>
        <v>934.28158499999995</v>
      </c>
      <c r="K105" s="1033"/>
      <c r="L105" s="819">
        <f>J105+J105*R105</f>
        <v>962.31003254999996</v>
      </c>
      <c r="M105" s="1033"/>
      <c r="N105" s="56"/>
      <c r="O105" s="476">
        <v>0.03</v>
      </c>
      <c r="P105" s="476">
        <f t="shared" ref="P105:R106" si="17">O105</f>
        <v>0.03</v>
      </c>
      <c r="Q105" s="476">
        <f t="shared" si="17"/>
        <v>0.03</v>
      </c>
      <c r="R105" s="476">
        <f t="shared" si="17"/>
        <v>0.03</v>
      </c>
      <c r="S105" s="381"/>
      <c r="T105" s="381"/>
      <c r="U105" s="381"/>
      <c r="V105" s="381"/>
      <c r="W105" s="381"/>
      <c r="X105" s="577"/>
      <c r="Y105" s="577"/>
      <c r="Z105" s="577"/>
      <c r="AA105" s="577"/>
      <c r="AB105" s="578"/>
    </row>
    <row r="106" spans="1:28" s="51" customFormat="1" ht="13.2" customHeight="1" thickBot="1">
      <c r="B106" s="270"/>
      <c r="C106" s="281" t="s">
        <v>484</v>
      </c>
      <c r="D106" s="1069">
        <v>210</v>
      </c>
      <c r="E106" s="1070"/>
      <c r="F106" s="819">
        <f t="shared" si="15"/>
        <v>216.3</v>
      </c>
      <c r="G106" s="1070"/>
      <c r="H106" s="819">
        <f>F106+F106*P106</f>
        <v>222.78900000000002</v>
      </c>
      <c r="I106" s="1070"/>
      <c r="J106" s="819">
        <f>H106+H106*Q106</f>
        <v>229.47267000000002</v>
      </c>
      <c r="K106" s="1070"/>
      <c r="L106" s="819">
        <f>J106+J106*R106</f>
        <v>236.35685010000003</v>
      </c>
      <c r="M106" s="1070"/>
      <c r="N106" s="56"/>
      <c r="O106" s="476">
        <v>0.03</v>
      </c>
      <c r="P106" s="476">
        <f t="shared" si="17"/>
        <v>0.03</v>
      </c>
      <c r="Q106" s="476">
        <f t="shared" si="17"/>
        <v>0.03</v>
      </c>
      <c r="R106" s="476">
        <f t="shared" si="17"/>
        <v>0.03</v>
      </c>
      <c r="S106" s="381"/>
      <c r="T106" s="381"/>
      <c r="U106" s="381"/>
      <c r="V106" s="381"/>
      <c r="W106" s="381"/>
      <c r="X106" s="577"/>
      <c r="Y106" s="577"/>
      <c r="Z106" s="577"/>
      <c r="AA106" s="577"/>
      <c r="AB106" s="578"/>
    </row>
    <row r="107" spans="1:28" s="4" customFormat="1" ht="13.2" customHeight="1">
      <c r="B107" s="267"/>
      <c r="C107" s="279" t="s">
        <v>485</v>
      </c>
      <c r="D107" s="1065">
        <f>SUM(D108:D111)</f>
        <v>1539</v>
      </c>
      <c r="E107" s="1066">
        <f>IF(D$45=0,0,100*D107/D$45)</f>
        <v>3.6583626509460871</v>
      </c>
      <c r="F107" s="1065">
        <f>SUM(F108:F111)</f>
        <v>1585.1699999999998</v>
      </c>
      <c r="G107" s="1066">
        <f>IF(F$45=0,0,100*F107/F$45)</f>
        <v>4.1177514241086284</v>
      </c>
      <c r="H107" s="1065">
        <f>SUM(H108:H111)</f>
        <v>1622.3616000000002</v>
      </c>
      <c r="I107" s="1066">
        <f>IF(H$45=0,0,100*H107/H$45)</f>
        <v>5.3306194545903347</v>
      </c>
      <c r="J107" s="1065">
        <f>SUM(J108:J111)</f>
        <v>1671.0324479999999</v>
      </c>
      <c r="K107" s="1066">
        <f>IF(J$45=0,0,100*J107/J$45)</f>
        <v>5.3536751689232815</v>
      </c>
      <c r="L107" s="1065">
        <f>SUM(L108:L111)</f>
        <v>1721.1634214399999</v>
      </c>
      <c r="M107" s="1066">
        <f>IF(L$45=0,0,100*L107/L$45)</f>
        <v>5.3762509721932172</v>
      </c>
      <c r="N107" s="31"/>
      <c r="O107" s="350">
        <f>F$8</f>
        <v>2023</v>
      </c>
      <c r="P107" s="350">
        <f>H$8</f>
        <v>2024</v>
      </c>
      <c r="Q107" s="350">
        <f>J$8</f>
        <v>2025</v>
      </c>
      <c r="R107" s="350">
        <f>L$8</f>
        <v>2026</v>
      </c>
      <c r="S107" s="381"/>
      <c r="T107" s="381"/>
      <c r="U107" s="381"/>
      <c r="V107" s="381"/>
      <c r="W107" s="381"/>
      <c r="X107" s="577"/>
      <c r="Y107" s="577"/>
      <c r="Z107" s="577"/>
      <c r="AA107" s="577"/>
      <c r="AB107" s="578"/>
    </row>
    <row r="108" spans="1:28" s="51" customFormat="1" ht="13.2" customHeight="1">
      <c r="A108" s="4"/>
      <c r="B108" s="270"/>
      <c r="C108" s="271" t="s">
        <v>486</v>
      </c>
      <c r="D108" s="819">
        <v>880</v>
      </c>
      <c r="E108" s="1033"/>
      <c r="F108" s="819">
        <f t="shared" si="15"/>
        <v>906.4</v>
      </c>
      <c r="G108" s="1033"/>
      <c r="H108" s="819">
        <f>F108+F108*P108</f>
        <v>933.59199999999998</v>
      </c>
      <c r="I108" s="1033"/>
      <c r="J108" s="819">
        <f>H108+H108*Q108</f>
        <v>961.59975999999995</v>
      </c>
      <c r="K108" s="1033"/>
      <c r="L108" s="819">
        <f>J108+J108*R108</f>
        <v>990.44775279999999</v>
      </c>
      <c r="M108" s="1033"/>
      <c r="N108" s="54"/>
      <c r="O108" s="476">
        <v>0.03</v>
      </c>
      <c r="P108" s="476">
        <f>O108</f>
        <v>0.03</v>
      </c>
      <c r="Q108" s="476">
        <f t="shared" ref="Q108:R111" si="18">P108</f>
        <v>0.03</v>
      </c>
      <c r="R108" s="476">
        <f t="shared" si="18"/>
        <v>0.03</v>
      </c>
      <c r="S108" s="381"/>
      <c r="T108" s="381"/>
      <c r="U108" s="381"/>
      <c r="V108" s="381"/>
      <c r="W108" s="381"/>
      <c r="X108" s="577"/>
      <c r="Y108" s="577"/>
      <c r="Z108" s="577"/>
      <c r="AA108" s="577"/>
      <c r="AB108" s="578"/>
    </row>
    <row r="109" spans="1:28" s="51" customFormat="1" ht="13.2" customHeight="1">
      <c r="A109" s="2"/>
      <c r="B109" s="270"/>
      <c r="C109" s="271" t="s">
        <v>487</v>
      </c>
      <c r="D109" s="819">
        <v>515</v>
      </c>
      <c r="E109" s="1033"/>
      <c r="F109" s="819">
        <f t="shared" si="15"/>
        <v>530.45000000000005</v>
      </c>
      <c r="G109" s="1033"/>
      <c r="H109" s="819">
        <v>536</v>
      </c>
      <c r="I109" s="1033"/>
      <c r="J109" s="819">
        <f>H109+H109*Q109</f>
        <v>552.08000000000004</v>
      </c>
      <c r="K109" s="1033"/>
      <c r="L109" s="819">
        <f>J109+J109*R109</f>
        <v>568.64240000000007</v>
      </c>
      <c r="M109" s="1033"/>
      <c r="N109" s="54"/>
      <c r="O109" s="476">
        <v>0.03</v>
      </c>
      <c r="P109" s="476">
        <f>O109</f>
        <v>0.03</v>
      </c>
      <c r="Q109" s="476">
        <f t="shared" si="18"/>
        <v>0.03</v>
      </c>
      <c r="R109" s="476">
        <f t="shared" si="18"/>
        <v>0.03</v>
      </c>
      <c r="S109" s="381"/>
      <c r="T109" s="381"/>
      <c r="U109" s="381"/>
      <c r="V109" s="381"/>
      <c r="W109" s="381"/>
      <c r="X109" s="577"/>
      <c r="Y109" s="577"/>
      <c r="Z109" s="577"/>
      <c r="AA109" s="577"/>
      <c r="AB109" s="578"/>
    </row>
    <row r="110" spans="1:28" s="51" customFormat="1" ht="13.2" customHeight="1">
      <c r="A110" s="52"/>
      <c r="B110" s="270"/>
      <c r="C110" s="271" t="s">
        <v>488</v>
      </c>
      <c r="D110" s="819">
        <v>0</v>
      </c>
      <c r="E110" s="1033"/>
      <c r="F110" s="819">
        <f t="shared" si="15"/>
        <v>0</v>
      </c>
      <c r="G110" s="1033"/>
      <c r="H110" s="819">
        <f>F110+F110*P110</f>
        <v>0</v>
      </c>
      <c r="I110" s="1033"/>
      <c r="J110" s="819">
        <f>H110+H110*Q110</f>
        <v>0</v>
      </c>
      <c r="K110" s="1033"/>
      <c r="L110" s="819">
        <f>J110+J110*R110</f>
        <v>0</v>
      </c>
      <c r="M110" s="1033"/>
      <c r="N110" s="56"/>
      <c r="O110" s="476">
        <v>0.03</v>
      </c>
      <c r="P110" s="476">
        <f>O110</f>
        <v>0.03</v>
      </c>
      <c r="Q110" s="476">
        <f t="shared" si="18"/>
        <v>0.03</v>
      </c>
      <c r="R110" s="476">
        <f t="shared" si="18"/>
        <v>0.03</v>
      </c>
      <c r="S110" s="381"/>
      <c r="T110" s="381"/>
      <c r="U110" s="381"/>
      <c r="V110" s="381"/>
      <c r="W110" s="381"/>
      <c r="X110" s="577"/>
      <c r="Y110" s="577"/>
      <c r="Z110" s="577"/>
      <c r="AA110" s="577"/>
      <c r="AB110" s="578"/>
    </row>
    <row r="111" spans="1:28" s="51" customFormat="1" ht="13.2" customHeight="1" thickBot="1">
      <c r="A111"/>
      <c r="B111" s="270"/>
      <c r="C111" s="281" t="s">
        <v>489</v>
      </c>
      <c r="D111" s="1067">
        <v>144</v>
      </c>
      <c r="E111" s="1068"/>
      <c r="F111" s="819">
        <f t="shared" si="15"/>
        <v>148.32</v>
      </c>
      <c r="G111" s="1068"/>
      <c r="H111" s="819">
        <f>F111+F111*P111</f>
        <v>152.7696</v>
      </c>
      <c r="I111" s="1068"/>
      <c r="J111" s="1067">
        <f>H111+H111*Q111</f>
        <v>157.352688</v>
      </c>
      <c r="K111" s="1068"/>
      <c r="L111" s="1067">
        <f>J111+J111*R111</f>
        <v>162.07326864000001</v>
      </c>
      <c r="M111" s="1068"/>
      <c r="N111" s="56"/>
      <c r="O111" s="476">
        <v>0.03</v>
      </c>
      <c r="P111" s="476">
        <f>O111</f>
        <v>0.03</v>
      </c>
      <c r="Q111" s="476">
        <f t="shared" si="18"/>
        <v>0.03</v>
      </c>
      <c r="R111" s="476">
        <f t="shared" si="18"/>
        <v>0.03</v>
      </c>
      <c r="S111" s="381"/>
      <c r="T111" s="381"/>
      <c r="U111" s="381"/>
      <c r="V111" s="381"/>
      <c r="W111" s="381"/>
      <c r="X111" s="577"/>
      <c r="Y111" s="577"/>
      <c r="Z111" s="577"/>
      <c r="AA111" s="577"/>
      <c r="AB111" s="578"/>
    </row>
    <row r="112" spans="1:28" s="4" customFormat="1" ht="13.2" customHeight="1">
      <c r="A112" s="52"/>
      <c r="B112" s="267"/>
      <c r="C112" s="282" t="s">
        <v>590</v>
      </c>
      <c r="D112" s="1065">
        <f>SUM(D113:D115)</f>
        <v>2030</v>
      </c>
      <c r="E112" s="1066">
        <f>IF(D$45=0,0,100*D112/D$45)</f>
        <v>4.825520585718361</v>
      </c>
      <c r="F112" s="1065">
        <f>SUM(F113:F115)</f>
        <v>2090.9</v>
      </c>
      <c r="G112" s="1066">
        <f>IF(F$45=0,0,100*F112/F$45)</f>
        <v>5.4314719889152157</v>
      </c>
      <c r="H112" s="1065">
        <f>SUM(H113:H115)</f>
        <v>2153.627</v>
      </c>
      <c r="I112" s="1066">
        <f>IF(H$45=0,0,100*H112/H$45)</f>
        <v>7.0762066755839239</v>
      </c>
      <c r="J112" s="1065">
        <f>SUM(J113:J115)</f>
        <v>2218.2358099999997</v>
      </c>
      <c r="K112" s="1066">
        <f>IF(J$45=0,0,100*J112/J$45)</f>
        <v>7.1068123117699162</v>
      </c>
      <c r="L112" s="1065">
        <f>SUM(L113:L115)</f>
        <v>2284.7828842999998</v>
      </c>
      <c r="M112" s="1066">
        <f>IF(L$45=0,0,100*L112/L$45)</f>
        <v>7.1367808831838486</v>
      </c>
      <c r="N112" s="31"/>
      <c r="O112" s="350">
        <f>F$8</f>
        <v>2023</v>
      </c>
      <c r="P112" s="350">
        <f>H$8</f>
        <v>2024</v>
      </c>
      <c r="Q112" s="350">
        <f>J$8</f>
        <v>2025</v>
      </c>
      <c r="R112" s="350">
        <f>L$8</f>
        <v>2026</v>
      </c>
      <c r="S112" s="381"/>
      <c r="T112" s="381"/>
      <c r="U112" s="381"/>
      <c r="V112" s="381"/>
      <c r="W112" s="381"/>
      <c r="X112" s="577"/>
      <c r="Y112" s="577"/>
      <c r="Z112" s="577"/>
      <c r="AA112" s="577"/>
      <c r="AB112" s="578"/>
    </row>
    <row r="113" spans="1:28" s="51" customFormat="1" ht="13.2" customHeight="1">
      <c r="A113"/>
      <c r="B113" s="270"/>
      <c r="C113" s="271" t="s">
        <v>591</v>
      </c>
      <c r="D113" s="819">
        <v>1020</v>
      </c>
      <c r="E113" s="1033"/>
      <c r="F113" s="819">
        <f t="shared" si="15"/>
        <v>1050.5999999999999</v>
      </c>
      <c r="G113" s="1033"/>
      <c r="H113" s="819">
        <f t="shared" ref="H113:H120" si="19">F113+F113*P113</f>
        <v>1082.1179999999999</v>
      </c>
      <c r="I113" s="1033"/>
      <c r="J113" s="819">
        <f>H113+H113*Q113</f>
        <v>1114.5815399999999</v>
      </c>
      <c r="K113" s="1033"/>
      <c r="L113" s="819">
        <f t="shared" ref="L113:L123" si="20">J113+J113*R113</f>
        <v>1148.0189862</v>
      </c>
      <c r="M113" s="1033"/>
      <c r="N113" s="54"/>
      <c r="O113" s="476">
        <v>0.03</v>
      </c>
      <c r="P113" s="476">
        <f t="shared" ref="P113:P121" si="21">O113</f>
        <v>0.03</v>
      </c>
      <c r="Q113" s="476">
        <f t="shared" ref="Q113:R121" si="22">P113</f>
        <v>0.03</v>
      </c>
      <c r="R113" s="476">
        <f t="shared" si="22"/>
        <v>0.03</v>
      </c>
      <c r="S113" s="381"/>
      <c r="T113" s="381"/>
      <c r="U113" s="381"/>
      <c r="V113" s="381"/>
      <c r="W113" s="577"/>
      <c r="X113" s="577"/>
      <c r="Y113" s="577"/>
      <c r="Z113" s="577"/>
      <c r="AA113" s="381"/>
      <c r="AB113" s="578"/>
    </row>
    <row r="114" spans="1:28" s="51" customFormat="1" ht="13.2" customHeight="1">
      <c r="A114" s="52"/>
      <c r="B114" s="270"/>
      <c r="C114" s="271" t="s">
        <v>490</v>
      </c>
      <c r="D114" s="819">
        <v>600</v>
      </c>
      <c r="E114" s="1033"/>
      <c r="F114" s="819">
        <f t="shared" si="15"/>
        <v>618</v>
      </c>
      <c r="G114" s="1033"/>
      <c r="H114" s="819">
        <f t="shared" si="19"/>
        <v>636.54</v>
      </c>
      <c r="I114" s="1033"/>
      <c r="J114" s="819">
        <f t="shared" ref="J114:J123" si="23">H114+H114*Q114</f>
        <v>655.63619999999992</v>
      </c>
      <c r="K114" s="1033"/>
      <c r="L114" s="819">
        <f t="shared" si="20"/>
        <v>675.30528599999991</v>
      </c>
      <c r="M114" s="1033"/>
      <c r="N114" s="54"/>
      <c r="O114" s="476">
        <v>0.03</v>
      </c>
      <c r="P114" s="476">
        <f t="shared" si="21"/>
        <v>0.03</v>
      </c>
      <c r="Q114" s="476">
        <f t="shared" si="22"/>
        <v>0.03</v>
      </c>
      <c r="R114" s="476">
        <f t="shared" si="22"/>
        <v>0.03</v>
      </c>
      <c r="S114" s="381"/>
      <c r="T114" s="381"/>
      <c r="U114" s="381"/>
      <c r="V114" s="577"/>
      <c r="W114" s="577"/>
      <c r="X114" s="381"/>
      <c r="Y114" s="381"/>
      <c r="Z114" s="381"/>
      <c r="AA114" s="381"/>
      <c r="AB114" s="578"/>
    </row>
    <row r="115" spans="1:28" s="51" customFormat="1" ht="13.2" customHeight="1" thickBot="1">
      <c r="A115" s="2"/>
      <c r="B115" s="270"/>
      <c r="C115" s="283" t="s">
        <v>491</v>
      </c>
      <c r="D115" s="1067">
        <v>410</v>
      </c>
      <c r="E115" s="1068"/>
      <c r="F115" s="819">
        <f t="shared" si="15"/>
        <v>422.3</v>
      </c>
      <c r="G115" s="1068"/>
      <c r="H115" s="1067">
        <f t="shared" si="19"/>
        <v>434.96899999999999</v>
      </c>
      <c r="I115" s="1068"/>
      <c r="J115" s="1067">
        <f t="shared" si="23"/>
        <v>448.01806999999997</v>
      </c>
      <c r="K115" s="1068"/>
      <c r="L115" s="1067">
        <f t="shared" si="20"/>
        <v>461.45861209999998</v>
      </c>
      <c r="M115" s="1068"/>
      <c r="N115" s="56"/>
      <c r="O115" s="476">
        <v>0.03</v>
      </c>
      <c r="P115" s="476">
        <f t="shared" si="21"/>
        <v>0.03</v>
      </c>
      <c r="Q115" s="476">
        <f t="shared" si="22"/>
        <v>0.03</v>
      </c>
      <c r="R115" s="476">
        <f t="shared" si="22"/>
        <v>0.03</v>
      </c>
      <c r="S115" s="381"/>
      <c r="T115" s="381"/>
      <c r="U115" s="381"/>
      <c r="V115" s="577"/>
      <c r="W115" s="577"/>
      <c r="X115" s="577"/>
      <c r="Y115" s="577"/>
      <c r="Z115" s="577"/>
      <c r="AA115" s="577"/>
      <c r="AB115" s="582"/>
    </row>
    <row r="116" spans="1:28" s="4" customFormat="1" ht="13.2" customHeight="1" thickBot="1">
      <c r="A116" s="52"/>
      <c r="B116" s="267"/>
      <c r="C116" s="284" t="s">
        <v>492</v>
      </c>
      <c r="D116" s="1073">
        <v>120</v>
      </c>
      <c r="E116" s="1074">
        <f>IF(D$45=0,0,100*D116/D$45)</f>
        <v>0.28525244841684894</v>
      </c>
      <c r="F116" s="1073">
        <f t="shared" si="15"/>
        <v>123.6</v>
      </c>
      <c r="G116" s="1074">
        <f>IF(F$45=0,0,100*F116/F$45)</f>
        <v>0.32107223579794381</v>
      </c>
      <c r="H116" s="1073">
        <f t="shared" si="19"/>
        <v>127.30799999999999</v>
      </c>
      <c r="I116" s="1074">
        <f>IF(H$45=0,0,100*H116/H$45)</f>
        <v>0.41829793156161127</v>
      </c>
      <c r="J116" s="1073">
        <f t="shared" si="23"/>
        <v>131.12724</v>
      </c>
      <c r="K116" s="1066">
        <f>IF(J$45=0,0,100*J116/J$45)</f>
        <v>0.42010713173024139</v>
      </c>
      <c r="L116" s="1073">
        <f t="shared" si="20"/>
        <v>135.06105719999999</v>
      </c>
      <c r="M116" s="1066">
        <f>IF(L$45=0,0,100*L116/L$45)</f>
        <v>0.42187867289756742</v>
      </c>
      <c r="N116" s="31"/>
      <c r="O116" s="476">
        <v>0.03</v>
      </c>
      <c r="P116" s="476">
        <f t="shared" si="21"/>
        <v>0.03</v>
      </c>
      <c r="Q116" s="476">
        <f t="shared" si="22"/>
        <v>0.03</v>
      </c>
      <c r="R116" s="476">
        <f t="shared" si="22"/>
        <v>0.03</v>
      </c>
      <c r="S116" s="381"/>
      <c r="T116" s="381"/>
      <c r="U116" s="381"/>
      <c r="V116" s="577"/>
      <c r="W116" s="577"/>
      <c r="X116" s="577"/>
      <c r="Y116" s="577"/>
      <c r="Z116" s="577"/>
      <c r="AA116" s="577"/>
      <c r="AB116" s="582"/>
    </row>
    <row r="117" spans="1:28" s="4" customFormat="1" ht="13.2" customHeight="1" thickBot="1">
      <c r="A117"/>
      <c r="B117" s="267"/>
      <c r="C117" s="284" t="s">
        <v>493</v>
      </c>
      <c r="D117" s="1073">
        <v>0</v>
      </c>
      <c r="E117" s="1074">
        <f>IF(D$45=0,0,100*D117/D$45)</f>
        <v>0</v>
      </c>
      <c r="F117" s="1073">
        <f t="shared" si="15"/>
        <v>0</v>
      </c>
      <c r="G117" s="1074">
        <f>IF(F$45=0,0,100*F117/F$45)</f>
        <v>0</v>
      </c>
      <c r="H117" s="1073">
        <f t="shared" si="19"/>
        <v>0</v>
      </c>
      <c r="I117" s="1074">
        <f>IF(H$45=0,0,100*H117/H$45)</f>
        <v>0</v>
      </c>
      <c r="J117" s="1073">
        <f t="shared" si="23"/>
        <v>0</v>
      </c>
      <c r="K117" s="1066">
        <f>IF(J$45=0,0,100*J117/J$45)</f>
        <v>0</v>
      </c>
      <c r="L117" s="1073">
        <f t="shared" si="20"/>
        <v>0</v>
      </c>
      <c r="M117" s="1066">
        <f>IF(L$45=0,0,100*L117/L$45)</f>
        <v>0</v>
      </c>
      <c r="N117" s="31"/>
      <c r="O117" s="476">
        <v>0.03</v>
      </c>
      <c r="P117" s="476">
        <f t="shared" si="21"/>
        <v>0.03</v>
      </c>
      <c r="Q117" s="476">
        <f t="shared" si="22"/>
        <v>0.03</v>
      </c>
      <c r="R117" s="476">
        <f t="shared" si="22"/>
        <v>0.03</v>
      </c>
      <c r="S117" s="381"/>
      <c r="T117" s="381"/>
      <c r="U117" s="381"/>
      <c r="V117" s="577"/>
      <c r="W117" s="577"/>
      <c r="X117" s="577"/>
      <c r="Y117" s="577"/>
      <c r="Z117" s="577"/>
      <c r="AA117" s="577"/>
      <c r="AB117" s="582"/>
    </row>
    <row r="118" spans="1:28" s="4" customFormat="1" ht="13.2" customHeight="1" thickBot="1">
      <c r="B118" s="285"/>
      <c r="C118" s="340" t="s">
        <v>563</v>
      </c>
      <c r="D118" s="1073">
        <v>0</v>
      </c>
      <c r="E118" s="1074">
        <f>IF(D$124=0,0,100*D118/D$124)</f>
        <v>0</v>
      </c>
      <c r="F118" s="1073">
        <f t="shared" si="15"/>
        <v>0</v>
      </c>
      <c r="G118" s="1074">
        <f>IF(F$45=0,0,100*F118/F$45)</f>
        <v>0</v>
      </c>
      <c r="H118" s="1073">
        <f t="shared" si="19"/>
        <v>0</v>
      </c>
      <c r="I118" s="1074">
        <f>IF(H$45=0,0,100*H118/H$45)</f>
        <v>0</v>
      </c>
      <c r="J118" s="1073">
        <f t="shared" si="23"/>
        <v>0</v>
      </c>
      <c r="K118" s="1074">
        <f>IF(J$45=0,0,100*J118/J$45)</f>
        <v>0</v>
      </c>
      <c r="L118" s="1073">
        <f t="shared" si="20"/>
        <v>0</v>
      </c>
      <c r="M118" s="1074">
        <f>IF(L$45=0,0,100*L118/L$45)</f>
        <v>0</v>
      </c>
      <c r="N118" s="32"/>
      <c r="O118" s="476">
        <v>0.03</v>
      </c>
      <c r="P118" s="476">
        <f t="shared" si="21"/>
        <v>0.03</v>
      </c>
      <c r="Q118" s="476">
        <f t="shared" si="22"/>
        <v>0.03</v>
      </c>
      <c r="R118" s="476">
        <f t="shared" si="22"/>
        <v>0.03</v>
      </c>
      <c r="S118" s="381"/>
      <c r="T118" s="381"/>
      <c r="U118" s="381"/>
      <c r="V118" s="381"/>
      <c r="W118" s="577"/>
      <c r="X118" s="577"/>
      <c r="Y118" s="577"/>
      <c r="Z118" s="577"/>
      <c r="AA118" s="577"/>
      <c r="AB118" s="582"/>
    </row>
    <row r="119" spans="1:28" s="4" customFormat="1" ht="13.2" customHeight="1" thickBot="1">
      <c r="B119" s="285"/>
      <c r="C119" s="736" t="s">
        <v>562</v>
      </c>
      <c r="D119" s="1073">
        <v>0</v>
      </c>
      <c r="E119" s="1074"/>
      <c r="F119" s="1073">
        <f>D119</f>
        <v>0</v>
      </c>
      <c r="G119" s="1074">
        <f>IF(F$45=0,0,100*F119/F$45)</f>
        <v>0</v>
      </c>
      <c r="H119" s="1073">
        <f>F119</f>
        <v>0</v>
      </c>
      <c r="I119" s="1074">
        <f>IF(H$45=0,0,100*H119/H$45)</f>
        <v>0</v>
      </c>
      <c r="J119" s="1073">
        <f>H119</f>
        <v>0</v>
      </c>
      <c r="K119" s="1074">
        <f>IF(J$45=0,0,100*J119/J$45)</f>
        <v>0</v>
      </c>
      <c r="L119" s="1073">
        <f>J119</f>
        <v>0</v>
      </c>
      <c r="M119" s="1074">
        <f>IF(L$45=0,0,100*L119/L$45)</f>
        <v>0</v>
      </c>
      <c r="N119" s="32"/>
      <c r="O119" s="754">
        <f>IF(F119&gt;0,"SRKIV KOSTNADEN FÖR HELA BETALNINGPERIODEN!",0)</f>
        <v>0</v>
      </c>
      <c r="P119" s="755"/>
      <c r="Q119" s="755"/>
      <c r="R119" s="755"/>
      <c r="S119" s="163"/>
      <c r="T119" s="163"/>
      <c r="U119" s="381"/>
      <c r="V119" s="381"/>
      <c r="W119" s="577"/>
      <c r="X119" s="577"/>
      <c r="Y119" s="577"/>
      <c r="Z119" s="577"/>
      <c r="AA119" s="577"/>
      <c r="AB119" s="582"/>
    </row>
    <row r="120" spans="1:28" s="4" customFormat="1" ht="13.2" customHeight="1" thickBot="1">
      <c r="B120" s="285"/>
      <c r="C120" s="736" t="s">
        <v>564</v>
      </c>
      <c r="D120" s="1073"/>
      <c r="E120" s="1074"/>
      <c r="F120" s="1073">
        <f t="shared" si="15"/>
        <v>0</v>
      </c>
      <c r="G120" s="1074"/>
      <c r="H120" s="1073">
        <f t="shared" si="19"/>
        <v>0</v>
      </c>
      <c r="I120" s="1074"/>
      <c r="J120" s="1073">
        <f t="shared" si="23"/>
        <v>0</v>
      </c>
      <c r="K120" s="1074"/>
      <c r="L120" s="1073">
        <f>J120+J120*R120</f>
        <v>0</v>
      </c>
      <c r="M120" s="1074"/>
      <c r="N120" s="32"/>
      <c r="O120" s="476">
        <v>0.03</v>
      </c>
      <c r="P120" s="476">
        <f>O120</f>
        <v>0.03</v>
      </c>
      <c r="Q120" s="476">
        <f>P120</f>
        <v>0.03</v>
      </c>
      <c r="R120" s="476">
        <f>Q120</f>
        <v>0.03</v>
      </c>
      <c r="S120" s="474"/>
      <c r="T120" s="381"/>
      <c r="U120" s="381"/>
      <c r="V120" s="381"/>
      <c r="W120" s="577"/>
      <c r="X120" s="577"/>
      <c r="Y120" s="577"/>
      <c r="Z120" s="577"/>
      <c r="AA120" s="577"/>
      <c r="AB120" s="582"/>
    </row>
    <row r="121" spans="1:28" s="4" customFormat="1" ht="13.2" customHeight="1" thickBot="1">
      <c r="B121" s="285"/>
      <c r="C121" s="341" t="s">
        <v>708</v>
      </c>
      <c r="D121" s="1073">
        <v>0</v>
      </c>
      <c r="E121" s="1074">
        <f>IF(D$124=0,0,100*D121/D$124)</f>
        <v>0</v>
      </c>
      <c r="F121" s="1073">
        <f>D121+D121*O121</f>
        <v>0</v>
      </c>
      <c r="G121" s="1074">
        <f>IF(F$45=0,0,100*F121/F$45)</f>
        <v>0</v>
      </c>
      <c r="H121" s="1073">
        <f>F121+F121*P121</f>
        <v>0</v>
      </c>
      <c r="I121" s="1074">
        <f>IF(H$45=0,0,100*H121/H$45)</f>
        <v>0</v>
      </c>
      <c r="J121" s="1073">
        <f t="shared" si="23"/>
        <v>0</v>
      </c>
      <c r="K121" s="1074">
        <f>IF(J$45=0,0,100*J121/J$45)</f>
        <v>0</v>
      </c>
      <c r="L121" s="1073">
        <f t="shared" si="20"/>
        <v>0</v>
      </c>
      <c r="M121" s="1074">
        <f>IF(L$45=0,0,100*L121/L$45)</f>
        <v>0</v>
      </c>
      <c r="N121" s="32"/>
      <c r="O121" s="476">
        <v>0.03</v>
      </c>
      <c r="P121" s="476">
        <f t="shared" si="21"/>
        <v>0.03</v>
      </c>
      <c r="Q121" s="476">
        <f t="shared" si="22"/>
        <v>0.03</v>
      </c>
      <c r="R121" s="476">
        <f t="shared" si="22"/>
        <v>0.03</v>
      </c>
      <c r="S121" s="474"/>
      <c r="T121" s="381"/>
      <c r="U121" s="381"/>
      <c r="V121" s="381"/>
      <c r="W121" s="381"/>
      <c r="X121" s="381"/>
      <c r="Y121" s="381"/>
      <c r="Z121" s="381"/>
      <c r="AA121" s="381"/>
      <c r="AB121" s="578"/>
    </row>
    <row r="122" spans="1:28" s="4" customFormat="1" ht="13.2" customHeight="1" thickBot="1">
      <c r="B122" s="416"/>
      <c r="C122" s="736" t="s">
        <v>592</v>
      </c>
      <c r="D122" s="1073">
        <v>0</v>
      </c>
      <c r="E122" s="1074"/>
      <c r="F122" s="1073">
        <f>D122+D122*O122</f>
        <v>0</v>
      </c>
      <c r="G122" s="1074"/>
      <c r="H122" s="1073">
        <f>F122+F122*P122</f>
        <v>0</v>
      </c>
      <c r="I122" s="1079"/>
      <c r="J122" s="1073">
        <f t="shared" si="23"/>
        <v>0</v>
      </c>
      <c r="K122" s="1074"/>
      <c r="L122" s="1073">
        <f t="shared" si="20"/>
        <v>0</v>
      </c>
      <c r="M122" s="1074"/>
      <c r="N122" s="32"/>
      <c r="O122" s="476">
        <v>0.03</v>
      </c>
      <c r="P122" s="476">
        <f t="shared" ref="P122:P123" si="24">O122</f>
        <v>0.03</v>
      </c>
      <c r="Q122" s="476">
        <f t="shared" ref="Q122:Q123" si="25">P122</f>
        <v>0.03</v>
      </c>
      <c r="R122" s="476">
        <f t="shared" ref="R122:R123" si="26">Q122</f>
        <v>0.03</v>
      </c>
      <c r="S122" s="474"/>
      <c r="T122" s="381"/>
      <c r="U122" s="381"/>
      <c r="V122" s="381"/>
      <c r="W122" s="381"/>
      <c r="X122" s="381"/>
      <c r="Y122" s="381"/>
      <c r="Z122" s="381"/>
      <c r="AA122" s="381"/>
      <c r="AB122" s="578"/>
    </row>
    <row r="123" spans="1:28" s="4" customFormat="1" ht="13.2" customHeight="1" thickBot="1">
      <c r="B123" s="416"/>
      <c r="C123" s="736" t="s">
        <v>593</v>
      </c>
      <c r="D123" s="1073">
        <v>0</v>
      </c>
      <c r="E123" s="1074"/>
      <c r="F123" s="1073">
        <f>D123+D123*O123</f>
        <v>0</v>
      </c>
      <c r="G123" s="1074"/>
      <c r="H123" s="1073">
        <f>F123+F123*P123</f>
        <v>0</v>
      </c>
      <c r="I123" s="1079"/>
      <c r="J123" s="1073">
        <f t="shared" si="23"/>
        <v>0</v>
      </c>
      <c r="K123" s="1074"/>
      <c r="L123" s="1073">
        <f t="shared" si="20"/>
        <v>0</v>
      </c>
      <c r="M123" s="1074"/>
      <c r="N123" s="32"/>
      <c r="O123" s="476">
        <v>0.03</v>
      </c>
      <c r="P123" s="476">
        <f t="shared" si="24"/>
        <v>0.03</v>
      </c>
      <c r="Q123" s="476">
        <f t="shared" si="25"/>
        <v>0.03</v>
      </c>
      <c r="R123" s="476">
        <f t="shared" si="26"/>
        <v>0.03</v>
      </c>
      <c r="S123" s="761"/>
      <c r="T123" s="579"/>
      <c r="U123" s="579"/>
      <c r="V123" s="579"/>
      <c r="W123" s="579"/>
      <c r="X123" s="579"/>
      <c r="Y123" s="579"/>
      <c r="Z123" s="579"/>
      <c r="AA123" s="579"/>
      <c r="AB123" s="581"/>
    </row>
    <row r="124" spans="1:28" ht="12.75" customHeight="1" thickBot="1">
      <c r="B124" s="962" t="s">
        <v>0</v>
      </c>
      <c r="C124" s="59" t="s">
        <v>314</v>
      </c>
      <c r="D124" s="1080">
        <f>D45+D44</f>
        <v>42068</v>
      </c>
      <c r="E124" s="1081">
        <v>0</v>
      </c>
      <c r="F124" s="1080">
        <f>F45+F44</f>
        <v>151247.908</v>
      </c>
      <c r="G124" s="1082">
        <v>0</v>
      </c>
      <c r="H124" s="1080">
        <f>H45+H44</f>
        <v>146569.22174000001</v>
      </c>
      <c r="I124" s="1083">
        <v>0</v>
      </c>
      <c r="J124" s="1080">
        <f>J45+J44</f>
        <v>150831.29839220003</v>
      </c>
      <c r="K124" s="1081"/>
      <c r="L124" s="1080">
        <f>L45+L44</f>
        <v>155221.237343966</v>
      </c>
      <c r="M124" s="1081"/>
      <c r="N124" s="7"/>
      <c r="O124" s="1532"/>
      <c r="P124" s="1532"/>
      <c r="Q124" s="1532"/>
      <c r="R124" s="1532"/>
      <c r="S124" s="1533"/>
      <c r="T124" s="1533"/>
      <c r="U124" s="1533"/>
      <c r="V124" s="1533"/>
      <c r="W124" s="1533"/>
      <c r="X124" s="1534"/>
      <c r="Y124" s="1534"/>
      <c r="Z124" s="1534"/>
      <c r="AA124" s="1534"/>
      <c r="AB124" s="1533"/>
    </row>
    <row r="125" spans="1:28" ht="15.65" customHeight="1">
      <c r="A125" s="2"/>
      <c r="B125" s="555" t="str">
        <f>IF(D45+D51&lt;0,"FEL! KORRIGIRA SIFFORNA MED + TECKEN!","")</f>
        <v/>
      </c>
      <c r="D125" s="251"/>
      <c r="N125" s="3"/>
      <c r="O125" s="1532"/>
      <c r="P125" s="1532"/>
      <c r="Q125" s="1532"/>
      <c r="R125" s="1532"/>
      <c r="S125" s="1533"/>
      <c r="T125" s="1533"/>
      <c r="U125" s="1533"/>
      <c r="V125" s="1533"/>
      <c r="W125" s="1533"/>
      <c r="X125" s="1534"/>
      <c r="Y125" s="1534"/>
      <c r="Z125" s="1534"/>
      <c r="AA125" s="1534"/>
      <c r="AB125" s="1533"/>
    </row>
    <row r="126" spans="1:28" s="2" customFormat="1">
      <c r="A126" s="4"/>
      <c r="B126" s="496" t="str">
        <f>'2. &amp; 7. T2  RESULTATB.'!B35</f>
        <v>FT22 Det aktiva företagets resultatplan</v>
      </c>
      <c r="C126" s="497"/>
      <c r="D126" s="251"/>
      <c r="E126" s="497"/>
      <c r="F126" s="497"/>
      <c r="G126" s="497"/>
      <c r="H126" s="497"/>
      <c r="I126" s="497"/>
      <c r="J126" s="497"/>
      <c r="K126" s="497"/>
      <c r="L126" s="497"/>
      <c r="M126" s="308" t="str">
        <f>STARTSIDAN!J5</f>
        <v xml:space="preserve">Tjänsten erbjuds av: </v>
      </c>
      <c r="N126" s="3"/>
      <c r="O126" s="1532"/>
      <c r="P126" s="1532"/>
      <c r="Q126" s="1532"/>
      <c r="R126" s="1532"/>
      <c r="S126" s="1533"/>
      <c r="T126" s="1533"/>
      <c r="U126" s="1533"/>
      <c r="V126" s="1533"/>
      <c r="W126" s="1533"/>
      <c r="X126" s="1534"/>
      <c r="Y126" s="1534"/>
      <c r="Z126" s="1534"/>
      <c r="AA126" s="1534"/>
      <c r="AB126" s="1533"/>
    </row>
    <row r="127" spans="1:28" s="2" customFormat="1">
      <c r="A127"/>
      <c r="B127" s="496" t="str">
        <f>'2. &amp; 7. T2  RESULTATB.'!B36</f>
        <v xml:space="preserve"> </v>
      </c>
      <c r="C127" s="497"/>
      <c r="D127" s="497"/>
      <c r="E127" s="2166" t="str">
        <f>STARTSIDAN!H7</f>
        <v>Dynamo Närpes och Kristinestads näringslivscentral Ab</v>
      </c>
      <c r="F127" s="2166"/>
      <c r="G127" s="2166"/>
      <c r="H127" s="2166"/>
      <c r="I127" s="2166"/>
      <c r="J127" s="2166"/>
      <c r="K127" s="2166"/>
      <c r="L127" s="2166"/>
      <c r="M127" s="2166"/>
      <c r="N127" s="3"/>
      <c r="O127" s="1532"/>
      <c r="P127" s="1532"/>
      <c r="Q127" s="1532"/>
      <c r="R127" s="1532"/>
      <c r="S127" s="1533"/>
      <c r="T127" s="1533"/>
      <c r="U127" s="1533"/>
      <c r="V127" s="1533"/>
      <c r="W127" s="1533"/>
      <c r="X127" s="1534"/>
      <c r="Y127" s="1534"/>
      <c r="Z127" s="1534"/>
      <c r="AA127" s="1534"/>
      <c r="AB127" s="1533"/>
    </row>
    <row r="128" spans="1:28" s="2" customFormat="1">
      <c r="B128" s="4"/>
      <c r="N128" s="3"/>
      <c r="O128" s="1535"/>
      <c r="P128" s="1535"/>
      <c r="Q128" s="1535"/>
      <c r="R128" s="1535"/>
      <c r="S128" s="1535"/>
      <c r="T128" s="1535"/>
      <c r="U128" s="1535"/>
      <c r="V128" s="1535"/>
      <c r="W128" s="1535"/>
      <c r="X128" s="1536"/>
      <c r="Y128" s="1536"/>
      <c r="Z128" s="1536"/>
      <c r="AA128" s="1536"/>
      <c r="AB128" s="1537"/>
    </row>
    <row r="129" spans="2:27" ht="6.75" customHeight="1">
      <c r="B129" s="4"/>
      <c r="C129" s="4"/>
      <c r="D129" s="4"/>
      <c r="E129" s="4"/>
      <c r="F129" s="4"/>
      <c r="G129" s="4"/>
      <c r="H129" s="4"/>
      <c r="I129" s="4"/>
      <c r="J129" s="4"/>
      <c r="K129" s="4"/>
      <c r="L129" s="4"/>
      <c r="M129" s="4"/>
      <c r="O129" s="1"/>
      <c r="P129" s="1"/>
      <c r="Q129" s="1"/>
      <c r="R129" s="1"/>
      <c r="S129" s="1"/>
      <c r="T129" s="1"/>
      <c r="U129" s="1"/>
      <c r="V129" s="1"/>
      <c r="W129" s="1"/>
      <c r="X129" s="28"/>
      <c r="Y129" s="28"/>
      <c r="Z129" s="28"/>
      <c r="AA129" s="28"/>
    </row>
    <row r="130" spans="2:27">
      <c r="B130" s="33"/>
      <c r="C130" s="493" t="s">
        <v>399</v>
      </c>
      <c r="D130" s="20"/>
      <c r="E130" s="20"/>
      <c r="F130" s="9"/>
      <c r="G130" s="20"/>
      <c r="H130" s="9"/>
      <c r="I130" s="20"/>
      <c r="J130" s="9"/>
      <c r="K130" s="20"/>
      <c r="L130" s="9"/>
      <c r="M130" s="20"/>
      <c r="N130" s="9"/>
      <c r="O130" s="9"/>
      <c r="P130" s="9"/>
      <c r="Q130" s="8"/>
      <c r="R130" s="28"/>
      <c r="S130" s="28"/>
      <c r="T130" s="28"/>
      <c r="U130" s="28"/>
      <c r="V130" s="28"/>
      <c r="W130" s="28"/>
      <c r="X130" s="28"/>
      <c r="Y130" s="28"/>
      <c r="Z130" s="28"/>
      <c r="AA130" s="28"/>
    </row>
    <row r="131" spans="2:27" s="2" customFormat="1">
      <c r="B131" s="36"/>
      <c r="C131" s="51" t="s">
        <v>400</v>
      </c>
      <c r="D131" s="35"/>
      <c r="E131" s="35"/>
      <c r="F131" s="23"/>
      <c r="G131" s="35"/>
      <c r="H131" s="9"/>
      <c r="I131" s="35"/>
      <c r="J131" s="9"/>
      <c r="K131" s="35"/>
      <c r="L131" s="9"/>
      <c r="M131" s="35"/>
      <c r="N131" s="9"/>
      <c r="O131" s="9"/>
      <c r="P131" s="9"/>
      <c r="Q131" s="8"/>
      <c r="R131" s="28"/>
      <c r="S131" s="28"/>
      <c r="T131" s="28"/>
      <c r="U131" s="28"/>
      <c r="V131" s="28"/>
      <c r="W131" s="28"/>
      <c r="X131" s="28"/>
      <c r="Y131" s="28"/>
      <c r="Z131" s="28"/>
      <c r="AA131" s="28"/>
    </row>
    <row r="132" spans="2:27" s="2" customFormat="1" ht="12.75" customHeight="1">
      <c r="B132" s="36"/>
      <c r="C132" s="51" t="s">
        <v>401</v>
      </c>
      <c r="D132" s="35"/>
      <c r="E132" s="35"/>
      <c r="F132" s="9"/>
      <c r="G132" s="35"/>
      <c r="H132" s="9"/>
      <c r="I132" s="35"/>
      <c r="J132" s="9"/>
      <c r="K132" s="35"/>
      <c r="L132" s="9"/>
      <c r="M132" s="35"/>
      <c r="N132" s="9"/>
      <c r="O132" s="9"/>
      <c r="P132" s="9"/>
      <c r="Q132" s="8"/>
      <c r="R132" s="28"/>
      <c r="S132" s="28"/>
      <c r="T132" s="28"/>
      <c r="U132" s="28"/>
      <c r="V132" s="28"/>
      <c r="W132" s="28"/>
      <c r="X132" s="28"/>
      <c r="Y132" s="28"/>
      <c r="Z132" s="28"/>
      <c r="AA132" s="28"/>
    </row>
    <row r="133" spans="2:27">
      <c r="B133" s="33"/>
      <c r="N133" s="12"/>
      <c r="O133" s="12"/>
      <c r="P133" s="12"/>
      <c r="Q133" s="8"/>
      <c r="R133" s="13"/>
      <c r="S133" s="28"/>
      <c r="T133" s="28"/>
      <c r="U133" s="28"/>
      <c r="V133" s="28"/>
      <c r="W133" s="28"/>
      <c r="X133" s="28"/>
      <c r="Y133" s="28"/>
      <c r="Z133" s="28"/>
      <c r="AA133" s="28"/>
    </row>
    <row r="134" spans="2:27" s="2" customFormat="1">
      <c r="B134" s="33"/>
      <c r="N134" s="14"/>
      <c r="O134" s="14"/>
      <c r="P134" s="14"/>
      <c r="Q134" s="8"/>
      <c r="R134" s="13"/>
      <c r="S134" s="28"/>
      <c r="T134" s="28"/>
      <c r="U134" s="28"/>
      <c r="V134" s="28"/>
      <c r="W134" s="28"/>
      <c r="X134" s="28"/>
      <c r="Y134" s="28"/>
      <c r="Z134" s="28"/>
      <c r="AA134" s="28"/>
    </row>
    <row r="135" spans="2:27">
      <c r="B135" s="36"/>
      <c r="N135" s="9"/>
      <c r="O135" s="9"/>
      <c r="P135" s="9"/>
      <c r="Q135" s="8"/>
      <c r="R135" s="28"/>
      <c r="S135" s="28"/>
      <c r="T135" s="28"/>
      <c r="U135" s="28"/>
      <c r="V135" s="28"/>
      <c r="W135" s="28"/>
      <c r="X135" s="28"/>
      <c r="Y135" s="28"/>
      <c r="Z135" s="28"/>
      <c r="AA135" s="28"/>
    </row>
    <row r="136" spans="2:27">
      <c r="B136" s="33"/>
      <c r="N136" s="12"/>
      <c r="O136" s="12"/>
      <c r="P136" s="12"/>
      <c r="Q136" s="8"/>
      <c r="R136" s="28"/>
      <c r="S136" s="28"/>
      <c r="T136" s="28"/>
      <c r="U136" s="28"/>
      <c r="V136" s="28"/>
      <c r="W136" s="28"/>
      <c r="X136" s="28"/>
      <c r="Y136" s="28"/>
      <c r="Z136" s="28"/>
      <c r="AA136" s="28"/>
    </row>
    <row r="137" spans="2:27">
      <c r="B137" s="36"/>
      <c r="N137" s="9"/>
      <c r="O137" s="9"/>
      <c r="P137" s="9"/>
      <c r="Q137" s="8"/>
      <c r="R137" s="28"/>
      <c r="S137" s="28"/>
      <c r="T137" s="28"/>
      <c r="U137" s="28"/>
      <c r="V137" s="28"/>
      <c r="W137" s="28"/>
      <c r="X137" s="28"/>
      <c r="Y137" s="28"/>
      <c r="Z137" s="28"/>
      <c r="AA137" s="28"/>
    </row>
    <row r="138" spans="2:27" ht="12.75" customHeight="1">
      <c r="B138" s="20"/>
      <c r="N138" s="11"/>
      <c r="O138" s="11"/>
      <c r="P138" s="11"/>
      <c r="Q138" s="8"/>
      <c r="R138" s="28"/>
      <c r="S138" s="28"/>
      <c r="T138" s="28"/>
      <c r="U138" s="28"/>
      <c r="V138" s="28"/>
      <c r="W138" s="28"/>
      <c r="X138" s="28"/>
      <c r="Y138" s="28"/>
      <c r="Z138" s="28"/>
      <c r="AA138" s="28"/>
    </row>
    <row r="139" spans="2:27" ht="12.75" customHeight="1">
      <c r="B139" s="20"/>
      <c r="C139" s="34"/>
      <c r="D139" s="10"/>
      <c r="E139" s="10"/>
      <c r="F139" s="11"/>
      <c r="G139" s="10"/>
      <c r="H139" s="16"/>
      <c r="I139" s="10"/>
      <c r="J139" s="16"/>
      <c r="K139" s="10"/>
      <c r="L139" s="16"/>
      <c r="M139" s="10"/>
      <c r="N139" s="16"/>
      <c r="O139" s="16"/>
      <c r="P139" s="16"/>
      <c r="Q139" s="8"/>
      <c r="R139" s="8"/>
      <c r="S139" s="8"/>
      <c r="T139" s="8"/>
      <c r="U139" s="8"/>
      <c r="V139" s="8"/>
      <c r="W139" s="8"/>
      <c r="X139" s="8"/>
      <c r="Y139" s="8"/>
      <c r="Z139" s="8"/>
      <c r="AA139" s="8"/>
    </row>
    <row r="140" spans="2:27" ht="12.75" customHeight="1">
      <c r="B140" s="20"/>
      <c r="C140" s="34"/>
      <c r="D140" s="20"/>
      <c r="E140" s="20"/>
      <c r="F140" s="11"/>
      <c r="G140" s="20"/>
      <c r="H140" s="11"/>
      <c r="I140" s="20"/>
      <c r="J140" s="11"/>
      <c r="K140" s="20"/>
      <c r="L140" s="11"/>
      <c r="M140" s="20"/>
      <c r="N140" s="11"/>
      <c r="O140" s="11"/>
      <c r="P140" s="11"/>
      <c r="Q140" s="8"/>
      <c r="R140" s="8"/>
      <c r="S140" s="8"/>
      <c r="T140" s="8"/>
      <c r="U140" s="8"/>
      <c r="V140" s="8"/>
      <c r="W140" s="8"/>
      <c r="X140" s="8"/>
      <c r="Y140" s="8"/>
      <c r="Z140" s="8"/>
      <c r="AA140" s="8"/>
    </row>
    <row r="141" spans="2:27" ht="12.75" customHeight="1">
      <c r="B141" s="20"/>
      <c r="C141" s="34"/>
      <c r="D141" s="35"/>
      <c r="E141" s="35"/>
      <c r="F141" s="11"/>
      <c r="G141" s="35"/>
      <c r="H141" s="38"/>
      <c r="I141" s="35"/>
      <c r="J141" s="38"/>
      <c r="K141" s="35"/>
      <c r="L141" s="38"/>
      <c r="M141" s="35"/>
      <c r="N141" s="38"/>
      <c r="O141" s="38"/>
      <c r="P141" s="38"/>
      <c r="Q141" s="8"/>
      <c r="R141" s="8"/>
      <c r="S141" s="8"/>
      <c r="T141" s="8"/>
      <c r="U141" s="8"/>
      <c r="V141" s="8"/>
      <c r="W141" s="8"/>
      <c r="X141" s="8"/>
      <c r="Y141" s="8"/>
      <c r="Z141" s="8"/>
      <c r="AA141" s="8"/>
    </row>
    <row r="142" spans="2:27" ht="12.75" customHeight="1">
      <c r="B142" s="35"/>
      <c r="C142" s="34"/>
      <c r="D142" s="35"/>
      <c r="E142" s="35"/>
      <c r="F142" s="11"/>
      <c r="G142" s="35"/>
      <c r="H142" s="38"/>
      <c r="I142" s="35"/>
      <c r="J142" s="38"/>
      <c r="K142" s="35"/>
      <c r="L142" s="38"/>
      <c r="M142" s="35"/>
      <c r="N142" s="38"/>
      <c r="O142" s="38"/>
      <c r="P142" s="38"/>
      <c r="Q142" s="8"/>
      <c r="R142" s="8"/>
      <c r="S142" s="8"/>
      <c r="T142" s="8"/>
      <c r="U142" s="8"/>
      <c r="V142" s="8"/>
      <c r="W142" s="8"/>
      <c r="X142" s="8"/>
      <c r="Y142" s="8"/>
      <c r="Z142" s="8"/>
      <c r="AA142" s="8"/>
    </row>
    <row r="143" spans="2:27" ht="12.75" customHeight="1">
      <c r="B143" s="20"/>
      <c r="C143" s="34"/>
      <c r="D143" s="39"/>
      <c r="E143" s="39"/>
      <c r="F143" s="11"/>
      <c r="G143" s="39"/>
      <c r="H143" s="38"/>
      <c r="I143" s="39"/>
      <c r="J143" s="38"/>
      <c r="K143" s="39"/>
      <c r="L143" s="38"/>
      <c r="M143" s="39"/>
      <c r="N143" s="38"/>
      <c r="O143" s="38"/>
      <c r="P143" s="38"/>
      <c r="Q143" s="8"/>
      <c r="R143" s="8"/>
      <c r="S143" s="8"/>
      <c r="T143" s="8"/>
      <c r="U143" s="8"/>
      <c r="V143" s="8"/>
      <c r="W143" s="8"/>
      <c r="X143" s="8"/>
      <c r="Y143" s="8"/>
      <c r="Z143" s="8"/>
      <c r="AA143" s="8"/>
    </row>
    <row r="144" spans="2:27" ht="12.75" customHeight="1">
      <c r="B144" s="8"/>
      <c r="C144" s="8"/>
      <c r="D144" s="35"/>
      <c r="E144" s="35"/>
      <c r="F144" s="8"/>
      <c r="G144" s="35"/>
      <c r="H144" s="8"/>
      <c r="I144" s="35"/>
      <c r="J144" s="8"/>
      <c r="K144" s="35"/>
      <c r="L144" s="8"/>
      <c r="M144" s="35"/>
      <c r="N144" s="8"/>
      <c r="O144" s="8"/>
      <c r="P144" s="8"/>
      <c r="Q144" s="8"/>
      <c r="R144" s="8"/>
      <c r="S144" s="8"/>
      <c r="T144" s="8"/>
      <c r="U144" s="8"/>
      <c r="V144" s="8"/>
      <c r="W144" s="8"/>
      <c r="X144" s="8"/>
      <c r="Y144" s="8"/>
      <c r="Z144" s="8"/>
      <c r="AA144" s="8"/>
    </row>
    <row r="145" spans="2:27" ht="12.75" customHeight="1">
      <c r="B145" s="8"/>
      <c r="C145" s="8"/>
      <c r="D145" s="8"/>
      <c r="E145" s="8"/>
      <c r="F145" s="36"/>
      <c r="G145" s="8"/>
      <c r="H145" s="15"/>
      <c r="I145" s="8"/>
      <c r="J145" s="15"/>
      <c r="K145" s="8"/>
      <c r="L145" s="15"/>
      <c r="M145" s="8"/>
      <c r="N145" s="15"/>
      <c r="O145" s="15"/>
      <c r="P145" s="15"/>
      <c r="Q145" s="8"/>
      <c r="R145" s="8"/>
      <c r="S145" s="8"/>
      <c r="T145" s="8"/>
      <c r="U145" s="8"/>
      <c r="V145" s="8"/>
      <c r="W145" s="8"/>
      <c r="X145" s="8"/>
      <c r="Y145" s="8"/>
      <c r="Z145" s="8"/>
      <c r="AA145" s="8"/>
    </row>
    <row r="146" spans="2:27" ht="12.75" customHeight="1">
      <c r="B146" s="8"/>
      <c r="C146" s="8"/>
      <c r="D146" s="8"/>
      <c r="E146" s="8"/>
      <c r="F146" s="36"/>
      <c r="G146" s="8"/>
      <c r="H146" s="9"/>
      <c r="I146" s="8"/>
      <c r="J146" s="9"/>
      <c r="K146" s="8"/>
      <c r="L146" s="9"/>
      <c r="M146" s="8"/>
      <c r="N146" s="9"/>
      <c r="O146" s="9"/>
      <c r="P146" s="9"/>
      <c r="Q146" s="8"/>
      <c r="R146" s="8"/>
      <c r="S146" s="8"/>
      <c r="T146" s="8"/>
      <c r="U146" s="8"/>
      <c r="V146" s="8"/>
      <c r="W146" s="8"/>
      <c r="X146" s="8"/>
      <c r="Y146" s="8"/>
      <c r="Z146" s="8"/>
      <c r="AA146" s="8"/>
    </row>
    <row r="147" spans="2:27" ht="12.7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2:27" ht="12.75" customHeight="1">
      <c r="B148" s="8"/>
      <c r="C148" s="8"/>
      <c r="D148" s="35"/>
      <c r="E148" s="35"/>
      <c r="F148" s="36"/>
      <c r="G148" s="35"/>
      <c r="H148" s="17"/>
      <c r="I148" s="35"/>
      <c r="J148" s="17"/>
      <c r="K148" s="35"/>
      <c r="L148" s="17"/>
      <c r="M148" s="35"/>
      <c r="N148" s="17"/>
      <c r="O148" s="17"/>
      <c r="P148" s="17"/>
      <c r="Q148" s="8"/>
      <c r="R148" s="8"/>
      <c r="S148" s="8"/>
      <c r="T148" s="8"/>
      <c r="U148" s="8"/>
      <c r="V148" s="8"/>
      <c r="W148" s="8"/>
      <c r="X148" s="8"/>
      <c r="Y148" s="8"/>
      <c r="Z148" s="8"/>
      <c r="AA148" s="8"/>
    </row>
    <row r="149" spans="2:27" ht="12.75" customHeight="1"/>
    <row r="150" spans="2:27" ht="12.75" customHeight="1"/>
    <row r="151" spans="2:27" ht="12.75" customHeight="1"/>
    <row r="152" spans="2:27" ht="12.75" customHeight="1"/>
    <row r="153" spans="2:27" ht="12.75" customHeight="1"/>
    <row r="154" spans="2:27" ht="12.75" customHeight="1"/>
    <row r="155" spans="2:27" ht="12.75" customHeight="1"/>
    <row r="156" spans="2:27" ht="12.75" customHeight="1"/>
    <row r="157" spans="2:27" ht="12.75" customHeight="1"/>
    <row r="158" spans="2:27" ht="12.75" customHeight="1"/>
    <row r="159" spans="2:27" ht="12.75" customHeight="1"/>
    <row r="160" spans="2:27" ht="12.75" customHeight="1"/>
  </sheetData>
  <sheetProtection algorithmName="SHA-512" hashValue="wElDIjeYxuO9vS/cCYWFRqBc59JFQZV+ynDyfNEyBl9G2Si9lGugZNd0yOgt05ELYpef+W0+LyMUt6HGv6cc9g==" saltValue="WYqlt2v4by3dz0TY7eBn7Q==" spinCount="100000" sheet="1" objects="1" scenarios="1"/>
  <mergeCells count="22">
    <mergeCell ref="E127:M127"/>
    <mergeCell ref="L10:M10"/>
    <mergeCell ref="O3:Q3"/>
    <mergeCell ref="E3:F3"/>
    <mergeCell ref="O11:R11"/>
    <mergeCell ref="D7:E7"/>
    <mergeCell ref="H7:I7"/>
    <mergeCell ref="B5:D5"/>
    <mergeCell ref="F7:G7"/>
    <mergeCell ref="E5:I5"/>
    <mergeCell ref="L7:M7"/>
    <mergeCell ref="L8:M8"/>
    <mergeCell ref="D8:E8"/>
    <mergeCell ref="F8:G8"/>
    <mergeCell ref="D10:E10"/>
    <mergeCell ref="F10:G10"/>
    <mergeCell ref="H10:I10"/>
    <mergeCell ref="J10:K10"/>
    <mergeCell ref="H8:I8"/>
    <mergeCell ref="J8:K8"/>
    <mergeCell ref="B7:C9"/>
    <mergeCell ref="J7:K7"/>
  </mergeCells>
  <phoneticPr fontId="7" type="noConversion"/>
  <printOptions horizontalCentered="1"/>
  <pageMargins left="0.23622047244094491" right="0.23622047244094491" top="0.74803149606299213" bottom="0.74803149606299213" header="0.31496062992125984" footer="0.31496062992125984"/>
  <pageSetup paperSize="9" scale="80" orientation="portrait" r:id="rId1"/>
  <headerFooter alignWithMargins="0"/>
  <rowBreaks count="1" manualBreakCount="1">
    <brk id="68" min="1" max="27" man="1"/>
  </rowBreaks>
  <colBreaks count="1" manualBreakCount="1">
    <brk id="13" max="1048575" man="1"/>
  </colBreaks>
  <ignoredErrors>
    <ignoredError sqref="H13 J13 L13 R13"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41">
    <tabColor rgb="FFFFC000"/>
  </sheetPr>
  <dimension ref="A2:X81"/>
  <sheetViews>
    <sheetView showGridLines="0" showZeros="0" defaultGridColor="0" colorId="55" zoomScaleNormal="100" workbookViewId="0">
      <pane ySplit="9" topLeftCell="A10" activePane="bottomLeft" state="frozen"/>
      <selection pane="bottomLeft" activeCell="Q1" sqref="Q1"/>
    </sheetView>
  </sheetViews>
  <sheetFormatPr defaultRowHeight="12.45"/>
  <cols>
    <col min="1" max="1" width="11.69140625" customWidth="1"/>
    <col min="2" max="2" width="33.84375" customWidth="1"/>
    <col min="3" max="3" width="4.69140625" style="41" customWidth="1"/>
    <col min="4" max="8" width="13.3046875" customWidth="1"/>
    <col min="9" max="9" width="5.3046875" customWidth="1"/>
    <col min="14" max="21" width="8.84375" customWidth="1"/>
  </cols>
  <sheetData>
    <row r="2" spans="1:24" ht="13.5" customHeight="1">
      <c r="B2" s="25" t="s">
        <v>498</v>
      </c>
      <c r="C2"/>
      <c r="D2" s="25"/>
      <c r="E2" s="47" t="s">
        <v>169</v>
      </c>
      <c r="F2" s="25"/>
      <c r="J2" s="2" t="str">
        <f>B2</f>
        <v>E2  HUR OMSÄTTNINGEN UPPSTÅR</v>
      </c>
      <c r="N2" s="482"/>
    </row>
    <row r="3" spans="1:24" ht="13.5" customHeight="1">
      <c r="B3" s="523">
        <f>'3. &amp; 8. T3 BALANS'!D12</f>
        <v>0</v>
      </c>
      <c r="C3" s="6"/>
      <c r="D3" s="5"/>
      <c r="E3" s="502">
        <f>'2. &amp; 7. T2  RESULTATB.'!G3</f>
        <v>0</v>
      </c>
      <c r="F3" s="6"/>
      <c r="G3" s="6"/>
      <c r="H3" s="6"/>
      <c r="N3" s="483"/>
    </row>
    <row r="4" spans="1:24" ht="15" customHeight="1">
      <c r="B4" s="44" t="s">
        <v>171</v>
      </c>
      <c r="C4" s="53"/>
      <c r="D4" s="19" t="s">
        <v>0</v>
      </c>
      <c r="E4" s="44" t="s">
        <v>173</v>
      </c>
      <c r="F4" s="1"/>
      <c r="G4" s="19" t="s">
        <v>0</v>
      </c>
      <c r="H4" s="19" t="s">
        <v>0</v>
      </c>
      <c r="I4" s="29" t="s">
        <v>0</v>
      </c>
      <c r="J4" s="29" t="s">
        <v>0</v>
      </c>
      <c r="K4" s="29" t="s">
        <v>0</v>
      </c>
    </row>
    <row r="5" spans="1:24" ht="14.25" customHeight="1">
      <c r="B5" s="2173" t="str">
        <f>'2. &amp; 7. T2  RESULTATB.'!B5:D5</f>
        <v>Exempel Dagis Ab</v>
      </c>
      <c r="C5" s="2173"/>
      <c r="D5" s="2173"/>
      <c r="E5" s="2178">
        <f>'2. &amp; 7. T2  RESULTATB.'!K5</f>
        <v>0</v>
      </c>
      <c r="F5" s="2179"/>
      <c r="G5" s="2179"/>
      <c r="H5" s="2179"/>
      <c r="I5" s="22"/>
      <c r="J5" s="1978"/>
      <c r="K5" s="1978"/>
      <c r="W5" s="8"/>
      <c r="X5" s="8"/>
    </row>
    <row r="6" spans="1:24" ht="6" customHeight="1" thickBot="1">
      <c r="F6" s="18"/>
      <c r="G6" s="18"/>
      <c r="H6" s="18"/>
      <c r="L6" s="1538"/>
      <c r="M6" s="1511"/>
      <c r="N6" s="1511"/>
      <c r="O6" s="1511"/>
      <c r="P6" s="1"/>
      <c r="Q6" s="1"/>
      <c r="R6" s="1"/>
      <c r="S6" s="1"/>
      <c r="T6" s="1"/>
      <c r="U6" s="1"/>
      <c r="V6" s="1"/>
      <c r="W6" s="8"/>
      <c r="X6" s="8"/>
    </row>
    <row r="7" spans="1:24" ht="12.75" customHeight="1">
      <c r="B7" s="2174" t="s">
        <v>499</v>
      </c>
      <c r="C7" s="2175"/>
      <c r="D7" s="1756" t="s">
        <v>241</v>
      </c>
      <c r="E7" s="1756" t="str">
        <f>'[1]T1 INVESTERINGSP.'!E15</f>
        <v>Prognos 1</v>
      </c>
      <c r="F7" s="1756" t="s">
        <v>180</v>
      </c>
      <c r="G7" s="1756" t="s">
        <v>181</v>
      </c>
      <c r="H7" s="1757" t="s">
        <v>182</v>
      </c>
      <c r="J7" s="1539" t="s">
        <v>674</v>
      </c>
      <c r="K7" s="1540"/>
      <c r="L7" s="1507"/>
      <c r="M7" s="1507"/>
      <c r="N7" s="1507"/>
      <c r="O7" s="1507"/>
      <c r="P7" s="1541"/>
      <c r="Q7" s="1541"/>
      <c r="R7" s="1541"/>
      <c r="S7" s="1541"/>
      <c r="T7" s="1541"/>
      <c r="U7" s="1542"/>
    </row>
    <row r="8" spans="1:24" ht="13.5" customHeight="1">
      <c r="B8" s="2176"/>
      <c r="C8" s="2177"/>
      <c r="D8" s="1736">
        <f>'5. E1 VERKSAMHETSKOSTN.'!D$8</f>
        <v>2022</v>
      </c>
      <c r="E8" s="1736">
        <f>'5. E1 VERKSAMHETSKOSTN.'!F$8</f>
        <v>2023</v>
      </c>
      <c r="F8" s="1736">
        <f>'5. E1 VERKSAMHETSKOSTN.'!H$8</f>
        <v>2024</v>
      </c>
      <c r="G8" s="1736">
        <f>'5. E1 VERKSAMHETSKOSTN.'!J$8</f>
        <v>2025</v>
      </c>
      <c r="H8" s="1758">
        <f>'5. E1 VERKSAMHETSKOSTN.'!L$8</f>
        <v>2026</v>
      </c>
      <c r="I8" s="42"/>
      <c r="J8" s="1543"/>
      <c r="K8" s="1505"/>
      <c r="L8" s="1505"/>
      <c r="M8" s="1505"/>
      <c r="N8" s="1494"/>
      <c r="O8" s="1494"/>
      <c r="P8" s="1494"/>
      <c r="Q8" s="1494"/>
      <c r="R8" s="1494"/>
      <c r="S8" s="1494"/>
      <c r="T8" s="1494"/>
      <c r="U8" s="407"/>
    </row>
    <row r="9" spans="1:24" ht="12.75" customHeight="1" thickBot="1">
      <c r="B9" s="2180" t="s">
        <v>216</v>
      </c>
      <c r="C9" s="2181"/>
      <c r="D9" s="1759" t="str">
        <f>'2. &amp; 7. T2  RESULTATB.'!G10</f>
        <v>12</v>
      </c>
      <c r="E9" s="1759">
        <f>'2. &amp; 7. T2  RESULTATB.'!I10</f>
        <v>12</v>
      </c>
      <c r="F9" s="1759" t="str">
        <f>'2. &amp; 7. T2  RESULTATB.'!K10</f>
        <v>12</v>
      </c>
      <c r="G9" s="1759" t="str">
        <f>'2. &amp; 7. T2  RESULTATB.'!M10</f>
        <v>12</v>
      </c>
      <c r="H9" s="1760" t="str">
        <f>'2. &amp; 7. T2  RESULTATB.'!O10</f>
        <v>12</v>
      </c>
      <c r="I9" s="42"/>
      <c r="J9" s="1543"/>
      <c r="K9" s="1505"/>
      <c r="L9" s="1505"/>
      <c r="M9" s="1505"/>
      <c r="N9" s="1494"/>
      <c r="O9" s="1494"/>
      <c r="P9" s="1494"/>
      <c r="Q9" s="1494"/>
      <c r="R9" s="1494"/>
      <c r="S9" s="1494"/>
      <c r="T9" s="1494"/>
      <c r="U9" s="407"/>
    </row>
    <row r="10" spans="1:24" ht="12" customHeight="1">
      <c r="A10" s="52"/>
      <c r="B10" s="107"/>
      <c r="C10" s="108"/>
      <c r="D10" s="425" t="s">
        <v>351</v>
      </c>
      <c r="E10" s="426">
        <v>0.24</v>
      </c>
      <c r="F10" s="426">
        <f>E10</f>
        <v>0.24</v>
      </c>
      <c r="G10" s="426">
        <f>F10</f>
        <v>0.24</v>
      </c>
      <c r="H10" s="427">
        <f>G10</f>
        <v>0.24</v>
      </c>
      <c r="I10" s="42"/>
      <c r="J10" s="2169" t="s">
        <v>596</v>
      </c>
      <c r="K10" s="2170"/>
      <c r="L10" s="2170"/>
      <c r="M10" s="2170"/>
      <c r="N10" s="953"/>
      <c r="O10" s="953"/>
      <c r="P10" s="953"/>
      <c r="Q10" s="953"/>
      <c r="R10" s="953"/>
      <c r="S10" s="953"/>
      <c r="T10" s="953"/>
      <c r="U10" s="578"/>
    </row>
    <row r="11" spans="1:24" ht="12" customHeight="1">
      <c r="B11" s="500" t="s">
        <v>781</v>
      </c>
      <c r="C11" s="419" t="s">
        <v>502</v>
      </c>
      <c r="D11" s="797">
        <v>0</v>
      </c>
      <c r="E11" s="1129">
        <f>E12*E13</f>
        <v>133991</v>
      </c>
      <c r="F11" s="1129">
        <f>F12*F13</f>
        <v>159243.15</v>
      </c>
      <c r="G11" s="812">
        <f>G12*G13</f>
        <v>196824.53339999999</v>
      </c>
      <c r="H11" s="814">
        <f>H12*H13</f>
        <v>202729.26940200001</v>
      </c>
      <c r="J11" s="350">
        <f>E$8</f>
        <v>2023</v>
      </c>
      <c r="K11" s="350">
        <f>F$8</f>
        <v>2024</v>
      </c>
      <c r="L11" s="350">
        <f>G$8</f>
        <v>2025</v>
      </c>
      <c r="M11" s="350">
        <f>H$8</f>
        <v>2026</v>
      </c>
      <c r="N11" s="953"/>
      <c r="O11" s="953"/>
      <c r="P11" s="953"/>
      <c r="Q11" s="953"/>
      <c r="R11" s="953"/>
      <c r="S11" s="953"/>
      <c r="T11" s="953"/>
      <c r="U11" s="578"/>
    </row>
    <row r="12" spans="1:24" ht="12" customHeight="1">
      <c r="A12" s="52"/>
      <c r="B12" s="418" t="s">
        <v>500</v>
      </c>
      <c r="C12" s="419"/>
      <c r="D12" s="797">
        <v>0</v>
      </c>
      <c r="E12" s="797">
        <v>13</v>
      </c>
      <c r="F12" s="797">
        <v>15</v>
      </c>
      <c r="G12" s="797">
        <v>18</v>
      </c>
      <c r="H12" s="1130">
        <f t="shared" ref="H12:H13" si="0">G12+G12*M12</f>
        <v>18</v>
      </c>
      <c r="J12" s="476">
        <v>0</v>
      </c>
      <c r="K12" s="476">
        <f t="shared" ref="K12:M13" si="1">J12</f>
        <v>0</v>
      </c>
      <c r="L12" s="476">
        <f t="shared" si="1"/>
        <v>0</v>
      </c>
      <c r="M12" s="476">
        <f t="shared" si="1"/>
        <v>0</v>
      </c>
      <c r="N12" s="953"/>
      <c r="O12" s="1544"/>
      <c r="P12" s="953"/>
      <c r="Q12" s="953"/>
      <c r="R12" s="953"/>
      <c r="S12" s="953"/>
      <c r="T12" s="953"/>
      <c r="U12" s="578"/>
    </row>
    <row r="13" spans="1:24" ht="12" customHeight="1">
      <c r="A13" s="2"/>
      <c r="B13" s="418" t="s">
        <v>501</v>
      </c>
      <c r="C13" s="419"/>
      <c r="D13" s="1131">
        <f>IF(D12=0,0,D11/D12)</f>
        <v>0</v>
      </c>
      <c r="E13" s="797">
        <v>10307</v>
      </c>
      <c r="F13" s="1132">
        <f t="shared" ref="F12:F13" si="2">E13+E13*K13</f>
        <v>10616.21</v>
      </c>
      <c r="G13" s="1132">
        <f t="shared" ref="G12:G13" si="3">F13+F13*L13</f>
        <v>10934.6963</v>
      </c>
      <c r="H13" s="1133">
        <f t="shared" si="0"/>
        <v>11262.737188999999</v>
      </c>
      <c r="J13" s="476">
        <v>0.03</v>
      </c>
      <c r="K13" s="476">
        <f>J13</f>
        <v>0.03</v>
      </c>
      <c r="L13" s="476">
        <v>0.03</v>
      </c>
      <c r="M13" s="476">
        <f t="shared" si="1"/>
        <v>0.03</v>
      </c>
      <c r="N13" s="953"/>
      <c r="O13" s="953"/>
      <c r="P13" s="953"/>
      <c r="Q13" s="953"/>
      <c r="R13" s="953"/>
      <c r="S13" s="953"/>
      <c r="T13" s="953"/>
      <c r="U13" s="578"/>
    </row>
    <row r="14" spans="1:24" ht="12" customHeight="1">
      <c r="A14" s="52"/>
      <c r="B14" s="418" t="s">
        <v>587</v>
      </c>
      <c r="C14" s="420"/>
      <c r="D14" s="1134">
        <f>IF(D11=0,0,D15/D11)</f>
        <v>0</v>
      </c>
      <c r="E14" s="1135">
        <v>0.08</v>
      </c>
      <c r="F14" s="1135">
        <f>E14</f>
        <v>0.08</v>
      </c>
      <c r="G14" s="1135">
        <f>F14</f>
        <v>0.08</v>
      </c>
      <c r="H14" s="871">
        <f>G14</f>
        <v>0.08</v>
      </c>
      <c r="J14" s="474" t="s">
        <v>0</v>
      </c>
      <c r="K14" s="615"/>
      <c r="L14" s="953"/>
      <c r="M14" s="953"/>
      <c r="N14" s="953"/>
      <c r="O14" s="953"/>
      <c r="P14" s="953"/>
      <c r="Q14" s="953"/>
      <c r="R14" s="953"/>
      <c r="S14" s="953"/>
      <c r="T14" s="953"/>
      <c r="U14" s="578"/>
    </row>
    <row r="15" spans="1:24" ht="12" customHeight="1" thickBot="1">
      <c r="B15" s="421" t="s">
        <v>588</v>
      </c>
      <c r="C15" s="422" t="s">
        <v>242</v>
      </c>
      <c r="D15" s="1136">
        <v>0</v>
      </c>
      <c r="E15" s="1137">
        <f>IF(E14=0,0,E11*E14)</f>
        <v>10719.28</v>
      </c>
      <c r="F15" s="1137">
        <f>IF(F14=0,0,F11*F14)</f>
        <v>12739.451999999999</v>
      </c>
      <c r="G15" s="1137">
        <f>IF(G14=0,0,G11*G14)</f>
        <v>15745.962672</v>
      </c>
      <c r="H15" s="1138">
        <f>IF(H14=0,0,H11*H14)</f>
        <v>16218.34155216</v>
      </c>
      <c r="J15" s="474"/>
      <c r="K15" s="953"/>
      <c r="L15" s="953"/>
      <c r="M15" s="953"/>
      <c r="N15" s="953"/>
      <c r="O15" s="953"/>
      <c r="P15" s="953"/>
      <c r="Q15" s="953"/>
      <c r="R15" s="953"/>
      <c r="S15" s="953"/>
      <c r="T15" s="953"/>
      <c r="U15" s="578"/>
    </row>
    <row r="16" spans="1:24" ht="12" customHeight="1">
      <c r="A16" s="52"/>
      <c r="B16" s="432"/>
      <c r="C16" s="433"/>
      <c r="D16" s="425" t="s">
        <v>351</v>
      </c>
      <c r="E16" s="426">
        <v>0.24</v>
      </c>
      <c r="F16" s="426">
        <f>E16</f>
        <v>0.24</v>
      </c>
      <c r="G16" s="426">
        <f>F16</f>
        <v>0.24</v>
      </c>
      <c r="H16" s="427">
        <f>G16</f>
        <v>0.24</v>
      </c>
      <c r="J16" s="474"/>
      <c r="K16" s="579"/>
      <c r="L16" s="953"/>
      <c r="M16" s="953"/>
      <c r="N16" s="953"/>
      <c r="O16" s="953"/>
      <c r="P16" s="953"/>
      <c r="Q16" s="953"/>
      <c r="R16" s="953"/>
      <c r="S16" s="953"/>
      <c r="T16" s="953"/>
      <c r="U16" s="578"/>
    </row>
    <row r="17" spans="2:21" ht="12" customHeight="1">
      <c r="B17" s="500" t="s">
        <v>782</v>
      </c>
      <c r="C17" s="419" t="s">
        <v>502</v>
      </c>
      <c r="D17" s="797">
        <v>0</v>
      </c>
      <c r="E17" s="1129">
        <f>E18*E19</f>
        <v>40359</v>
      </c>
      <c r="F17" s="1129">
        <f>F18*F19</f>
        <v>41569.770000000004</v>
      </c>
      <c r="G17" s="812">
        <f>G18*G19</f>
        <v>42816.863100000002</v>
      </c>
      <c r="H17" s="814">
        <f>H18*H19</f>
        <v>44101.368993000004</v>
      </c>
      <c r="J17" s="350">
        <f>E$8</f>
        <v>2023</v>
      </c>
      <c r="K17" s="350">
        <f>F$8</f>
        <v>2024</v>
      </c>
      <c r="L17" s="350">
        <f>G$8</f>
        <v>2025</v>
      </c>
      <c r="M17" s="350">
        <f>H$8</f>
        <v>2026</v>
      </c>
      <c r="N17" s="953"/>
      <c r="O17" s="953"/>
      <c r="P17" s="953"/>
      <c r="Q17" s="953"/>
      <c r="R17" s="953"/>
      <c r="S17" s="953"/>
      <c r="T17" s="953"/>
      <c r="U17" s="578"/>
    </row>
    <row r="18" spans="2:21" ht="12" customHeight="1">
      <c r="B18" s="418" t="s">
        <v>500</v>
      </c>
      <c r="C18" s="419"/>
      <c r="D18" s="797">
        <v>0</v>
      </c>
      <c r="E18" s="797">
        <v>33</v>
      </c>
      <c r="F18" s="797">
        <f t="shared" ref="F18:F19" si="4">E18+E18*K18</f>
        <v>33</v>
      </c>
      <c r="G18" s="797">
        <f t="shared" ref="G18:G19" si="5">F18+F18*L18</f>
        <v>33</v>
      </c>
      <c r="H18" s="1130">
        <f t="shared" ref="H18:H19" si="6">G18+G18*M18</f>
        <v>33</v>
      </c>
      <c r="J18" s="476">
        <v>0</v>
      </c>
      <c r="K18" s="476">
        <f t="shared" ref="K18:M19" si="7">J18</f>
        <v>0</v>
      </c>
      <c r="L18" s="476">
        <f>K18</f>
        <v>0</v>
      </c>
      <c r="M18" s="476">
        <f t="shared" si="7"/>
        <v>0</v>
      </c>
      <c r="N18" s="953"/>
      <c r="O18" s="953"/>
      <c r="P18" s="953"/>
      <c r="Q18" s="953"/>
      <c r="R18" s="953"/>
      <c r="S18" s="953"/>
      <c r="T18" s="953"/>
      <c r="U18" s="578"/>
    </row>
    <row r="19" spans="2:21" ht="12" customHeight="1">
      <c r="B19" s="418" t="s">
        <v>501</v>
      </c>
      <c r="C19" s="419"/>
      <c r="D19" s="1131">
        <f>IF(D18=0,0,D17/D18)</f>
        <v>0</v>
      </c>
      <c r="E19" s="1132">
        <v>1223</v>
      </c>
      <c r="F19" s="1132">
        <f t="shared" si="4"/>
        <v>1259.69</v>
      </c>
      <c r="G19" s="1139">
        <f t="shared" si="5"/>
        <v>1297.4807000000001</v>
      </c>
      <c r="H19" s="1133">
        <f t="shared" si="6"/>
        <v>1336.405121</v>
      </c>
      <c r="J19" s="476">
        <v>0.03</v>
      </c>
      <c r="K19" s="476">
        <v>0.03</v>
      </c>
      <c r="L19" s="476">
        <f t="shared" ref="L19" si="8">K19</f>
        <v>0.03</v>
      </c>
      <c r="M19" s="476">
        <f t="shared" si="7"/>
        <v>0.03</v>
      </c>
      <c r="N19" s="953"/>
      <c r="O19" s="953"/>
      <c r="P19" s="953"/>
      <c r="Q19" s="953"/>
      <c r="R19" s="953"/>
      <c r="S19" s="953"/>
      <c r="T19" s="953"/>
      <c r="U19" s="578"/>
    </row>
    <row r="20" spans="2:21" ht="12" customHeight="1">
      <c r="B20" s="418" t="s">
        <v>587</v>
      </c>
      <c r="C20" s="420"/>
      <c r="D20" s="1134">
        <f>IF(D17=0,0,D21/D17)</f>
        <v>0</v>
      </c>
      <c r="E20" s="1135">
        <v>0.08</v>
      </c>
      <c r="F20" s="1135">
        <f>E20</f>
        <v>0.08</v>
      </c>
      <c r="G20" s="1135">
        <f>F20</f>
        <v>0.08</v>
      </c>
      <c r="H20" s="871">
        <f>G20</f>
        <v>0.08</v>
      </c>
      <c r="J20" s="474"/>
      <c r="K20" s="615"/>
      <c r="L20" s="953"/>
      <c r="M20" s="953"/>
      <c r="N20" s="953"/>
      <c r="O20" s="953"/>
      <c r="P20" s="953"/>
      <c r="Q20" s="953"/>
      <c r="R20" s="953"/>
      <c r="S20" s="953"/>
      <c r="T20" s="953"/>
      <c r="U20" s="578"/>
    </row>
    <row r="21" spans="2:21" ht="12" customHeight="1" thickBot="1">
      <c r="B21" s="421" t="s">
        <v>588</v>
      </c>
      <c r="C21" s="422" t="s">
        <v>242</v>
      </c>
      <c r="D21" s="1136">
        <v>0</v>
      </c>
      <c r="E21" s="1137">
        <f>IF(E20=0,0,E17*E20)</f>
        <v>3228.7200000000003</v>
      </c>
      <c r="F21" s="1137">
        <f>IF(F20=0,0,F17*F20)</f>
        <v>3325.5816000000004</v>
      </c>
      <c r="G21" s="1140">
        <f>IF(G20=0,0,G17*G20)</f>
        <v>3425.349048</v>
      </c>
      <c r="H21" s="1138">
        <f>IF(H20=0,0,H17*H20)</f>
        <v>3528.1095194400004</v>
      </c>
      <c r="J21" s="474"/>
      <c r="K21" s="953"/>
      <c r="L21" s="953"/>
      <c r="M21" s="953"/>
      <c r="N21" s="953"/>
      <c r="O21" s="953"/>
      <c r="P21" s="953"/>
      <c r="Q21" s="953"/>
      <c r="R21" s="953"/>
      <c r="S21" s="953"/>
      <c r="T21" s="953"/>
      <c r="U21" s="578"/>
    </row>
    <row r="22" spans="2:21" ht="12" customHeight="1">
      <c r="B22" s="432"/>
      <c r="C22" s="433"/>
      <c r="D22" s="425" t="s">
        <v>351</v>
      </c>
      <c r="E22" s="426">
        <v>0.24</v>
      </c>
      <c r="F22" s="426">
        <f>E22</f>
        <v>0.24</v>
      </c>
      <c r="G22" s="426">
        <f>F22</f>
        <v>0.24</v>
      </c>
      <c r="H22" s="427">
        <f>G22</f>
        <v>0.24</v>
      </c>
      <c r="J22" s="474"/>
      <c r="K22" s="579"/>
      <c r="L22" s="953"/>
      <c r="M22" s="953"/>
      <c r="N22" s="953"/>
      <c r="O22" s="953"/>
      <c r="P22" s="953"/>
      <c r="Q22" s="953"/>
      <c r="R22" s="953"/>
      <c r="S22" s="953"/>
      <c r="T22" s="953"/>
      <c r="U22" s="578"/>
    </row>
    <row r="23" spans="2:21" ht="12" customHeight="1">
      <c r="B23" s="500" t="s">
        <v>783</v>
      </c>
      <c r="C23" s="419" t="s">
        <v>502</v>
      </c>
      <c r="D23" s="797">
        <v>0</v>
      </c>
      <c r="E23" s="1129">
        <f>E24*E25</f>
        <v>16000</v>
      </c>
      <c r="F23" s="1129">
        <f>F24*F25</f>
        <v>16480</v>
      </c>
      <c r="G23" s="812">
        <f>G24*G25</f>
        <v>16974.400000000001</v>
      </c>
      <c r="H23" s="814">
        <f>H24*H25</f>
        <v>17483.632000000001</v>
      </c>
      <c r="J23" s="350">
        <f>E$8</f>
        <v>2023</v>
      </c>
      <c r="K23" s="350">
        <f>F$8</f>
        <v>2024</v>
      </c>
      <c r="L23" s="350">
        <f>G$8</f>
        <v>2025</v>
      </c>
      <c r="M23" s="350">
        <f>H$8</f>
        <v>2026</v>
      </c>
      <c r="N23" s="953"/>
      <c r="O23" s="953"/>
      <c r="P23" s="953"/>
      <c r="Q23" s="953"/>
      <c r="R23" s="953"/>
      <c r="S23" s="953"/>
      <c r="T23" s="953"/>
      <c r="U23" s="578"/>
    </row>
    <row r="24" spans="2:21" ht="12" customHeight="1">
      <c r="B24" s="418" t="s">
        <v>500</v>
      </c>
      <c r="C24" s="419"/>
      <c r="D24" s="797">
        <v>0</v>
      </c>
      <c r="E24" s="797">
        <v>2</v>
      </c>
      <c r="F24" s="797">
        <f t="shared" ref="F24:F25" si="9">E24+E24*K24</f>
        <v>2</v>
      </c>
      <c r="G24" s="1141">
        <f t="shared" ref="G24:G25" si="10">F24+F24*L24</f>
        <v>2</v>
      </c>
      <c r="H24" s="1130">
        <f t="shared" ref="H24:H25" si="11">G24+G24*M24</f>
        <v>2</v>
      </c>
      <c r="J24" s="476">
        <v>0</v>
      </c>
      <c r="K24" s="476">
        <f t="shared" ref="K24:M25" si="12">J24</f>
        <v>0</v>
      </c>
      <c r="L24" s="476">
        <f t="shared" si="12"/>
        <v>0</v>
      </c>
      <c r="M24" s="476">
        <f t="shared" si="12"/>
        <v>0</v>
      </c>
      <c r="N24" s="953"/>
      <c r="O24" s="953"/>
      <c r="P24" s="953"/>
      <c r="Q24" s="953"/>
      <c r="R24" s="953"/>
      <c r="S24" s="953"/>
      <c r="T24" s="953"/>
      <c r="U24" s="578"/>
    </row>
    <row r="25" spans="2:21" ht="12" customHeight="1">
      <c r="B25" s="418" t="s">
        <v>501</v>
      </c>
      <c r="C25" s="419"/>
      <c r="D25" s="1131">
        <f>IF(D24=0,0,D23/D24)</f>
        <v>0</v>
      </c>
      <c r="E25" s="1132">
        <v>8000</v>
      </c>
      <c r="F25" s="1132">
        <f t="shared" si="9"/>
        <v>8240</v>
      </c>
      <c r="G25" s="1139">
        <f t="shared" si="10"/>
        <v>8487.2000000000007</v>
      </c>
      <c r="H25" s="1133">
        <f t="shared" si="11"/>
        <v>8741.8160000000007</v>
      </c>
      <c r="J25" s="476">
        <v>0.03</v>
      </c>
      <c r="K25" s="476">
        <v>0.03</v>
      </c>
      <c r="L25" s="476">
        <f t="shared" si="12"/>
        <v>0.03</v>
      </c>
      <c r="M25" s="476">
        <f t="shared" si="12"/>
        <v>0.03</v>
      </c>
      <c r="N25" s="953"/>
      <c r="O25" s="953"/>
      <c r="P25" s="953"/>
      <c r="Q25" s="953"/>
      <c r="R25" s="953"/>
      <c r="S25" s="953"/>
      <c r="T25" s="953"/>
      <c r="U25" s="578"/>
    </row>
    <row r="26" spans="2:21" ht="12" customHeight="1">
      <c r="B26" s="418" t="s">
        <v>587</v>
      </c>
      <c r="C26" s="420"/>
      <c r="D26" s="1134">
        <f>IF(D23=0,0,D27/D23)</f>
        <v>0</v>
      </c>
      <c r="E26" s="1135">
        <v>0.08</v>
      </c>
      <c r="F26" s="1135">
        <f>E26</f>
        <v>0.08</v>
      </c>
      <c r="G26" s="1135">
        <f>F26</f>
        <v>0.08</v>
      </c>
      <c r="H26" s="871">
        <f>G26</f>
        <v>0.08</v>
      </c>
      <c r="J26" s="414"/>
      <c r="K26" s="470"/>
      <c r="L26" s="1545"/>
      <c r="M26" s="1545"/>
      <c r="N26" s="953"/>
      <c r="O26" s="953"/>
      <c r="P26" s="953"/>
      <c r="Q26" s="953"/>
      <c r="R26" s="953"/>
      <c r="S26" s="953"/>
      <c r="T26" s="953"/>
      <c r="U26" s="578"/>
    </row>
    <row r="27" spans="2:21" ht="12" customHeight="1" thickBot="1">
      <c r="B27" s="421" t="s">
        <v>588</v>
      </c>
      <c r="C27" s="422" t="s">
        <v>242</v>
      </c>
      <c r="D27" s="1136">
        <v>0</v>
      </c>
      <c r="E27" s="1137">
        <f>IF(E26=0,0,E23*E26)</f>
        <v>1280</v>
      </c>
      <c r="F27" s="1137">
        <f>IF(F26=0,0,F23*F26)</f>
        <v>1318.4</v>
      </c>
      <c r="G27" s="1140">
        <f>IF(G26=0,0,G23*G26)</f>
        <v>1357.9520000000002</v>
      </c>
      <c r="H27" s="1138">
        <f>IF(H26=0,0,H23*H26)</f>
        <v>1398.6905600000002</v>
      </c>
      <c r="J27" s="414"/>
      <c r="K27" s="1545"/>
      <c r="L27" s="1545"/>
      <c r="M27" s="1545"/>
      <c r="N27" s="953"/>
      <c r="O27" s="953"/>
      <c r="P27" s="953"/>
      <c r="Q27" s="953"/>
      <c r="R27" s="953"/>
      <c r="S27" s="953"/>
      <c r="T27" s="953"/>
      <c r="U27" s="578"/>
    </row>
    <row r="28" spans="2:21" ht="12" customHeight="1">
      <c r="B28" s="432"/>
      <c r="C28" s="433"/>
      <c r="D28" s="425" t="s">
        <v>351</v>
      </c>
      <c r="E28" s="426">
        <v>0.24</v>
      </c>
      <c r="F28" s="426">
        <f>E28</f>
        <v>0.24</v>
      </c>
      <c r="G28" s="426">
        <f>F28</f>
        <v>0.24</v>
      </c>
      <c r="H28" s="427">
        <f>G28</f>
        <v>0.24</v>
      </c>
      <c r="J28" s="414"/>
      <c r="K28" s="471"/>
      <c r="L28" s="1545"/>
      <c r="M28" s="1545"/>
      <c r="N28" s="953"/>
      <c r="O28" s="953"/>
      <c r="P28" s="953"/>
      <c r="Q28" s="953"/>
      <c r="R28" s="953"/>
      <c r="S28" s="953"/>
      <c r="T28" s="953"/>
      <c r="U28" s="578"/>
    </row>
    <row r="29" spans="2:21" ht="12" customHeight="1">
      <c r="B29" s="500" t="s">
        <v>784</v>
      </c>
      <c r="C29" s="419" t="s">
        <v>502</v>
      </c>
      <c r="D29" s="797"/>
      <c r="E29" s="1129">
        <f>E30*E31</f>
        <v>2000</v>
      </c>
      <c r="F29" s="1129">
        <f>F30*F31</f>
        <v>2060</v>
      </c>
      <c r="G29" s="812">
        <f>G30*G31</f>
        <v>2121.8000000000002</v>
      </c>
      <c r="H29" s="799">
        <f>H30*H31</f>
        <v>2185.4540000000002</v>
      </c>
      <c r="J29" s="350">
        <f>E$8</f>
        <v>2023</v>
      </c>
      <c r="K29" s="350">
        <f>F$8</f>
        <v>2024</v>
      </c>
      <c r="L29" s="350">
        <f>G$8</f>
        <v>2025</v>
      </c>
      <c r="M29" s="350">
        <f>H$8</f>
        <v>2026</v>
      </c>
      <c r="N29" s="953"/>
      <c r="O29" s="953"/>
      <c r="P29" s="953"/>
      <c r="Q29" s="953"/>
      <c r="R29" s="953"/>
      <c r="S29" s="953"/>
      <c r="T29" s="953"/>
      <c r="U29" s="578"/>
    </row>
    <row r="30" spans="2:21" ht="12" customHeight="1">
      <c r="B30" s="418" t="s">
        <v>500</v>
      </c>
      <c r="C30" s="419"/>
      <c r="D30" s="797">
        <v>0</v>
      </c>
      <c r="E30" s="797">
        <v>1</v>
      </c>
      <c r="F30" s="797">
        <f t="shared" ref="E30:H31" si="13">E30+E30*K30</f>
        <v>1</v>
      </c>
      <c r="G30" s="797">
        <f t="shared" si="13"/>
        <v>1</v>
      </c>
      <c r="H30" s="1142">
        <f t="shared" si="13"/>
        <v>1</v>
      </c>
      <c r="J30" s="476">
        <v>0</v>
      </c>
      <c r="K30" s="476">
        <f t="shared" ref="K30:M31" si="14">J30</f>
        <v>0</v>
      </c>
      <c r="L30" s="476">
        <f t="shared" si="14"/>
        <v>0</v>
      </c>
      <c r="M30" s="476">
        <f t="shared" si="14"/>
        <v>0</v>
      </c>
      <c r="N30" s="953"/>
      <c r="O30" s="953"/>
      <c r="P30" s="953"/>
      <c r="Q30" s="953"/>
      <c r="R30" s="953"/>
      <c r="S30" s="953"/>
      <c r="T30" s="953"/>
      <c r="U30" s="578"/>
    </row>
    <row r="31" spans="2:21" ht="12" customHeight="1">
      <c r="B31" s="418" t="s">
        <v>501</v>
      </c>
      <c r="C31" s="419"/>
      <c r="D31" s="1131">
        <f>IF(D30=0,0,D29/D30)</f>
        <v>0</v>
      </c>
      <c r="E31" s="1132">
        <v>2000</v>
      </c>
      <c r="F31" s="1132">
        <f t="shared" si="13"/>
        <v>2060</v>
      </c>
      <c r="G31" s="1139">
        <f t="shared" si="13"/>
        <v>2121.8000000000002</v>
      </c>
      <c r="H31" s="1133">
        <f t="shared" si="13"/>
        <v>2185.4540000000002</v>
      </c>
      <c r="J31" s="476">
        <v>0.03</v>
      </c>
      <c r="K31" s="476">
        <f t="shared" si="14"/>
        <v>0.03</v>
      </c>
      <c r="L31" s="476">
        <f t="shared" si="14"/>
        <v>0.03</v>
      </c>
      <c r="M31" s="476">
        <f t="shared" si="14"/>
        <v>0.03</v>
      </c>
      <c r="N31" s="953"/>
      <c r="O31" s="953"/>
      <c r="P31" s="953"/>
      <c r="Q31" s="953"/>
      <c r="R31" s="953"/>
      <c r="S31" s="953"/>
      <c r="T31" s="953"/>
      <c r="U31" s="578"/>
    </row>
    <row r="32" spans="2:21" ht="12" customHeight="1">
      <c r="B32" s="418" t="s">
        <v>587</v>
      </c>
      <c r="C32" s="420"/>
      <c r="D32" s="1134">
        <f>IF(D29=0,0,D33/D29)</f>
        <v>0</v>
      </c>
      <c r="E32" s="1135">
        <v>0.08</v>
      </c>
      <c r="F32" s="1135">
        <f>E32</f>
        <v>0.08</v>
      </c>
      <c r="G32" s="1135">
        <f>F32</f>
        <v>0.08</v>
      </c>
      <c r="H32" s="871">
        <f>G32</f>
        <v>0.08</v>
      </c>
      <c r="J32" s="414"/>
      <c r="K32" s="470"/>
      <c r="L32" s="1545"/>
      <c r="M32" s="1545"/>
      <c r="N32" s="953"/>
      <c r="O32" s="953"/>
      <c r="P32" s="953"/>
      <c r="Q32" s="953"/>
      <c r="R32" s="953"/>
      <c r="S32" s="953"/>
      <c r="T32" s="953"/>
      <c r="U32" s="578"/>
    </row>
    <row r="33" spans="2:21" ht="12" customHeight="1" thickBot="1">
      <c r="B33" s="421" t="s">
        <v>588</v>
      </c>
      <c r="C33" s="422" t="s">
        <v>242</v>
      </c>
      <c r="D33" s="1136">
        <v>0</v>
      </c>
      <c r="E33" s="1137">
        <f>IF(E32=0,0,E29*E32)</f>
        <v>160</v>
      </c>
      <c r="F33" s="1137">
        <f>IF(F32=0,0,F29*F32)</f>
        <v>164.8</v>
      </c>
      <c r="G33" s="1140">
        <f>IF(G32=0,0,G29*G32)</f>
        <v>169.74400000000003</v>
      </c>
      <c r="H33" s="1138">
        <f>IF(H32=0,0,H29*H32)</f>
        <v>174.83632000000003</v>
      </c>
      <c r="J33" s="414"/>
      <c r="K33" s="1545"/>
      <c r="L33" s="1545"/>
      <c r="M33" s="1545"/>
      <c r="N33" s="953"/>
      <c r="O33" s="953"/>
      <c r="P33" s="953"/>
      <c r="Q33" s="953"/>
      <c r="R33" s="953"/>
      <c r="S33" s="953"/>
      <c r="T33" s="953"/>
      <c r="U33" s="578"/>
    </row>
    <row r="34" spans="2:21" ht="12" customHeight="1">
      <c r="B34" s="432"/>
      <c r="C34" s="433"/>
      <c r="D34" s="425" t="s">
        <v>351</v>
      </c>
      <c r="E34" s="426">
        <v>0.24</v>
      </c>
      <c r="F34" s="426">
        <f>E34</f>
        <v>0.24</v>
      </c>
      <c r="G34" s="426">
        <f>F34</f>
        <v>0.24</v>
      </c>
      <c r="H34" s="427">
        <v>0.24</v>
      </c>
      <c r="J34" s="414"/>
      <c r="K34" s="471"/>
      <c r="L34" s="1545"/>
      <c r="M34" s="1545"/>
      <c r="N34" s="953"/>
      <c r="O34" s="953"/>
      <c r="P34" s="953"/>
      <c r="Q34" s="953"/>
      <c r="R34" s="953"/>
      <c r="S34" s="953"/>
      <c r="T34" s="953"/>
      <c r="U34" s="578"/>
    </row>
    <row r="35" spans="2:21" ht="12" customHeight="1">
      <c r="B35" s="500"/>
      <c r="C35" s="419" t="s">
        <v>502</v>
      </c>
      <c r="D35" s="797">
        <v>0</v>
      </c>
      <c r="E35" s="1129">
        <f>E36*E37</f>
        <v>0</v>
      </c>
      <c r="F35" s="1129">
        <f>F36*F37</f>
        <v>0</v>
      </c>
      <c r="G35" s="1143">
        <f>G36*G37</f>
        <v>0</v>
      </c>
      <c r="H35" s="799">
        <f>H36*H37</f>
        <v>0</v>
      </c>
      <c r="J35" s="350">
        <f>E$8</f>
        <v>2023</v>
      </c>
      <c r="K35" s="350">
        <f>F$8</f>
        <v>2024</v>
      </c>
      <c r="L35" s="350">
        <f>G$8</f>
        <v>2025</v>
      </c>
      <c r="M35" s="350">
        <f>H$8</f>
        <v>2026</v>
      </c>
      <c r="N35" s="953"/>
      <c r="O35" s="953"/>
      <c r="P35" s="953"/>
      <c r="Q35" s="953"/>
      <c r="R35" s="953"/>
      <c r="S35" s="953"/>
      <c r="T35" s="953"/>
      <c r="U35" s="578"/>
    </row>
    <row r="36" spans="2:21" ht="12" customHeight="1">
      <c r="B36" s="418" t="s">
        <v>500</v>
      </c>
      <c r="C36" s="419"/>
      <c r="D36" s="797">
        <v>0</v>
      </c>
      <c r="E36" s="797">
        <f t="shared" ref="E36:H37" si="15">D36+D36*J36</f>
        <v>0</v>
      </c>
      <c r="F36" s="797">
        <f t="shared" si="15"/>
        <v>0</v>
      </c>
      <c r="G36" s="1141">
        <f t="shared" si="15"/>
        <v>0</v>
      </c>
      <c r="H36" s="1130">
        <f t="shared" si="15"/>
        <v>0</v>
      </c>
      <c r="J36" s="476">
        <v>0</v>
      </c>
      <c r="K36" s="476">
        <f t="shared" ref="K36:M37" si="16">J36</f>
        <v>0</v>
      </c>
      <c r="L36" s="476">
        <f t="shared" si="16"/>
        <v>0</v>
      </c>
      <c r="M36" s="476">
        <f t="shared" si="16"/>
        <v>0</v>
      </c>
      <c r="N36" s="953"/>
      <c r="O36" s="953"/>
      <c r="P36" s="953"/>
      <c r="Q36" s="953"/>
      <c r="R36" s="953"/>
      <c r="S36" s="953"/>
      <c r="T36" s="953"/>
      <c r="U36" s="578"/>
    </row>
    <row r="37" spans="2:21" ht="12" customHeight="1">
      <c r="B37" s="418" t="s">
        <v>501</v>
      </c>
      <c r="C37" s="419"/>
      <c r="D37" s="1131">
        <f>IF(D36=0,0,D35/D36)</f>
        <v>0</v>
      </c>
      <c r="E37" s="1132">
        <f t="shared" si="15"/>
        <v>0</v>
      </c>
      <c r="F37" s="1132">
        <f t="shared" si="15"/>
        <v>0</v>
      </c>
      <c r="G37" s="1139">
        <f t="shared" si="15"/>
        <v>0</v>
      </c>
      <c r="H37" s="1133">
        <f t="shared" si="15"/>
        <v>0</v>
      </c>
      <c r="J37" s="476">
        <v>0.03</v>
      </c>
      <c r="K37" s="476">
        <f t="shared" si="16"/>
        <v>0.03</v>
      </c>
      <c r="L37" s="476">
        <f t="shared" si="16"/>
        <v>0.03</v>
      </c>
      <c r="M37" s="476">
        <f t="shared" si="16"/>
        <v>0.03</v>
      </c>
      <c r="N37" s="953"/>
      <c r="O37" s="953"/>
      <c r="P37" s="953"/>
      <c r="Q37" s="953"/>
      <c r="R37" s="953"/>
      <c r="S37" s="953"/>
      <c r="T37" s="953"/>
      <c r="U37" s="578"/>
    </row>
    <row r="38" spans="2:21" ht="12" customHeight="1">
      <c r="B38" s="418" t="s">
        <v>587</v>
      </c>
      <c r="C38" s="420"/>
      <c r="D38" s="1134">
        <f>IF(D35=0,0,D39/D35)</f>
        <v>0</v>
      </c>
      <c r="E38" s="1135">
        <f>D38</f>
        <v>0</v>
      </c>
      <c r="F38" s="1135">
        <f>E38</f>
        <v>0</v>
      </c>
      <c r="G38" s="1135">
        <f>F38</f>
        <v>0</v>
      </c>
      <c r="H38" s="871">
        <f>G38</f>
        <v>0</v>
      </c>
      <c r="J38" s="494"/>
      <c r="K38" s="472"/>
      <c r="L38" s="1545"/>
      <c r="M38" s="1545"/>
      <c r="N38" s="953"/>
      <c r="O38" s="953"/>
      <c r="P38" s="953"/>
      <c r="Q38" s="953"/>
      <c r="R38" s="953"/>
      <c r="S38" s="953"/>
      <c r="T38" s="953"/>
      <c r="U38" s="578"/>
    </row>
    <row r="39" spans="2:21" ht="12" customHeight="1" thickBot="1">
      <c r="B39" s="421" t="s">
        <v>588</v>
      </c>
      <c r="C39" s="422" t="s">
        <v>242</v>
      </c>
      <c r="D39" s="1136">
        <v>0</v>
      </c>
      <c r="E39" s="1137">
        <f>IF(E38=0,0,E35*E38)</f>
        <v>0</v>
      </c>
      <c r="F39" s="1137">
        <f>IF(F38=0,0,F35*F38)</f>
        <v>0</v>
      </c>
      <c r="G39" s="1140">
        <f>IF(G38=0,0,G35*G38)</f>
        <v>0</v>
      </c>
      <c r="H39" s="1138">
        <f>IF(H38=0,0,H35*H38)</f>
        <v>0</v>
      </c>
      <c r="J39" s="414"/>
      <c r="K39" s="1545"/>
      <c r="L39" s="1545"/>
      <c r="M39" s="1545"/>
      <c r="N39" s="953"/>
      <c r="O39" s="953"/>
      <c r="P39" s="953"/>
      <c r="Q39" s="953"/>
      <c r="R39" s="953"/>
      <c r="S39" s="953"/>
      <c r="T39" s="953"/>
      <c r="U39" s="578"/>
    </row>
    <row r="40" spans="2:21" ht="12" customHeight="1">
      <c r="B40" s="432"/>
      <c r="C40" s="433"/>
      <c r="D40" s="425" t="s">
        <v>351</v>
      </c>
      <c r="E40" s="426">
        <v>0.24</v>
      </c>
      <c r="F40" s="426">
        <f>E40</f>
        <v>0.24</v>
      </c>
      <c r="G40" s="426">
        <f>F40</f>
        <v>0.24</v>
      </c>
      <c r="H40" s="427">
        <f>G40</f>
        <v>0.24</v>
      </c>
      <c r="J40" s="414"/>
      <c r="K40" s="471"/>
      <c r="L40" s="1545"/>
      <c r="M40" s="1545"/>
      <c r="N40" s="953"/>
      <c r="O40" s="953"/>
      <c r="P40" s="953"/>
      <c r="Q40" s="953"/>
      <c r="R40" s="953"/>
      <c r="S40" s="953"/>
      <c r="T40" s="953"/>
      <c r="U40" s="578"/>
    </row>
    <row r="41" spans="2:21" ht="12" customHeight="1">
      <c r="B41" s="500"/>
      <c r="C41" s="419" t="s">
        <v>502</v>
      </c>
      <c r="D41" s="797">
        <v>0</v>
      </c>
      <c r="E41" s="1129">
        <f>E42*E43</f>
        <v>0</v>
      </c>
      <c r="F41" s="1129">
        <f>F42*F43</f>
        <v>0</v>
      </c>
      <c r="G41" s="812">
        <f>G42*G43</f>
        <v>0</v>
      </c>
      <c r="H41" s="814">
        <f>H42*H43</f>
        <v>0</v>
      </c>
      <c r="J41" s="350">
        <f>E$8</f>
        <v>2023</v>
      </c>
      <c r="K41" s="350">
        <f>F$8</f>
        <v>2024</v>
      </c>
      <c r="L41" s="350">
        <f>G$8</f>
        <v>2025</v>
      </c>
      <c r="M41" s="350">
        <f>H$8</f>
        <v>2026</v>
      </c>
      <c r="N41" s="953"/>
      <c r="O41" s="953"/>
      <c r="P41" s="953"/>
      <c r="Q41" s="953"/>
      <c r="R41" s="953"/>
      <c r="S41" s="953"/>
      <c r="T41" s="953"/>
      <c r="U41" s="578"/>
    </row>
    <row r="42" spans="2:21" ht="12" customHeight="1">
      <c r="B42" s="418" t="s">
        <v>500</v>
      </c>
      <c r="C42" s="419"/>
      <c r="D42" s="797">
        <v>0</v>
      </c>
      <c r="E42" s="797">
        <f t="shared" ref="E42:H43" si="17">D42+D42*J42</f>
        <v>0</v>
      </c>
      <c r="F42" s="797">
        <f t="shared" si="17"/>
        <v>0</v>
      </c>
      <c r="G42" s="1141">
        <f t="shared" si="17"/>
        <v>0</v>
      </c>
      <c r="H42" s="1130">
        <f t="shared" si="17"/>
        <v>0</v>
      </c>
      <c r="J42" s="476">
        <v>0</v>
      </c>
      <c r="K42" s="476">
        <f t="shared" ref="K42:M43" si="18">J42</f>
        <v>0</v>
      </c>
      <c r="L42" s="476">
        <f t="shared" si="18"/>
        <v>0</v>
      </c>
      <c r="M42" s="476">
        <f t="shared" si="18"/>
        <v>0</v>
      </c>
      <c r="N42" s="953"/>
      <c r="O42" s="953"/>
      <c r="P42" s="953"/>
      <c r="Q42" s="953"/>
      <c r="R42" s="953"/>
      <c r="S42" s="953"/>
      <c r="T42" s="953"/>
      <c r="U42" s="578"/>
    </row>
    <row r="43" spans="2:21" ht="12" customHeight="1">
      <c r="B43" s="418" t="s">
        <v>501</v>
      </c>
      <c r="C43" s="419"/>
      <c r="D43" s="1131">
        <f>IF(D42=0,0,D41/D42)</f>
        <v>0</v>
      </c>
      <c r="E43" s="1132">
        <f t="shared" si="17"/>
        <v>0</v>
      </c>
      <c r="F43" s="1132">
        <f t="shared" si="17"/>
        <v>0</v>
      </c>
      <c r="G43" s="1139">
        <f t="shared" si="17"/>
        <v>0</v>
      </c>
      <c r="H43" s="1133">
        <f t="shared" si="17"/>
        <v>0</v>
      </c>
      <c r="J43" s="476">
        <v>0.03</v>
      </c>
      <c r="K43" s="476">
        <f t="shared" si="18"/>
        <v>0.03</v>
      </c>
      <c r="L43" s="476">
        <f t="shared" si="18"/>
        <v>0.03</v>
      </c>
      <c r="M43" s="476">
        <f t="shared" si="18"/>
        <v>0.03</v>
      </c>
      <c r="N43" s="953"/>
      <c r="O43" s="953"/>
      <c r="P43" s="953"/>
      <c r="Q43" s="953"/>
      <c r="R43" s="953"/>
      <c r="S43" s="953"/>
      <c r="T43" s="953"/>
      <c r="U43" s="578"/>
    </row>
    <row r="44" spans="2:21" ht="12" customHeight="1">
      <c r="B44" s="418" t="s">
        <v>587</v>
      </c>
      <c r="C44" s="420"/>
      <c r="D44" s="1134">
        <f>IF(D41=0,0,D45/D41)</f>
        <v>0</v>
      </c>
      <c r="E44" s="1135">
        <f>D44</f>
        <v>0</v>
      </c>
      <c r="F44" s="1135">
        <f>E44</f>
        <v>0</v>
      </c>
      <c r="G44" s="1135">
        <f>F44</f>
        <v>0</v>
      </c>
      <c r="H44" s="871">
        <f>G44</f>
        <v>0</v>
      </c>
      <c r="J44" s="414"/>
      <c r="K44" s="470"/>
      <c r="L44" s="1545"/>
      <c r="M44" s="1545"/>
      <c r="N44" s="953"/>
      <c r="O44" s="953"/>
      <c r="P44" s="953"/>
      <c r="Q44" s="953"/>
      <c r="R44" s="953"/>
      <c r="S44" s="953"/>
      <c r="T44" s="953"/>
      <c r="U44" s="578"/>
    </row>
    <row r="45" spans="2:21" ht="12" customHeight="1" thickBot="1">
      <c r="B45" s="421" t="s">
        <v>588</v>
      </c>
      <c r="C45" s="422" t="s">
        <v>242</v>
      </c>
      <c r="D45" s="1136">
        <v>0</v>
      </c>
      <c r="E45" s="1137">
        <f>IF(E44=0,0,E41*E44)</f>
        <v>0</v>
      </c>
      <c r="F45" s="1137">
        <f>IF(F44=0,0,F41*F44)</f>
        <v>0</v>
      </c>
      <c r="G45" s="1140">
        <f>IF(G44=0,0,G41*G44)</f>
        <v>0</v>
      </c>
      <c r="H45" s="1138">
        <f>IF(H44=0,0,H41*H44)</f>
        <v>0</v>
      </c>
      <c r="J45" s="414"/>
      <c r="K45" s="1545"/>
      <c r="L45" s="1545"/>
      <c r="M45" s="1545"/>
      <c r="N45" s="953"/>
      <c r="O45" s="953"/>
      <c r="P45" s="953"/>
      <c r="Q45" s="953"/>
      <c r="R45" s="953"/>
      <c r="S45" s="953"/>
      <c r="T45" s="953"/>
      <c r="U45" s="578"/>
    </row>
    <row r="46" spans="2:21" ht="12" customHeight="1">
      <c r="B46" s="423"/>
      <c r="C46" s="424"/>
      <c r="D46" s="425" t="s">
        <v>351</v>
      </c>
      <c r="E46" s="426">
        <v>0.24</v>
      </c>
      <c r="F46" s="426">
        <f>E46</f>
        <v>0.24</v>
      </c>
      <c r="G46" s="426">
        <f>F46</f>
        <v>0.24</v>
      </c>
      <c r="H46" s="427">
        <f>G46</f>
        <v>0.24</v>
      </c>
      <c r="J46" s="414"/>
      <c r="K46" s="471"/>
      <c r="L46" s="1545"/>
      <c r="M46" s="1545"/>
      <c r="N46" s="953"/>
      <c r="O46" s="953"/>
      <c r="P46" s="953"/>
      <c r="Q46" s="953"/>
      <c r="R46" s="953"/>
      <c r="S46" s="953"/>
      <c r="T46" s="953"/>
      <c r="U46" s="578"/>
    </row>
    <row r="47" spans="2:21" ht="12" customHeight="1">
      <c r="B47" s="500"/>
      <c r="C47" s="419" t="s">
        <v>502</v>
      </c>
      <c r="D47" s="797">
        <v>0</v>
      </c>
      <c r="E47" s="1129">
        <f>E48*E49</f>
        <v>0</v>
      </c>
      <c r="F47" s="1129">
        <f>F48*F49</f>
        <v>0</v>
      </c>
      <c r="G47" s="812">
        <f>G48*G49</f>
        <v>0</v>
      </c>
      <c r="H47" s="814">
        <f>H48*H49</f>
        <v>0</v>
      </c>
      <c r="J47" s="350">
        <f>E$8</f>
        <v>2023</v>
      </c>
      <c r="K47" s="350">
        <f>F$8</f>
        <v>2024</v>
      </c>
      <c r="L47" s="350">
        <f>G$8</f>
        <v>2025</v>
      </c>
      <c r="M47" s="350">
        <f>H$8</f>
        <v>2026</v>
      </c>
      <c r="N47" s="953"/>
      <c r="O47" s="953"/>
      <c r="P47" s="953"/>
      <c r="Q47" s="953"/>
      <c r="R47" s="953"/>
      <c r="S47" s="953"/>
      <c r="T47" s="953"/>
      <c r="U47" s="578"/>
    </row>
    <row r="48" spans="2:21" ht="12" customHeight="1">
      <c r="B48" s="418" t="s">
        <v>500</v>
      </c>
      <c r="C48" s="419"/>
      <c r="D48" s="797">
        <v>0</v>
      </c>
      <c r="E48" s="797">
        <f t="shared" ref="E48:H49" si="19">D48+D48*J48</f>
        <v>0</v>
      </c>
      <c r="F48" s="797">
        <f t="shared" si="19"/>
        <v>0</v>
      </c>
      <c r="G48" s="1141">
        <f t="shared" si="19"/>
        <v>0</v>
      </c>
      <c r="H48" s="1130">
        <f t="shared" si="19"/>
        <v>0</v>
      </c>
      <c r="J48" s="476">
        <v>0</v>
      </c>
      <c r="K48" s="476">
        <f t="shared" ref="K48:M49" si="20">J48</f>
        <v>0</v>
      </c>
      <c r="L48" s="476">
        <f t="shared" si="20"/>
        <v>0</v>
      </c>
      <c r="M48" s="476">
        <f t="shared" si="20"/>
        <v>0</v>
      </c>
      <c r="N48" s="953"/>
      <c r="O48" s="953"/>
      <c r="P48" s="953"/>
      <c r="Q48" s="953"/>
      <c r="R48" s="953"/>
      <c r="S48" s="953"/>
      <c r="T48" s="953"/>
      <c r="U48" s="578"/>
    </row>
    <row r="49" spans="2:21" ht="12" customHeight="1">
      <c r="B49" s="418" t="s">
        <v>501</v>
      </c>
      <c r="C49" s="419"/>
      <c r="D49" s="1131">
        <f>IF(D48=0,0,D47/D48)</f>
        <v>0</v>
      </c>
      <c r="E49" s="1132">
        <f t="shared" si="19"/>
        <v>0</v>
      </c>
      <c r="F49" s="1132">
        <f t="shared" si="19"/>
        <v>0</v>
      </c>
      <c r="G49" s="1132">
        <f t="shared" si="19"/>
        <v>0</v>
      </c>
      <c r="H49" s="1144">
        <f t="shared" si="19"/>
        <v>0</v>
      </c>
      <c r="J49" s="476">
        <v>0.03</v>
      </c>
      <c r="K49" s="476">
        <f t="shared" si="20"/>
        <v>0.03</v>
      </c>
      <c r="L49" s="476">
        <f t="shared" si="20"/>
        <v>0.03</v>
      </c>
      <c r="M49" s="476">
        <f t="shared" si="20"/>
        <v>0.03</v>
      </c>
      <c r="N49" s="953"/>
      <c r="O49" s="953"/>
      <c r="P49" s="953"/>
      <c r="Q49" s="953"/>
      <c r="R49" s="953"/>
      <c r="S49" s="953"/>
      <c r="T49" s="953"/>
      <c r="U49" s="578"/>
    </row>
    <row r="50" spans="2:21" ht="12" customHeight="1">
      <c r="B50" s="418" t="s">
        <v>587</v>
      </c>
      <c r="C50" s="420"/>
      <c r="D50" s="1134">
        <f>IF(D47=0,0,D51/D47)</f>
        <v>0</v>
      </c>
      <c r="E50" s="1135">
        <f>D50</f>
        <v>0</v>
      </c>
      <c r="F50" s="1135">
        <f>E50</f>
        <v>0</v>
      </c>
      <c r="G50" s="1135">
        <f>F50</f>
        <v>0</v>
      </c>
      <c r="H50" s="871">
        <f>G50</f>
        <v>0</v>
      </c>
      <c r="J50" s="1546"/>
      <c r="K50" s="1545"/>
      <c r="L50" s="1545"/>
      <c r="M50" s="1545"/>
      <c r="N50" s="953"/>
      <c r="O50" s="953"/>
      <c r="P50" s="953"/>
      <c r="Q50" s="953"/>
      <c r="R50" s="953"/>
      <c r="S50" s="953"/>
      <c r="T50" s="953"/>
      <c r="U50" s="578"/>
    </row>
    <row r="51" spans="2:21" ht="12" customHeight="1" thickBot="1">
      <c r="B51" s="421" t="s">
        <v>588</v>
      </c>
      <c r="C51" s="422" t="s">
        <v>242</v>
      </c>
      <c r="D51" s="1136">
        <v>0</v>
      </c>
      <c r="E51" s="1137">
        <f>IF(E50=0,0,E47*E50)</f>
        <v>0</v>
      </c>
      <c r="F51" s="1137">
        <f>IF(F50=0,0,F47*F50)</f>
        <v>0</v>
      </c>
      <c r="G51" s="1140">
        <f>IF(G50=0,0,G47*G50)</f>
        <v>0</v>
      </c>
      <c r="H51" s="1138">
        <f>IF(H50=0,0,H47*H50)</f>
        <v>0</v>
      </c>
      <c r="J51" s="1547"/>
      <c r="K51" s="1545"/>
      <c r="L51" s="1545"/>
      <c r="M51" s="1545"/>
      <c r="N51" s="953"/>
      <c r="O51" s="953"/>
      <c r="P51" s="953"/>
      <c r="Q51" s="953"/>
      <c r="R51" s="953"/>
      <c r="S51" s="953"/>
      <c r="T51" s="953"/>
      <c r="U51" s="578"/>
    </row>
    <row r="52" spans="2:21" ht="12" customHeight="1">
      <c r="B52" s="428"/>
      <c r="C52" s="429"/>
      <c r="D52" s="425" t="s">
        <v>351</v>
      </c>
      <c r="E52" s="426">
        <v>0.24</v>
      </c>
      <c r="F52" s="426">
        <f>E52</f>
        <v>0.24</v>
      </c>
      <c r="G52" s="426">
        <f>F52</f>
        <v>0.24</v>
      </c>
      <c r="H52" s="427">
        <f>G52</f>
        <v>0.24</v>
      </c>
      <c r="J52" s="414"/>
      <c r="K52" s="1545"/>
      <c r="L52" s="1545"/>
      <c r="M52" s="1545"/>
      <c r="N52" s="953"/>
      <c r="O52" s="953"/>
      <c r="P52" s="953"/>
      <c r="Q52" s="953"/>
      <c r="R52" s="953"/>
      <c r="S52" s="953"/>
      <c r="T52" s="953"/>
      <c r="U52" s="578"/>
    </row>
    <row r="53" spans="2:21" ht="12" customHeight="1">
      <c r="B53" s="500"/>
      <c r="C53" s="419" t="s">
        <v>502</v>
      </c>
      <c r="D53" s="797">
        <v>0</v>
      </c>
      <c r="E53" s="1129">
        <f>E54*E55</f>
        <v>0</v>
      </c>
      <c r="F53" s="1129">
        <f>F54*F55</f>
        <v>0</v>
      </c>
      <c r="G53" s="1129">
        <f>G54*G55</f>
        <v>0</v>
      </c>
      <c r="H53" s="799">
        <f>H54*H55</f>
        <v>0</v>
      </c>
      <c r="J53" s="350">
        <f>E$8</f>
        <v>2023</v>
      </c>
      <c r="K53" s="350">
        <f>F$8</f>
        <v>2024</v>
      </c>
      <c r="L53" s="350">
        <f>G$8</f>
        <v>2025</v>
      </c>
      <c r="M53" s="350">
        <f>H$8</f>
        <v>2026</v>
      </c>
      <c r="N53" s="953"/>
      <c r="O53" s="953"/>
      <c r="P53" s="953"/>
      <c r="Q53" s="953"/>
      <c r="R53" s="953"/>
      <c r="S53" s="953"/>
      <c r="T53" s="953"/>
      <c r="U53" s="578"/>
    </row>
    <row r="54" spans="2:21" ht="12" customHeight="1">
      <c r="B54" s="418" t="s">
        <v>500</v>
      </c>
      <c r="C54" s="419"/>
      <c r="D54" s="797">
        <v>0</v>
      </c>
      <c r="E54" s="797">
        <f t="shared" ref="E54:H55" si="21">D54+D54*J54</f>
        <v>0</v>
      </c>
      <c r="F54" s="797">
        <f t="shared" si="21"/>
        <v>0</v>
      </c>
      <c r="G54" s="1141">
        <f t="shared" si="21"/>
        <v>0</v>
      </c>
      <c r="H54" s="1130">
        <f t="shared" si="21"/>
        <v>0</v>
      </c>
      <c r="J54" s="476">
        <v>0</v>
      </c>
      <c r="K54" s="476">
        <f t="shared" ref="K54:M55" si="22">J54</f>
        <v>0</v>
      </c>
      <c r="L54" s="476">
        <f t="shared" si="22"/>
        <v>0</v>
      </c>
      <c r="M54" s="476">
        <f t="shared" si="22"/>
        <v>0</v>
      </c>
      <c r="N54" s="953"/>
      <c r="O54" s="953"/>
      <c r="P54" s="953"/>
      <c r="Q54" s="953"/>
      <c r="R54" s="953"/>
      <c r="S54" s="953"/>
      <c r="T54" s="953"/>
      <c r="U54" s="578"/>
    </row>
    <row r="55" spans="2:21" ht="12" customHeight="1">
      <c r="B55" s="418" t="s">
        <v>501</v>
      </c>
      <c r="C55" s="419"/>
      <c r="D55" s="1131">
        <f>IF(D54=0,0,D53/D54)</f>
        <v>0</v>
      </c>
      <c r="E55" s="1132">
        <f t="shared" si="21"/>
        <v>0</v>
      </c>
      <c r="F55" s="1132">
        <f t="shared" si="21"/>
        <v>0</v>
      </c>
      <c r="G55" s="1132">
        <f t="shared" si="21"/>
        <v>0</v>
      </c>
      <c r="H55" s="1144">
        <f t="shared" si="21"/>
        <v>0</v>
      </c>
      <c r="J55" s="476">
        <v>0.03</v>
      </c>
      <c r="K55" s="476">
        <f t="shared" si="22"/>
        <v>0.03</v>
      </c>
      <c r="L55" s="476">
        <f t="shared" si="22"/>
        <v>0.03</v>
      </c>
      <c r="M55" s="476">
        <f t="shared" si="22"/>
        <v>0.03</v>
      </c>
      <c r="N55" s="953"/>
      <c r="O55" s="953"/>
      <c r="P55" s="953"/>
      <c r="Q55" s="953"/>
      <c r="R55" s="953"/>
      <c r="S55" s="953"/>
      <c r="T55" s="953"/>
      <c r="U55" s="578"/>
    </row>
    <row r="56" spans="2:21" ht="12" customHeight="1">
      <c r="B56" s="418" t="s">
        <v>587</v>
      </c>
      <c r="C56" s="420"/>
      <c r="D56" s="1134">
        <f>IF(D53=0,0,D57/D53)</f>
        <v>0</v>
      </c>
      <c r="E56" s="1135">
        <f>D56</f>
        <v>0</v>
      </c>
      <c r="F56" s="1135">
        <f>E56</f>
        <v>0</v>
      </c>
      <c r="G56" s="1135">
        <f>F56</f>
        <v>0</v>
      </c>
      <c r="H56" s="871">
        <f>G56</f>
        <v>0</v>
      </c>
      <c r="J56" s="414"/>
      <c r="K56" s="1545"/>
      <c r="L56" s="1545"/>
      <c r="M56" s="1545"/>
      <c r="N56" s="953"/>
      <c r="O56" s="953"/>
      <c r="P56" s="953"/>
      <c r="Q56" s="953"/>
      <c r="R56" s="953"/>
      <c r="S56" s="953"/>
      <c r="T56" s="953"/>
      <c r="U56" s="578"/>
    </row>
    <row r="57" spans="2:21" ht="12" customHeight="1" thickBot="1">
      <c r="B57" s="421" t="s">
        <v>588</v>
      </c>
      <c r="C57" s="422" t="s">
        <v>242</v>
      </c>
      <c r="D57" s="1136">
        <v>0</v>
      </c>
      <c r="E57" s="1137">
        <f>IF(E56=0,0,E53*E56)</f>
        <v>0</v>
      </c>
      <c r="F57" s="1137">
        <f>IF(F56=0,0,F53*F56)</f>
        <v>0</v>
      </c>
      <c r="G57" s="1140">
        <f>IF(G56=0,0,G53*G56)</f>
        <v>0</v>
      </c>
      <c r="H57" s="1138">
        <f>IF(H56=0,0,H53*H56)</f>
        <v>0</v>
      </c>
      <c r="J57" s="414"/>
      <c r="K57" s="1545"/>
      <c r="L57" s="1545"/>
      <c r="M57" s="1545"/>
      <c r="N57" s="953"/>
      <c r="O57" s="953"/>
      <c r="P57" s="953"/>
      <c r="Q57" s="953"/>
      <c r="R57" s="953"/>
      <c r="S57" s="953"/>
      <c r="T57" s="953"/>
      <c r="U57" s="578"/>
    </row>
    <row r="58" spans="2:21" ht="12" customHeight="1">
      <c r="B58" s="430"/>
      <c r="C58" s="659"/>
      <c r="D58" s="425" t="s">
        <v>351</v>
      </c>
      <c r="E58" s="426">
        <v>0.24</v>
      </c>
      <c r="F58" s="426">
        <f>E58</f>
        <v>0.24</v>
      </c>
      <c r="G58" s="426">
        <f>F58</f>
        <v>0.24</v>
      </c>
      <c r="H58" s="427">
        <f>G58</f>
        <v>0.24</v>
      </c>
      <c r="J58" s="414"/>
      <c r="K58" s="1545"/>
      <c r="L58" s="1545"/>
      <c r="M58" s="1545"/>
      <c r="N58" s="953"/>
      <c r="O58" s="953"/>
      <c r="P58" s="953"/>
      <c r="Q58" s="953"/>
      <c r="R58" s="953"/>
      <c r="S58" s="953"/>
      <c r="T58" s="953"/>
      <c r="U58" s="578"/>
    </row>
    <row r="59" spans="2:21" ht="12" customHeight="1">
      <c r="B59" s="500"/>
      <c r="C59" s="419" t="s">
        <v>502</v>
      </c>
      <c r="D59" s="797">
        <v>0</v>
      </c>
      <c r="E59" s="1129">
        <f>E60*E61</f>
        <v>0</v>
      </c>
      <c r="F59" s="1129">
        <f>F60*F61</f>
        <v>0</v>
      </c>
      <c r="G59" s="812">
        <f>G60*G61</f>
        <v>0</v>
      </c>
      <c r="H59" s="814">
        <f>H60*H61</f>
        <v>0</v>
      </c>
      <c r="J59" s="350">
        <f>E$8</f>
        <v>2023</v>
      </c>
      <c r="K59" s="350">
        <f>F$8</f>
        <v>2024</v>
      </c>
      <c r="L59" s="350">
        <f>G$8</f>
        <v>2025</v>
      </c>
      <c r="M59" s="350">
        <f>H$8</f>
        <v>2026</v>
      </c>
      <c r="N59" s="953"/>
      <c r="O59" s="953"/>
      <c r="P59" s="953"/>
      <c r="Q59" s="953"/>
      <c r="R59" s="953"/>
      <c r="S59" s="953"/>
      <c r="T59" s="953"/>
      <c r="U59" s="578"/>
    </row>
    <row r="60" spans="2:21" ht="12" customHeight="1">
      <c r="B60" s="418" t="s">
        <v>500</v>
      </c>
      <c r="C60" s="419"/>
      <c r="D60" s="797">
        <v>0</v>
      </c>
      <c r="E60" s="797">
        <f t="shared" ref="E60:H61" si="23">D60+D60*J60</f>
        <v>0</v>
      </c>
      <c r="F60" s="797">
        <f t="shared" si="23"/>
        <v>0</v>
      </c>
      <c r="G60" s="1141">
        <f t="shared" si="23"/>
        <v>0</v>
      </c>
      <c r="H60" s="1130">
        <f t="shared" si="23"/>
        <v>0</v>
      </c>
      <c r="J60" s="476">
        <v>0</v>
      </c>
      <c r="K60" s="476">
        <f t="shared" ref="K60:M61" si="24">J60</f>
        <v>0</v>
      </c>
      <c r="L60" s="476">
        <f t="shared" si="24"/>
        <v>0</v>
      </c>
      <c r="M60" s="476">
        <f t="shared" si="24"/>
        <v>0</v>
      </c>
      <c r="N60" s="953"/>
      <c r="O60" s="953"/>
      <c r="P60" s="953"/>
      <c r="Q60" s="953"/>
      <c r="R60" s="953"/>
      <c r="S60" s="953"/>
      <c r="T60" s="953"/>
      <c r="U60" s="578"/>
    </row>
    <row r="61" spans="2:21" ht="12" customHeight="1">
      <c r="B61" s="418" t="s">
        <v>501</v>
      </c>
      <c r="C61" s="419"/>
      <c r="D61" s="1131">
        <f>IF(D60=0,0,D59/D60)</f>
        <v>0</v>
      </c>
      <c r="E61" s="1132">
        <f t="shared" si="23"/>
        <v>0</v>
      </c>
      <c r="F61" s="1132">
        <f t="shared" si="23"/>
        <v>0</v>
      </c>
      <c r="G61" s="1132">
        <f t="shared" si="23"/>
        <v>0</v>
      </c>
      <c r="H61" s="1144">
        <f t="shared" si="23"/>
        <v>0</v>
      </c>
      <c r="J61" s="476">
        <v>0.03</v>
      </c>
      <c r="K61" s="476">
        <f t="shared" si="24"/>
        <v>0.03</v>
      </c>
      <c r="L61" s="476">
        <f t="shared" si="24"/>
        <v>0.03</v>
      </c>
      <c r="M61" s="476">
        <f t="shared" si="24"/>
        <v>0.03</v>
      </c>
      <c r="N61" s="953"/>
      <c r="O61" s="953"/>
      <c r="P61" s="953"/>
      <c r="Q61" s="953"/>
      <c r="R61" s="953"/>
      <c r="S61" s="953"/>
      <c r="T61" s="953"/>
      <c r="U61" s="578"/>
    </row>
    <row r="62" spans="2:21" ht="12" customHeight="1">
      <c r="B62" s="418" t="s">
        <v>587</v>
      </c>
      <c r="C62" s="420"/>
      <c r="D62" s="1134">
        <f>IF(D59=0,0,D63/D59)</f>
        <v>0</v>
      </c>
      <c r="E62" s="1135">
        <f>D62</f>
        <v>0</v>
      </c>
      <c r="F62" s="1135">
        <f>E62</f>
        <v>0</v>
      </c>
      <c r="G62" s="1135">
        <f>F62</f>
        <v>0</v>
      </c>
      <c r="H62" s="871">
        <f>G62</f>
        <v>0</v>
      </c>
      <c r="J62" s="414"/>
      <c r="K62" s="1545"/>
      <c r="L62" s="1545"/>
      <c r="M62" s="1545"/>
      <c r="N62" s="953"/>
      <c r="O62" s="953"/>
      <c r="P62" s="953"/>
      <c r="Q62" s="953"/>
      <c r="R62" s="953"/>
      <c r="S62" s="953"/>
      <c r="T62" s="953"/>
      <c r="U62" s="578"/>
    </row>
    <row r="63" spans="2:21" ht="12" customHeight="1" thickBot="1">
      <c r="B63" s="421" t="s">
        <v>588</v>
      </c>
      <c r="C63" s="422" t="s">
        <v>242</v>
      </c>
      <c r="D63" s="1136">
        <v>0</v>
      </c>
      <c r="E63" s="1137">
        <f>IF(E62=0,0,E59*E62)</f>
        <v>0</v>
      </c>
      <c r="F63" s="1137">
        <f>IF(F62=0,0,F59*F62)</f>
        <v>0</v>
      </c>
      <c r="G63" s="1140">
        <f>IF(G62=0,0,G59*G62)</f>
        <v>0</v>
      </c>
      <c r="H63" s="1138">
        <f>IF(H62=0,0,H59*H62)</f>
        <v>0</v>
      </c>
      <c r="J63" s="414"/>
      <c r="K63" s="1545"/>
      <c r="L63" s="1545"/>
      <c r="M63" s="1545"/>
      <c r="N63" s="953"/>
      <c r="O63" s="953"/>
      <c r="P63" s="953"/>
      <c r="Q63" s="953"/>
      <c r="R63" s="953"/>
      <c r="S63" s="953"/>
      <c r="T63" s="953"/>
      <c r="U63" s="578"/>
    </row>
    <row r="64" spans="2:21" ht="12" customHeight="1">
      <c r="B64" s="431"/>
      <c r="C64" s="660"/>
      <c r="D64" s="425" t="s">
        <v>351</v>
      </c>
      <c r="E64" s="426">
        <v>0.24</v>
      </c>
      <c r="F64" s="426">
        <f>E64</f>
        <v>0.24</v>
      </c>
      <c r="G64" s="426">
        <f>F64</f>
        <v>0.24</v>
      </c>
      <c r="H64" s="427">
        <f>G64</f>
        <v>0.24</v>
      </c>
      <c r="J64" s="414"/>
      <c r="K64" s="1545"/>
      <c r="L64" s="1545"/>
      <c r="M64" s="1545"/>
      <c r="N64" s="953"/>
      <c r="O64" s="953"/>
      <c r="P64" s="953"/>
      <c r="Q64" s="953"/>
      <c r="R64" s="953"/>
      <c r="S64" s="953"/>
      <c r="T64" s="953"/>
      <c r="U64" s="578"/>
    </row>
    <row r="65" spans="2:21" ht="12" customHeight="1">
      <c r="B65" s="500" t="s">
        <v>774</v>
      </c>
      <c r="C65" s="419" t="s">
        <v>502</v>
      </c>
      <c r="D65" s="797">
        <v>0</v>
      </c>
      <c r="E65" s="1145">
        <f>E66*E67</f>
        <v>0</v>
      </c>
      <c r="F65" s="1145">
        <f>F66*F67</f>
        <v>0</v>
      </c>
      <c r="G65" s="1146">
        <f>G66*G67</f>
        <v>0</v>
      </c>
      <c r="H65" s="1147">
        <f>H66*H67</f>
        <v>0</v>
      </c>
      <c r="J65" s="350">
        <f>E$8</f>
        <v>2023</v>
      </c>
      <c r="K65" s="350">
        <f>F$8</f>
        <v>2024</v>
      </c>
      <c r="L65" s="350">
        <f>G$8</f>
        <v>2025</v>
      </c>
      <c r="M65" s="350">
        <f>H$8</f>
        <v>2026</v>
      </c>
      <c r="N65" s="953"/>
      <c r="O65" s="953"/>
      <c r="P65" s="953"/>
      <c r="Q65" s="953"/>
      <c r="R65" s="953"/>
      <c r="S65" s="953"/>
      <c r="T65" s="953"/>
      <c r="U65" s="578"/>
    </row>
    <row r="66" spans="2:21" ht="12" customHeight="1">
      <c r="B66" s="418" t="s">
        <v>500</v>
      </c>
      <c r="C66" s="419"/>
      <c r="D66" s="797">
        <v>0</v>
      </c>
      <c r="E66" s="797">
        <f>D66+D66*J66</f>
        <v>0</v>
      </c>
      <c r="F66" s="797">
        <f t="shared" ref="F66:H67" si="25">E66+E66*K66</f>
        <v>0</v>
      </c>
      <c r="G66" s="1141">
        <f t="shared" si="25"/>
        <v>0</v>
      </c>
      <c r="H66" s="1130">
        <f t="shared" si="25"/>
        <v>0</v>
      </c>
      <c r="J66" s="476">
        <v>0</v>
      </c>
      <c r="K66" s="476">
        <f t="shared" ref="K66:M67" si="26">J66</f>
        <v>0</v>
      </c>
      <c r="L66" s="476">
        <f t="shared" si="26"/>
        <v>0</v>
      </c>
      <c r="M66" s="476">
        <f t="shared" si="26"/>
        <v>0</v>
      </c>
      <c r="N66" s="953"/>
      <c r="O66" s="953"/>
      <c r="P66" s="953"/>
      <c r="Q66" s="953"/>
      <c r="R66" s="953"/>
      <c r="S66" s="953"/>
      <c r="T66" s="953"/>
      <c r="U66" s="578"/>
    </row>
    <row r="67" spans="2:21" ht="12" customHeight="1">
      <c r="B67" s="418" t="s">
        <v>501</v>
      </c>
      <c r="C67" s="419"/>
      <c r="D67" s="1131">
        <f>IF(D66=0,0,D65/D66)</f>
        <v>0</v>
      </c>
      <c r="E67" s="1132">
        <f>D67+D67*J67</f>
        <v>0</v>
      </c>
      <c r="F67" s="1132">
        <f t="shared" si="25"/>
        <v>0</v>
      </c>
      <c r="G67" s="1132">
        <f t="shared" si="25"/>
        <v>0</v>
      </c>
      <c r="H67" s="1144">
        <f t="shared" si="25"/>
        <v>0</v>
      </c>
      <c r="J67" s="476">
        <v>0.03</v>
      </c>
      <c r="K67" s="476">
        <f t="shared" si="26"/>
        <v>0.03</v>
      </c>
      <c r="L67" s="476">
        <f t="shared" si="26"/>
        <v>0.03</v>
      </c>
      <c r="M67" s="476">
        <f t="shared" si="26"/>
        <v>0.03</v>
      </c>
      <c r="N67" s="953"/>
      <c r="O67" s="953"/>
      <c r="P67" s="953"/>
      <c r="Q67" s="953"/>
      <c r="R67" s="953"/>
      <c r="S67" s="953"/>
      <c r="T67" s="953"/>
      <c r="U67" s="578"/>
    </row>
    <row r="68" spans="2:21" ht="12" customHeight="1">
      <c r="B68" s="418" t="s">
        <v>587</v>
      </c>
      <c r="C68" s="420"/>
      <c r="D68" s="1134">
        <f>IF(D65=0,0,D69/D65)</f>
        <v>0</v>
      </c>
      <c r="E68" s="1135">
        <f>D68</f>
        <v>0</v>
      </c>
      <c r="F68" s="1135">
        <f>E68</f>
        <v>0</v>
      </c>
      <c r="G68" s="1135">
        <f>F68</f>
        <v>0</v>
      </c>
      <c r="H68" s="871">
        <f>G68</f>
        <v>0</v>
      </c>
      <c r="J68" s="414"/>
      <c r="K68" s="1545"/>
      <c r="L68" s="1545"/>
      <c r="M68" s="1545"/>
      <c r="N68" s="953"/>
      <c r="O68" s="953"/>
      <c r="P68" s="953"/>
      <c r="Q68" s="953"/>
      <c r="R68" s="953"/>
      <c r="S68" s="953"/>
      <c r="T68" s="953"/>
      <c r="U68" s="578"/>
    </row>
    <row r="69" spans="2:21" ht="12" customHeight="1" thickBot="1">
      <c r="B69" s="421" t="s">
        <v>588</v>
      </c>
      <c r="C69" s="422" t="s">
        <v>242</v>
      </c>
      <c r="D69" s="1136">
        <v>0</v>
      </c>
      <c r="E69" s="1148">
        <f>IF(E68=0,0,E65*E68)</f>
        <v>0</v>
      </c>
      <c r="F69" s="1148">
        <f>IF(F68=0,0,F65*F68)</f>
        <v>0</v>
      </c>
      <c r="G69" s="1149">
        <f>IF(G68=0,0,G65*G68)</f>
        <v>0</v>
      </c>
      <c r="H69" s="1150">
        <f>IF(H68=0,0,H65*H68)</f>
        <v>0</v>
      </c>
      <c r="J69" s="1548"/>
      <c r="K69" s="1549"/>
      <c r="L69" s="1549"/>
      <c r="M69" s="1549"/>
      <c r="N69" s="953"/>
      <c r="O69" s="953"/>
      <c r="P69" s="953"/>
      <c r="Q69" s="953"/>
      <c r="R69" s="953"/>
      <c r="S69" s="953"/>
      <c r="T69" s="953"/>
      <c r="U69" s="578"/>
    </row>
    <row r="70" spans="2:21" ht="12" customHeight="1">
      <c r="B70" s="504" t="s">
        <v>217</v>
      </c>
      <c r="C70" s="505" t="s">
        <v>242</v>
      </c>
      <c r="D70" s="1151">
        <f>(D11+D17+D23+D29+D35+D41+D47+D53+D59+D65)</f>
        <v>0</v>
      </c>
      <c r="E70" s="1152">
        <f>(E11+E17+E23+E29+E35+E41+E47+E53+E59+E65)</f>
        <v>192350</v>
      </c>
      <c r="F70" s="1152">
        <f>(F11+F17+F23+F29+F35+F41+F47+F53+F59+F65)</f>
        <v>219352.91999999998</v>
      </c>
      <c r="G70" s="1152">
        <f>(G11+G17+G23+G29+G35+G41+G47+G53+G59+G65)</f>
        <v>258737.59649999996</v>
      </c>
      <c r="H70" s="1153">
        <f>(H11+H17+H23+H29+H35+H41+H47+H53+H59+H65)</f>
        <v>266499.72439500003</v>
      </c>
      <c r="J70" s="414"/>
      <c r="K70" s="1545"/>
      <c r="L70" s="1545"/>
      <c r="M70" s="1545"/>
      <c r="N70" s="953"/>
      <c r="O70" s="953"/>
      <c r="P70" s="953"/>
      <c r="Q70" s="953"/>
      <c r="R70" s="953"/>
      <c r="S70" s="953"/>
      <c r="T70" s="953"/>
      <c r="U70" s="578"/>
    </row>
    <row r="71" spans="2:21" ht="12" customHeight="1">
      <c r="B71" s="506" t="s">
        <v>503</v>
      </c>
      <c r="C71" s="661" t="s">
        <v>242</v>
      </c>
      <c r="D71" s="1154">
        <f>(D15+D21+D27+D33+D39+D45+D51+D57+D63+D69)</f>
        <v>0</v>
      </c>
      <c r="E71" s="1155">
        <f>(E15+E21+E27+E33+E39+E45+E51+E57+E63+E69)</f>
        <v>15388</v>
      </c>
      <c r="F71" s="1155">
        <f>(F15+F21+F27+F33+F39+F45+F51+F57+F63+F69)</f>
        <v>17548.2336</v>
      </c>
      <c r="G71" s="1155">
        <f>(G15+G21+G27+G33+G39+G45+G51+G57+G63+G69)</f>
        <v>20699.007719999998</v>
      </c>
      <c r="H71" s="1156">
        <f>(H15+H21+H27+H33+H39+H45+H51+H57+H63+H69)</f>
        <v>21319.977951599998</v>
      </c>
      <c r="J71" s="414"/>
      <c r="K71" s="1545"/>
      <c r="L71" s="1545"/>
      <c r="M71" s="1545"/>
      <c r="N71" s="953"/>
      <c r="O71" s="953"/>
      <c r="P71" s="953"/>
      <c r="Q71" s="953"/>
      <c r="R71" s="953"/>
      <c r="S71" s="953"/>
      <c r="T71" s="953"/>
      <c r="U71" s="578"/>
    </row>
    <row r="72" spans="2:21" ht="12" customHeight="1">
      <c r="B72" s="506" t="s">
        <v>504</v>
      </c>
      <c r="C72" s="501"/>
      <c r="D72" s="1157">
        <f>IF(D71=0,0,D71/D70)</f>
        <v>0</v>
      </c>
      <c r="E72" s="1158">
        <f>IF(E71=0,0,E71/E70)</f>
        <v>0.08</v>
      </c>
      <c r="F72" s="1158">
        <f>IF(F71=0,0,F71/F70)</f>
        <v>0.08</v>
      </c>
      <c r="G72" s="1158">
        <f>IF(G71=0,0,G71/G70)</f>
        <v>0.08</v>
      </c>
      <c r="H72" s="1159">
        <f>IF(H71=0,0,H71/H70)</f>
        <v>7.9999999999999988E-2</v>
      </c>
      <c r="J72" s="414"/>
      <c r="K72" s="1545"/>
      <c r="L72" s="1545"/>
      <c r="M72" s="1545"/>
      <c r="N72" s="953"/>
      <c r="O72" s="953"/>
      <c r="P72" s="953"/>
      <c r="Q72" s="953"/>
      <c r="R72" s="953"/>
      <c r="S72" s="953"/>
      <c r="T72" s="953"/>
      <c r="U72" s="578"/>
    </row>
    <row r="73" spans="2:21" ht="12" customHeight="1">
      <c r="B73" s="506" t="s">
        <v>505</v>
      </c>
      <c r="C73" s="501" t="s">
        <v>242</v>
      </c>
      <c r="D73" s="1160"/>
      <c r="E73" s="1155">
        <f>(E10*E11+E16*E17+E22*E23+E28*E29+E34*E35+E40*E41+E46*E47+E52*E53+E58*E59+E64*E65)</f>
        <v>46164</v>
      </c>
      <c r="F73" s="1155">
        <f>(F10*F11+F16*F17+F22*F23+F28*F29+F34*F35+F40*F41+F46*F47+F52*F53+F58*F59+F64*F65)</f>
        <v>52644.700799999999</v>
      </c>
      <c r="G73" s="1155">
        <f>(G10*G11+G16*G17+G22*G23+G28*G29+G34*G35+G40*G41+G46*G47+G52*G53+G58*G59+G64*G65)</f>
        <v>62097.023159999997</v>
      </c>
      <c r="H73" s="1156">
        <f>(H10*H11+H16*H17+H22*H23+H28*H29+H34*H35+H40*H41+H46*H47+H52*H53+H58*H59+H64*H65)</f>
        <v>63959.933854799994</v>
      </c>
      <c r="J73" s="1550"/>
      <c r="K73" s="471"/>
      <c r="L73" s="471"/>
      <c r="M73" s="471"/>
      <c r="N73" s="579"/>
      <c r="O73" s="579"/>
      <c r="P73" s="579"/>
      <c r="Q73" s="579"/>
      <c r="R73" s="579"/>
      <c r="S73" s="579"/>
      <c r="T73" s="579"/>
      <c r="U73" s="581"/>
    </row>
    <row r="74" spans="2:21" ht="12" customHeight="1" thickBot="1">
      <c r="B74" s="595" t="s">
        <v>506</v>
      </c>
      <c r="C74" s="596" t="s">
        <v>242</v>
      </c>
      <c r="D74" s="1161"/>
      <c r="E74" s="1162">
        <f>E72*E73</f>
        <v>3693.12</v>
      </c>
      <c r="F74" s="1162">
        <f>F72*F73</f>
        <v>4211.5760639999999</v>
      </c>
      <c r="G74" s="1162">
        <f>G72*G73</f>
        <v>4967.7618528000003</v>
      </c>
      <c r="H74" s="1163">
        <f>H72*H73</f>
        <v>5116.794708383999</v>
      </c>
      <c r="J74" s="377"/>
      <c r="K74" s="377"/>
      <c r="L74" s="377"/>
      <c r="M74" s="377"/>
      <c r="N74" s="185"/>
      <c r="O74" s="185"/>
      <c r="P74" s="185"/>
      <c r="Q74" s="185"/>
      <c r="R74" s="185"/>
      <c r="S74" s="185"/>
      <c r="T74" s="185"/>
      <c r="U74" s="185"/>
    </row>
    <row r="75" spans="2:21" ht="3.9" customHeight="1"/>
    <row r="76" spans="2:21">
      <c r="B76" s="555" t="str">
        <f>IF(D14&lt;0,"FEL! MATERIALBRUK MED + TECKEN!","")</f>
        <v/>
      </c>
      <c r="C76" s="497"/>
      <c r="D76" s="140"/>
      <c r="E76" s="140"/>
      <c r="F76" s="140"/>
      <c r="G76" s="140"/>
      <c r="H76" s="503" t="str">
        <f>STARTSIDAN!J5</f>
        <v xml:space="preserve">Tjänsten erbjuds av: </v>
      </c>
    </row>
    <row r="77" spans="2:21">
      <c r="B77" s="496" t="str">
        <f>'5. E1 VERKSAMHETSKOSTN.'!B126</f>
        <v>FT22 Det aktiva företagets resultatplan</v>
      </c>
      <c r="D77" s="140"/>
      <c r="E77" s="2171" t="str">
        <f>STARTSIDAN!H7</f>
        <v>Dynamo Närpes och Kristinestads näringslivscentral Ab</v>
      </c>
      <c r="F77" s="2172"/>
      <c r="G77" s="2172"/>
      <c r="H77" s="2172"/>
    </row>
    <row r="78" spans="2:21">
      <c r="B78" s="251"/>
    </row>
    <row r="79" spans="2:21">
      <c r="B79" s="493" t="s">
        <v>399</v>
      </c>
    </row>
    <row r="80" spans="2:21">
      <c r="B80" s="51" t="s">
        <v>400</v>
      </c>
    </row>
    <row r="81" spans="2:2">
      <c r="B81" s="51" t="s">
        <v>401</v>
      </c>
    </row>
  </sheetData>
  <sheetProtection algorithmName="SHA-512" hashValue="QqIrE5EtcAsTYwujgeKxZgEvk6ahsmCva30Xk09xg97CED9yqt+iNrB/IrNNBQj6F+JGR95lmdvKDVz1R4heWQ==" saltValue="kB0P5EwHiwmkkOHsB97tOQ==" spinCount="100000" sheet="1" objects="1" scenarios="1"/>
  <mergeCells count="7">
    <mergeCell ref="E77:H77"/>
    <mergeCell ref="B5:D5"/>
    <mergeCell ref="B7:C8"/>
    <mergeCell ref="E5:H5"/>
    <mergeCell ref="J10:M10"/>
    <mergeCell ref="J5:K5"/>
    <mergeCell ref="B9:C9"/>
  </mergeCells>
  <phoneticPr fontId="7" type="noConversion"/>
  <printOptions horizontalCentered="1"/>
  <pageMargins left="0.23622047244094491" right="0.23622047244094491" top="0.74803149606299213" bottom="0.74803149606299213" header="0.31496062992125984" footer="0.31496062992125984"/>
  <pageSetup paperSize="9" scale="80" fitToWidth="0" orientation="portrait" verticalDpi="4" r:id="rId1"/>
  <headerFooter alignWithMargins="0"/>
  <colBreaks count="1" manualBreakCount="1">
    <brk id="8" min="1" max="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tabColor rgb="FF33CC33"/>
  </sheetPr>
  <dimension ref="A1:AC87"/>
  <sheetViews>
    <sheetView showGridLines="0" showZeros="0" defaultGridColor="0" colorId="55" zoomScaleNormal="100" workbookViewId="0">
      <selection activeCell="O55" sqref="O55"/>
    </sheetView>
  </sheetViews>
  <sheetFormatPr defaultRowHeight="12.45"/>
  <cols>
    <col min="1" max="1" width="10" customWidth="1"/>
    <col min="2" max="2" width="3.07421875" style="41" customWidth="1"/>
    <col min="3" max="3" width="23.3046875" customWidth="1"/>
    <col min="4" max="4" width="8.3046875" customWidth="1"/>
    <col min="5" max="5" width="3.07421875" customWidth="1"/>
    <col min="6" max="11" width="11.4609375" customWidth="1"/>
    <col min="12" max="12" width="1.53515625" customWidth="1"/>
    <col min="13" max="14" width="10.69140625" customWidth="1"/>
    <col min="15" max="15" width="15.23046875" customWidth="1"/>
    <col min="16" max="21" width="12.4609375" customWidth="1"/>
    <col min="22" max="22" width="3.84375" customWidth="1"/>
  </cols>
  <sheetData>
    <row r="1" spans="1:24">
      <c r="P1" s="485"/>
    </row>
    <row r="2" spans="1:24" ht="15.45">
      <c r="B2" s="968" t="s">
        <v>302</v>
      </c>
      <c r="C2" s="969"/>
      <c r="D2" s="140"/>
      <c r="E2" s="140"/>
      <c r="F2" s="140"/>
      <c r="G2" s="648" t="s">
        <v>169</v>
      </c>
      <c r="H2" s="140"/>
      <c r="I2" s="140"/>
      <c r="J2" s="970"/>
      <c r="K2" s="970"/>
      <c r="M2" s="97" t="s">
        <v>302</v>
      </c>
      <c r="N2" s="25"/>
      <c r="P2" s="486"/>
    </row>
    <row r="3" spans="1:24" ht="12.75" customHeight="1">
      <c r="B3" s="2215"/>
      <c r="C3" s="2215"/>
      <c r="D3" s="140"/>
      <c r="E3" s="140"/>
      <c r="F3" s="140"/>
      <c r="G3" s="502">
        <f>'2. &amp; 7. T2  RESULTATB.'!G3</f>
        <v>0</v>
      </c>
      <c r="H3" s="140"/>
      <c r="I3" s="140"/>
      <c r="J3" s="140"/>
      <c r="K3" s="140"/>
      <c r="M3" s="523">
        <f>B3</f>
        <v>0</v>
      </c>
      <c r="N3" s="523"/>
      <c r="P3" s="486"/>
    </row>
    <row r="4" spans="1:24" ht="9.75" customHeight="1">
      <c r="B4" s="2215"/>
      <c r="C4" s="2215"/>
      <c r="D4" s="140"/>
      <c r="E4" s="140"/>
      <c r="F4" s="140"/>
      <c r="G4" s="140"/>
      <c r="H4" s="972">
        <v>0</v>
      </c>
      <c r="I4" s="140"/>
      <c r="J4" s="140"/>
      <c r="K4" s="140"/>
      <c r="M4" s="1978"/>
      <c r="N4" s="1978"/>
      <c r="P4" s="487"/>
    </row>
    <row r="5" spans="1:24" s="44" customFormat="1" ht="10.75">
      <c r="B5" s="648" t="s">
        <v>171</v>
      </c>
      <c r="C5" s="973"/>
      <c r="D5" s="973"/>
      <c r="E5" s="973"/>
      <c r="F5" s="973"/>
      <c r="G5" s="973"/>
      <c r="H5" s="2225" t="s">
        <v>172</v>
      </c>
      <c r="I5" s="2225"/>
      <c r="J5" s="2225"/>
      <c r="K5" s="2225"/>
      <c r="M5" s="98" t="s">
        <v>171</v>
      </c>
      <c r="N5" s="287"/>
      <c r="O5" s="287"/>
      <c r="P5" s="287"/>
      <c r="Q5" s="287"/>
      <c r="R5" s="2233" t="s">
        <v>172</v>
      </c>
      <c r="S5" s="1962"/>
      <c r="T5" s="1962"/>
      <c r="U5" s="2234"/>
    </row>
    <row r="6" spans="1:24" ht="14.25" customHeight="1">
      <c r="B6" s="330" t="str">
        <f>'2. &amp; 7. T2  RESULTATB.'!B5:D5</f>
        <v>Exempel Dagis Ab</v>
      </c>
      <c r="C6" s="330"/>
      <c r="D6" s="965"/>
      <c r="E6" s="965"/>
      <c r="F6" s="979"/>
      <c r="G6" s="979"/>
      <c r="H6" s="2088">
        <f>'2. &amp; 7. T2  RESULTATB.'!G5</f>
        <v>0</v>
      </c>
      <c r="I6" s="2088"/>
      <c r="J6" s="2088"/>
      <c r="K6" s="2088"/>
      <c r="M6" s="329" t="str">
        <f>B6</f>
        <v>Exempel Dagis Ab</v>
      </c>
      <c r="N6" s="330"/>
      <c r="O6" s="330"/>
      <c r="P6" s="331"/>
      <c r="Q6" s="331"/>
      <c r="R6" s="2235">
        <v>0</v>
      </c>
      <c r="S6" s="2088"/>
      <c r="T6" s="2088"/>
      <c r="U6" s="2236"/>
    </row>
    <row r="7" spans="1:24" s="44" customFormat="1" ht="10.75">
      <c r="B7" s="648" t="s">
        <v>173</v>
      </c>
      <c r="C7" s="973"/>
      <c r="D7" s="973"/>
      <c r="E7" s="973"/>
      <c r="F7" s="973"/>
      <c r="G7" s="973"/>
      <c r="H7" s="2225" t="s">
        <v>175</v>
      </c>
      <c r="I7" s="2225"/>
      <c r="J7" s="2225"/>
      <c r="K7" s="2225"/>
      <c r="M7" s="332" t="s">
        <v>173</v>
      </c>
      <c r="N7" s="333"/>
      <c r="O7" s="333"/>
      <c r="P7" s="333"/>
      <c r="Q7" s="333"/>
      <c r="R7" s="2237" t="s">
        <v>175</v>
      </c>
      <c r="S7" s="2238"/>
      <c r="T7" s="2238"/>
      <c r="U7" s="2239"/>
    </row>
    <row r="8" spans="1:24" ht="14.25" customHeight="1">
      <c r="B8" s="978">
        <f>'2. &amp; 7. T2  RESULTATB.'!K5</f>
        <v>0</v>
      </c>
      <c r="C8" s="330"/>
      <c r="D8" s="965"/>
      <c r="E8" s="965"/>
      <c r="F8" s="979"/>
      <c r="G8" s="979"/>
      <c r="H8" s="2183">
        <f>'2. &amp; 7. T2  RESULTATB.'!N5</f>
        <v>0</v>
      </c>
      <c r="I8" s="2183"/>
      <c r="J8" s="2183"/>
      <c r="K8" s="2183"/>
      <c r="M8" s="334">
        <f>B8</f>
        <v>0</v>
      </c>
      <c r="N8" s="330"/>
      <c r="O8" s="330"/>
      <c r="P8" s="331"/>
      <c r="Q8" s="331"/>
      <c r="R8" s="2182">
        <f>H8</f>
        <v>0</v>
      </c>
      <c r="S8" s="2183"/>
      <c r="T8" s="2183"/>
      <c r="U8" s="2184"/>
    </row>
    <row r="9" spans="1:24" ht="9" customHeight="1" thickBot="1">
      <c r="B9" s="964"/>
      <c r="C9" s="140"/>
      <c r="D9" s="140"/>
      <c r="E9" s="140"/>
      <c r="F9" s="140"/>
      <c r="G9" s="140"/>
      <c r="H9" s="140"/>
      <c r="I9" s="140"/>
      <c r="J9" s="140"/>
      <c r="K9" s="140"/>
      <c r="M9" s="336"/>
      <c r="N9" s="336"/>
      <c r="O9" s="336"/>
      <c r="P9" s="336"/>
      <c r="Q9" s="336"/>
      <c r="R9" s="336"/>
      <c r="S9" s="336"/>
      <c r="T9" s="336"/>
      <c r="U9" s="336"/>
    </row>
    <row r="10" spans="1:24" ht="12.75" customHeight="1">
      <c r="B10" s="2216" t="s">
        <v>303</v>
      </c>
      <c r="C10" s="2217"/>
      <c r="D10" s="2217"/>
      <c r="E10" s="2218"/>
      <c r="F10" s="1721" t="str">
        <f>'3. &amp; 8. T3 BALANS'!F10</f>
        <v>Realiserad</v>
      </c>
      <c r="G10" s="1721" t="s">
        <v>241</v>
      </c>
      <c r="H10" s="1721" t="str">
        <f>'1. T1 INVESTERINGSP. '!D15</f>
        <v>Prognos 1</v>
      </c>
      <c r="I10" s="1721" t="str">
        <f>'1. T1 INVESTERINGSP. '!E15</f>
        <v>Prognos 2</v>
      </c>
      <c r="J10" s="1721" t="str">
        <f>'1. T1 INVESTERINGSP. '!F15</f>
        <v>Prognos 3</v>
      </c>
      <c r="K10" s="1723" t="str">
        <f>'1. T1 INVESTERINGSP. '!G15</f>
        <v>Prognos 4</v>
      </c>
      <c r="M10" s="2227" t="s">
        <v>693</v>
      </c>
      <c r="N10" s="2228"/>
      <c r="O10" s="2229"/>
      <c r="P10" s="1721" t="str">
        <f t="shared" ref="P10:U11" si="0">F10</f>
        <v>Realiserad</v>
      </c>
      <c r="Q10" s="1721" t="str">
        <f t="shared" si="0"/>
        <v>Realiserad</v>
      </c>
      <c r="R10" s="1721" t="str">
        <f t="shared" si="0"/>
        <v>Prognos 1</v>
      </c>
      <c r="S10" s="1721" t="str">
        <f t="shared" si="0"/>
        <v>Prognos 2</v>
      </c>
      <c r="T10" s="1721" t="str">
        <f t="shared" si="0"/>
        <v>Prognos 3</v>
      </c>
      <c r="U10" s="1723" t="str">
        <f t="shared" si="0"/>
        <v>Prognos 4</v>
      </c>
    </row>
    <row r="11" spans="1:24" ht="12.75" customHeight="1" thickBot="1">
      <c r="B11" s="2219"/>
      <c r="C11" s="2220"/>
      <c r="D11" s="2220"/>
      <c r="E11" s="2221"/>
      <c r="F11" s="1725">
        <f>'3. &amp; 8. T3 BALANS'!F11</f>
        <v>2021</v>
      </c>
      <c r="G11" s="1736">
        <f>'6. E2 OMSÄTTNING '!D8</f>
        <v>2022</v>
      </c>
      <c r="H11" s="1736">
        <f>'6. E2 OMSÄTTNING '!E8</f>
        <v>2023</v>
      </c>
      <c r="I11" s="1736">
        <f>'6. E2 OMSÄTTNING '!F8</f>
        <v>2024</v>
      </c>
      <c r="J11" s="1736">
        <f>'6. E2 OMSÄTTNING '!G8</f>
        <v>2025</v>
      </c>
      <c r="K11" s="1736">
        <f>'6. E2 OMSÄTTNING '!H8</f>
        <v>2026</v>
      </c>
      <c r="M11" s="2230"/>
      <c r="N11" s="2231"/>
      <c r="O11" s="2232"/>
      <c r="P11" s="1763">
        <f t="shared" si="0"/>
        <v>2021</v>
      </c>
      <c r="Q11" s="1763">
        <f t="shared" si="0"/>
        <v>2022</v>
      </c>
      <c r="R11" s="1763">
        <f t="shared" si="0"/>
        <v>2023</v>
      </c>
      <c r="S11" s="1763">
        <f t="shared" si="0"/>
        <v>2024</v>
      </c>
      <c r="T11" s="1763">
        <f t="shared" si="0"/>
        <v>2025</v>
      </c>
      <c r="U11" s="1764">
        <f>K11</f>
        <v>2026</v>
      </c>
    </row>
    <row r="12" spans="1:24" ht="12.75" customHeight="1" thickBot="1">
      <c r="A12" s="52"/>
      <c r="B12" s="2222"/>
      <c r="C12" s="2223"/>
      <c r="D12" s="2223"/>
      <c r="E12" s="2224"/>
      <c r="F12" s="1761" t="s">
        <v>242</v>
      </c>
      <c r="G12" s="1761" t="s">
        <v>242</v>
      </c>
      <c r="H12" s="1761" t="s">
        <v>242</v>
      </c>
      <c r="I12" s="1761" t="s">
        <v>242</v>
      </c>
      <c r="J12" s="1761" t="s">
        <v>242</v>
      </c>
      <c r="K12" s="1762" t="s">
        <v>242</v>
      </c>
      <c r="M12" s="337" t="s">
        <v>692</v>
      </c>
      <c r="N12" s="169"/>
      <c r="O12" s="169"/>
      <c r="P12" s="328"/>
      <c r="Q12" s="328"/>
      <c r="R12" s="328"/>
      <c r="S12" s="328"/>
      <c r="T12" s="328"/>
      <c r="U12" s="749"/>
    </row>
    <row r="13" spans="1:24" ht="12.75" customHeight="1">
      <c r="B13" s="326" t="s">
        <v>694</v>
      </c>
      <c r="C13" s="572"/>
      <c r="D13" s="323"/>
      <c r="E13" s="323"/>
      <c r="F13" s="1084"/>
      <c r="G13" s="1084"/>
      <c r="H13" s="1084" t="s">
        <v>23</v>
      </c>
      <c r="I13" s="1084"/>
      <c r="J13" s="1084"/>
      <c r="K13" s="1085"/>
      <c r="M13" s="672" t="s">
        <v>305</v>
      </c>
      <c r="N13" s="376"/>
      <c r="O13" s="376"/>
      <c r="P13" s="1090">
        <f>'2. &amp; 7. T2  RESULTATB.'!E11</f>
        <v>0</v>
      </c>
      <c r="Q13" s="1090">
        <f>'2. &amp; 7. T2  RESULTATB.'!G11</f>
        <v>175886</v>
      </c>
      <c r="R13" s="1090">
        <f>'2. &amp; 7. T2  RESULTATB.'!I11</f>
        <v>192350</v>
      </c>
      <c r="S13" s="1090">
        <f>'2. &amp; 7. T2  RESULTATB.'!K11</f>
        <v>219352.91999999998</v>
      </c>
      <c r="T13" s="1099">
        <f>'2. &amp; 7. T2  RESULTATB.'!M11</f>
        <v>258737.59649999996</v>
      </c>
      <c r="U13" s="900">
        <f>'2. &amp; 7. T2  RESULTATB.'!O11</f>
        <v>266499.72439500003</v>
      </c>
      <c r="X13" s="89"/>
    </row>
    <row r="14" spans="1:24" ht="12.75" customHeight="1">
      <c r="A14" s="52"/>
      <c r="B14" s="223"/>
      <c r="C14" s="2080"/>
      <c r="D14" s="2080"/>
      <c r="E14" s="625"/>
      <c r="F14" s="1086"/>
      <c r="G14" s="1086"/>
      <c r="H14" s="1086"/>
      <c r="I14" s="1086"/>
      <c r="J14" s="1086"/>
      <c r="K14" s="1087"/>
      <c r="M14" s="692" t="s">
        <v>306</v>
      </c>
      <c r="N14" s="673"/>
      <c r="O14" s="674"/>
      <c r="P14" s="1090">
        <f>IF('2. &amp; 7. T2  RESULTATB.'!E33=0,0,P13/'2. &amp; 7. T2  RESULTATB.'!E33)</f>
        <v>0</v>
      </c>
      <c r="Q14" s="1090">
        <f>IF('2. &amp; 7. T2  RESULTATB.'!G33=0,0,Q13/'2. &amp; 7. T2  RESULTATB.'!G33)</f>
        <v>43971.5</v>
      </c>
      <c r="R14" s="1090">
        <f>IF('2. &amp; 7. T2  RESULTATB.'!I33=0,0,R13/'2. &amp; 7. T2  RESULTATB.'!I33)</f>
        <v>48087.5</v>
      </c>
      <c r="S14" s="1090">
        <f>IF('2. &amp; 7. T2  RESULTATB.'!K33=0,0,S13/'2. &amp; 7. T2  RESULTATB.'!K33)</f>
        <v>54838.229999999996</v>
      </c>
      <c r="T14" s="1099">
        <f>IF('2. &amp; 7. T2  RESULTATB.'!M33=0,0,T13/'2. &amp; 7. T2  RESULTATB.'!M33)</f>
        <v>64684.399124999989</v>
      </c>
      <c r="U14" s="900">
        <f>IF('2. &amp; 7. T2  RESULTATB.'!O33=0,0,U13/'2. &amp; 7. T2  RESULTATB.'!O33)</f>
        <v>66624.931098750007</v>
      </c>
    </row>
    <row r="15" spans="1:24" ht="12.75" customHeight="1">
      <c r="B15" s="223">
        <v>1</v>
      </c>
      <c r="C15" s="2080" t="s">
        <v>310</v>
      </c>
      <c r="D15" s="2080"/>
      <c r="E15" s="1350" t="s">
        <v>15</v>
      </c>
      <c r="F15" s="1318">
        <f>'2. &amp; 7. T2  RESULTATB.'!E26+'2. &amp; 7. T2  RESULTATB.'!E27-'2. &amp; 7. T2  RESULTATB.'!E21</f>
        <v>0</v>
      </c>
      <c r="G15" s="1318">
        <f>'2. &amp; 7. T2  RESULTATB.'!G26+'2. &amp; 7. T2  RESULTATB.'!G27-'2. &amp; 7. T2  RESULTATB.'!G21</f>
        <v>9430</v>
      </c>
      <c r="H15" s="1088">
        <f>'2. &amp; 7. T2  RESULTATB.'!I26+'2. &amp; 7. T2  RESULTATB.'!I27-'2. &amp; 7. T2  RESULTATB.'!I21</f>
        <v>5920.9832897078686</v>
      </c>
      <c r="I15" s="1088">
        <f>'2. &amp; 7. T2  RESULTATB.'!K26+'2. &amp; 7. T2  RESULTATB.'!K27-'2. &amp; 7. T2  RESULTATB.'!K21</f>
        <v>41498.531168388581</v>
      </c>
      <c r="J15" s="1088">
        <f>'2. &amp; 7. T2  RESULTATB.'!M26+'2. &amp; 7. T2  RESULTATB.'!M27-'2. &amp; 7. T2  RESULTATB.'!M21</f>
        <v>67379.537875460053</v>
      </c>
      <c r="K15" s="1089">
        <f>'2. &amp; 7. T2  RESULTATB.'!O26+'2. &amp; 7. T2  RESULTATB.'!O27-'2. &amp; 7. T2  RESULTATB.'!O21</f>
        <v>69947.642037824538</v>
      </c>
      <c r="M15" s="692" t="s">
        <v>307</v>
      </c>
      <c r="N15" s="673"/>
      <c r="O15" s="674"/>
      <c r="P15" s="443">
        <f>'2. &amp; 7. T2  RESULTATB.'!E33</f>
        <v>1</v>
      </c>
      <c r="Q15" s="443">
        <f>'2. &amp; 7. T2  RESULTATB.'!G33</f>
        <v>4</v>
      </c>
      <c r="R15" s="443">
        <f>'2. &amp; 7. T2  RESULTATB.'!I33</f>
        <v>4</v>
      </c>
      <c r="S15" s="443">
        <f>'2. &amp; 7. T2  RESULTATB.'!K33</f>
        <v>4</v>
      </c>
      <c r="T15" s="747">
        <f>'2. &amp; 7. T2  RESULTATB.'!M33</f>
        <v>4</v>
      </c>
      <c r="U15" s="444">
        <f>'2. &amp; 7. T2  RESULTATB.'!O33</f>
        <v>4</v>
      </c>
    </row>
    <row r="16" spans="1:24" ht="12.75" customHeight="1">
      <c r="A16" s="52"/>
      <c r="B16" s="223">
        <v>2</v>
      </c>
      <c r="C16" s="768" t="s">
        <v>311</v>
      </c>
      <c r="D16" s="768"/>
      <c r="E16" s="1352" t="s">
        <v>15</v>
      </c>
      <c r="F16" s="1320">
        <v>0</v>
      </c>
      <c r="G16" s="1320">
        <v>0</v>
      </c>
      <c r="H16" s="1090">
        <f>'1. T1 INVESTERINGSP. '!D46+'1. T1 INVESTERINGSP. '!D47</f>
        <v>0</v>
      </c>
      <c r="I16" s="1090">
        <f>'1. T1 INVESTERINGSP. '!E46+'1. T1 INVESTERINGSP. '!E47</f>
        <v>0</v>
      </c>
      <c r="J16" s="1090">
        <f>'1. T1 INVESTERINGSP. '!F46+'1. T1 INVESTERINGSP. '!F47</f>
        <v>0</v>
      </c>
      <c r="K16" s="900">
        <f>'1. T1 INVESTERINGSP. '!G46+'1. T1 INVESTERINGSP. '!G47</f>
        <v>0</v>
      </c>
      <c r="M16" s="693" t="s">
        <v>539</v>
      </c>
      <c r="N16" s="670"/>
      <c r="O16" s="671"/>
      <c r="P16" s="1090">
        <f>P82</f>
        <v>0</v>
      </c>
      <c r="Q16" s="1090">
        <f t="shared" ref="Q16:U16" si="1">Q82</f>
        <v>9224.5</v>
      </c>
      <c r="R16" s="1090">
        <f t="shared" si="1"/>
        <v>116753.17164485394</v>
      </c>
      <c r="S16" s="1090">
        <f t="shared" si="1"/>
        <v>213567.25887390214</v>
      </c>
      <c r="T16" s="1090">
        <f t="shared" si="1"/>
        <v>224415.1303175026</v>
      </c>
      <c r="U16" s="900">
        <f t="shared" si="1"/>
        <v>249341.29799574468</v>
      </c>
    </row>
    <row r="17" spans="1:29" ht="23.25" customHeight="1">
      <c r="A17" s="2"/>
      <c r="B17" s="223">
        <v>3</v>
      </c>
      <c r="C17" s="767" t="s">
        <v>573</v>
      </c>
      <c r="D17" s="768"/>
      <c r="E17" s="1352" t="s">
        <v>15</v>
      </c>
      <c r="F17" s="1320"/>
      <c r="G17" s="1320"/>
      <c r="H17" s="1090">
        <f>'4. T7 LÅN '!F41+IF('3. &amp; 8. T3 BALANS'!H74-'3. &amp; 8. T3 BALANS'!G74&gt;0,'3. &amp; 8. T3 BALANS'!H74-'3. &amp; 8. T3 BALANS'!G74,0)+IF('3. &amp; 8. T3 BALANS'!H72-'3. &amp; 8. T3 BALANS'!G72&gt;0,'3. &amp; 8. T3 BALANS'!H72-'3. &amp; 8. T3 BALANS'!G72,0)</f>
        <v>230000</v>
      </c>
      <c r="I17" s="1090">
        <f>'4. T7 LÅN '!I41+IF('3. &amp; 8. T3 BALANS'!I74-'3. &amp; 8. T3 BALANS'!H74&gt;0,'3. &amp; 8. T3 BALANS'!I74-'3. &amp; 8. T3 BALANS'!H74,0)</f>
        <v>0</v>
      </c>
      <c r="J17" s="1090">
        <f>'4. T7 LÅN '!L41+IF('3. &amp; 8. T3 BALANS'!J74-'3. &amp; 8. T3 BALANS'!I74&gt;0,'3. &amp; 8. T3 BALANS'!J74-'3. &amp; 8. T3 BALANS'!I74,0)</f>
        <v>0</v>
      </c>
      <c r="K17" s="900">
        <f>'4. T7 LÅN '!O41+IF('3. &amp; 8. T3 BALANS'!K74-'3. &amp; 8. T3 BALANS'!J74&gt;0,'3. &amp; 8. T3 BALANS'!K74-'3. &amp; 8. T3 BALANS'!J74,0)</f>
        <v>0</v>
      </c>
      <c r="M17" s="741" t="s">
        <v>691</v>
      </c>
      <c r="N17" s="742"/>
      <c r="O17" s="742"/>
      <c r="P17" s="150"/>
      <c r="Q17" s="150"/>
      <c r="R17" s="150"/>
      <c r="S17" s="150"/>
      <c r="T17" s="154"/>
      <c r="U17" s="1213"/>
    </row>
    <row r="18" spans="1:29" ht="12.75" customHeight="1">
      <c r="A18" s="52"/>
      <c r="B18" s="223">
        <v>4</v>
      </c>
      <c r="C18" s="768" t="s">
        <v>312</v>
      </c>
      <c r="D18" s="1351"/>
      <c r="E18" s="1352" t="s">
        <v>15</v>
      </c>
      <c r="F18" s="1320">
        <v>0</v>
      </c>
      <c r="G18" s="1320">
        <v>0</v>
      </c>
      <c r="H18" s="1090">
        <f>'4. T7 LÅN '!F44</f>
        <v>0</v>
      </c>
      <c r="I18" s="1090">
        <f>'4. T7 LÅN '!I45</f>
        <v>0</v>
      </c>
      <c r="J18" s="1090">
        <f>'4. T7 LÅN '!L46</f>
        <v>0</v>
      </c>
      <c r="K18" s="900">
        <f>'4. T7 LÅN '!O48</f>
        <v>0</v>
      </c>
      <c r="M18" s="738" t="s">
        <v>612</v>
      </c>
      <c r="N18" s="739"/>
      <c r="O18" s="740"/>
      <c r="P18" s="1090">
        <f>'2. &amp; 7. T2  RESULTATB.'!E20</f>
        <v>0</v>
      </c>
      <c r="Q18" s="1090">
        <f>'2. &amp; 7. T2  RESULTATB.'!G20</f>
        <v>10394</v>
      </c>
      <c r="R18" s="1090">
        <f>'2. &amp; 7. T2  RESULTATB.'!I20</f>
        <v>14749.080289707868</v>
      </c>
      <c r="S18" s="1090">
        <f>'2. &amp; 7. T2  RESULTATB.'!K20</f>
        <v>55297.905210485726</v>
      </c>
      <c r="T18" s="1099">
        <f>'2. &amp; 7. T2  RESULTATB.'!M20</f>
        <v>87244.159294325058</v>
      </c>
      <c r="U18" s="900">
        <f>'2. &amp; 7. T2  RESULTATB.'!O20</f>
        <v>89990.869670780667</v>
      </c>
    </row>
    <row r="19" spans="1:29" ht="12.75" customHeight="1">
      <c r="B19" s="223">
        <v>5</v>
      </c>
      <c r="C19" s="1351" t="s">
        <v>313</v>
      </c>
      <c r="D19" s="1351"/>
      <c r="E19" s="1352" t="s">
        <v>15</v>
      </c>
      <c r="F19" s="1320">
        <v>0</v>
      </c>
      <c r="G19" s="1320">
        <v>0</v>
      </c>
      <c r="H19" s="1090">
        <f>IF('3. &amp; 8. T3 BALANS'!H78-'3. &amp; 8. T3 BALANS'!G78&gt;0,'3. &amp; 8. T3 BALANS'!H78-'3. &amp; 8. T3 BALANS'!G78,0)+IF('3. &amp; 8. T3 BALANS'!H79-'3. &amp; 8. T3 BALANS'!G79&gt;0,'3. &amp; 8. T3 BALANS'!H79-'3. &amp; 8. T3 BALANS'!G79,0)</f>
        <v>0</v>
      </c>
      <c r="I19" s="1090">
        <f>IF('3. &amp; 8. T3 BALANS'!I78-'3. &amp; 8. T3 BALANS'!H78&gt;0,'3. &amp; 8. T3 BALANS'!I78-'3. &amp; 8. T3 BALANS'!H78,0)+IF('3. &amp; 8. T3 BALANS'!I79-'3. &amp; 8. T3 BALANS'!H79&gt;0,'3. &amp; 8. T3 BALANS'!I79-'3. &amp; 8. T3 BALANS'!H79,0)</f>
        <v>0</v>
      </c>
      <c r="J19" s="1090">
        <f>IF('3. &amp; 8. T3 BALANS'!J78-'3. &amp; 8. T3 BALANS'!I78&gt;0,'3. &amp; 8. T3 BALANS'!J78-'3. &amp; 8. T3 BALANS'!I78,0)+IF('3. &amp; 8. T3 BALANS'!J79-'3. &amp; 8. T3 BALANS'!I79&gt;0,'3. &amp; 8. T3 BALANS'!J79-'3. &amp; 8. T3 BALANS'!I79,0)</f>
        <v>0</v>
      </c>
      <c r="K19" s="900">
        <f>IF('3. &amp; 8. T3 BALANS'!K78-'3. &amp; 8. T3 BALANS'!J78&gt;0,'3. &amp; 8. T3 BALANS'!K78-'3. &amp; 8. T3 BALANS'!J78,0)+IF('3. &amp; 8. T3 BALANS'!K79-'3. &amp; 8. T3 BALANS'!J79&gt;0,'3. &amp; 8. T3 BALANS'!K79-'3. &amp; 8. T3 BALANS'!J79,0)</f>
        <v>0</v>
      </c>
      <c r="M19" s="692" t="s">
        <v>334</v>
      </c>
      <c r="N19" s="673"/>
      <c r="O19" s="674"/>
      <c r="P19" s="1214">
        <f>'2. &amp; 7. T2  RESULTATB.'!F20/100</f>
        <v>0</v>
      </c>
      <c r="Q19" s="1214">
        <f>'2. &amp; 7. T2  RESULTATB.'!H20/100</f>
        <v>5.8914218992665489E-2</v>
      </c>
      <c r="R19" s="1214">
        <f>'2. &amp; 7. T2  RESULTATB.'!J20/100</f>
        <v>7.6463685466887185E-2</v>
      </c>
      <c r="S19" s="1214">
        <f>'2. &amp; 7. T2  RESULTATB.'!L20/100</f>
        <v>0.25146416445563419</v>
      </c>
      <c r="T19" s="1215">
        <f>'2. &amp; 7. T2  RESULTATB.'!N20/100</f>
        <v>0.33646107583959556</v>
      </c>
      <c r="U19" s="1216">
        <f>'2. &amp; 7. T2  RESULTATB.'!P20/100</f>
        <v>0.33695261185984576</v>
      </c>
    </row>
    <row r="20" spans="1:29" ht="23.25" customHeight="1">
      <c r="A20" s="52"/>
      <c r="B20" s="223">
        <v>6</v>
      </c>
      <c r="C20" s="2226" t="s">
        <v>538</v>
      </c>
      <c r="D20" s="2226"/>
      <c r="E20" s="2226"/>
      <c r="F20" s="2226"/>
      <c r="G20" s="2226"/>
      <c r="H20" s="751">
        <f>'AT1 Avustus, alv-laskenta'!C50+'1. T1 INVESTERINGSP. '!D49+'3. &amp; 8. T3 BALANS'!H36+'3. &amp; 8. T3 BALANS'!H16+'3. &amp; 8. T3 BALANS'!H21+'3. &amp; 8. T3 BALANS'!H24+'3. &amp; 8. T3 BALANS'!H28+'3. &amp; 8. T3 BALANS'!H32</f>
        <v>0</v>
      </c>
      <c r="I20" s="1090">
        <f>'AT1 Avustus, alv-laskenta'!D50+'1. T1 INVESTERINGSP. '!E49+'3. &amp; 8. T3 BALANS'!I36+'3. &amp; 8. T3 BALANS'!I16+'3. &amp; 8. T3 BALANS'!I21+'3. &amp; 8. T3 BALANS'!I24+'3. &amp; 8. T3 BALANS'!I28+'3. &amp; 8. T3 BALANS'!I32</f>
        <v>0</v>
      </c>
      <c r="J20" s="1090">
        <f>'AT1 Avustus, alv-laskenta'!E50+'1. T1 INVESTERINGSP. '!F49+'3. &amp; 8. T3 BALANS'!J36+'3. &amp; 8. T3 BALANS'!J16+'3. &amp; 8. T3 BALANS'!J21+'3. &amp; 8. T3 BALANS'!J24+'3. &amp; 8. T3 BALANS'!J28+'3. &amp; 8. T3 BALANS'!J32</f>
        <v>0</v>
      </c>
      <c r="K20" s="900">
        <f>'AT1 Avustus, alv-laskenta'!F50+'1. T1 INVESTERINGSP. '!G49+'3. &amp; 8. T3 BALANS'!K36+'3. &amp; 8. T3 BALANS'!K16+'3. &amp; 8. T3 BALANS'!K21+'3. &amp; 8. T3 BALANS'!K24+'3. &amp; 8. T3 BALANS'!K28+'3. &amp; 8. T3 BALANS'!K32</f>
        <v>0</v>
      </c>
      <c r="M20" s="692" t="s">
        <v>614</v>
      </c>
      <c r="N20" s="673"/>
      <c r="O20" s="674"/>
      <c r="P20" s="1090">
        <f>'2. &amp; 7. T2  RESULTATB.'!E22</f>
        <v>0</v>
      </c>
      <c r="Q20" s="1090">
        <f>'2. &amp; 7. T2  RESULTATB.'!G22</f>
        <v>3726</v>
      </c>
      <c r="R20" s="1090">
        <f>'2. &amp; 7. T2  RESULTATB.'!I22</f>
        <v>-6926.119710292136</v>
      </c>
      <c r="S20" s="1090">
        <f>'2. &amp; 7. T2  RESULTATB.'!K22</f>
        <v>36234.205210485728</v>
      </c>
      <c r="T20" s="1090">
        <f>'2. &amp; 7. T2  RESULTATB.'!M22</f>
        <v>70390.30709432505</v>
      </c>
      <c r="U20" s="900">
        <f>'2. &amp; 7. T2  RESULTATB.'!O22</f>
        <v>75017.098164780662</v>
      </c>
      <c r="X20" s="2211"/>
      <c r="Y20" s="2211"/>
      <c r="Z20" s="2211"/>
      <c r="AA20" s="2211"/>
      <c r="AB20" s="2211"/>
      <c r="AC20" s="2211"/>
    </row>
    <row r="21" spans="1:29" ht="13.5" customHeight="1" thickBot="1">
      <c r="B21" s="398">
        <v>7</v>
      </c>
      <c r="C21" s="750" t="s">
        <v>314</v>
      </c>
      <c r="D21" s="1353"/>
      <c r="E21" s="1354"/>
      <c r="F21" s="1323"/>
      <c r="G21" s="1323"/>
      <c r="H21" s="1091">
        <f>SUM(H15:H20)</f>
        <v>235920.98328970786</v>
      </c>
      <c r="I21" s="1091">
        <f>SUM(I15:I20)</f>
        <v>41498.531168388581</v>
      </c>
      <c r="J21" s="1091">
        <f>SUM(J15:J20)</f>
        <v>67379.537875460053</v>
      </c>
      <c r="K21" s="1092">
        <f>SUM(K15:K20)</f>
        <v>69947.642037824538</v>
      </c>
      <c r="M21" s="694" t="s">
        <v>615</v>
      </c>
      <c r="N21" s="910"/>
      <c r="O21" s="910"/>
      <c r="P21" s="1217">
        <f>'2. &amp; 7. T2  RESULTATB.'!F22/100</f>
        <v>0</v>
      </c>
      <c r="Q21" s="1217">
        <f>'2. &amp; 7. T2  RESULTATB.'!H22/100</f>
        <v>2.1119336152267808E-2</v>
      </c>
      <c r="R21" s="1217">
        <f>'2. &amp; 7. T2  RESULTATB.'!J22/100</f>
        <v>-3.5907095807414253E-2</v>
      </c>
      <c r="S21" s="1217">
        <f>'2. &amp; 7. T2  RESULTATB.'!L22/100</f>
        <v>0.16477304345049609</v>
      </c>
      <c r="T21" s="1217">
        <f>'2. &amp; 7. T2  RESULTATB.'!N22/100</f>
        <v>0.27146342683798047</v>
      </c>
      <c r="U21" s="1218">
        <f>'2. &amp; 7. T2  RESULTATB.'!P22/100</f>
        <v>0.28088635272936585</v>
      </c>
    </row>
    <row r="22" spans="1:29" ht="13.5" customHeight="1" thickBot="1">
      <c r="B22" s="343"/>
      <c r="C22" s="344"/>
      <c r="D22" s="345"/>
      <c r="E22" s="345"/>
      <c r="F22" s="343"/>
      <c r="G22" s="1093"/>
      <c r="H22" s="1094"/>
      <c r="I22" s="1094"/>
      <c r="J22" s="1094"/>
      <c r="K22" s="1095"/>
      <c r="M22" s="190"/>
      <c r="N22" s="746" t="s">
        <v>336</v>
      </c>
      <c r="O22" s="675"/>
      <c r="P22" s="1210">
        <f>IF('2. &amp; 7. T2  RESULTATB.'!E14=0,0,IF(P21&gt;10%,"Bra",IF(P21&lt;5%,"Svag","Tillfredställande")))</f>
        <v>0</v>
      </c>
      <c r="Q22" s="1210" t="str">
        <f>IF(Q21=0,0,IF(Q21&gt;10%,"Bra",IF(Q21&lt;5%,"Svag","Tillfredställande")))</f>
        <v>Svag</v>
      </c>
      <c r="R22" s="1210" t="str">
        <f t="shared" ref="R22:U22" si="2">IF(R21=0,0,IF(R21&gt;10%,"Bra",IF(R21&lt;5%,"Svag","Tillfredställande")))</f>
        <v>Svag</v>
      </c>
      <c r="S22" s="1210" t="str">
        <f t="shared" si="2"/>
        <v>Bra</v>
      </c>
      <c r="T22" s="1210" t="str">
        <f t="shared" si="2"/>
        <v>Bra</v>
      </c>
      <c r="U22" s="1211" t="str">
        <f t="shared" si="2"/>
        <v>Bra</v>
      </c>
    </row>
    <row r="23" spans="1:29" ht="12.75" customHeight="1">
      <c r="A23" s="52"/>
      <c r="B23" s="170" t="s">
        <v>695</v>
      </c>
      <c r="C23" s="568"/>
      <c r="D23" s="567"/>
      <c r="E23" s="171"/>
      <c r="F23" s="1096"/>
      <c r="G23" s="1096"/>
      <c r="H23" s="1097"/>
      <c r="I23" s="1097"/>
      <c r="J23" s="1097"/>
      <c r="K23" s="1098"/>
      <c r="M23" s="692" t="s">
        <v>613</v>
      </c>
      <c r="N23" s="673"/>
      <c r="O23" s="674"/>
      <c r="P23" s="1090">
        <f>'2. &amp; 7. T2  RESULTATB.'!E31</f>
        <v>0</v>
      </c>
      <c r="Q23" s="1090">
        <f>'2. &amp; 7. T2  RESULTATB.'!G31</f>
        <v>2762</v>
      </c>
      <c r="R23" s="1090">
        <f>'2. &amp; 7. T2  RESULTATB.'!I31</f>
        <v>-15754.216710292136</v>
      </c>
      <c r="S23" s="1090">
        <f>'2. &amp; 7. T2  RESULTATB.'!K31</f>
        <v>22434.83116838858</v>
      </c>
      <c r="T23" s="1099">
        <f>'2. &amp; 7. T2  RESULTATB.'!M31</f>
        <v>50525.685675460045</v>
      </c>
      <c r="U23" s="900">
        <f>'2. &amp; 7. T2  RESULTATB.'!O31</f>
        <v>54973.870531824534</v>
      </c>
    </row>
    <row r="24" spans="1:29" ht="12.75" customHeight="1">
      <c r="B24" s="223">
        <v>8</v>
      </c>
      <c r="C24" s="765" t="s">
        <v>184</v>
      </c>
      <c r="D24" s="765"/>
      <c r="E24" s="446" t="s">
        <v>15</v>
      </c>
      <c r="F24" s="1318"/>
      <c r="G24" s="1318"/>
      <c r="H24" s="1088">
        <f>'AT1 Avustus, alv-laskenta'!C4</f>
        <v>10600</v>
      </c>
      <c r="I24" s="1088">
        <f>'AT1 Avustus, alv-laskenta'!D4</f>
        <v>0</v>
      </c>
      <c r="J24" s="1088">
        <f>'AT1 Avustus, alv-laskenta'!E4</f>
        <v>0</v>
      </c>
      <c r="K24" s="1089">
        <f>'AT1 Avustus, alv-laskenta'!F4</f>
        <v>0</v>
      </c>
      <c r="M24" s="692" t="s">
        <v>335</v>
      </c>
      <c r="N24" s="673"/>
      <c r="O24" s="674"/>
      <c r="P24" s="1214">
        <f>'2. &amp; 7. T2  RESULTATB.'!F31/100</f>
        <v>0</v>
      </c>
      <c r="Q24" s="1214">
        <f>'2. &amp; 7. T2  RESULTATB.'!H31/100</f>
        <v>1.5655288902996157E-2</v>
      </c>
      <c r="R24" s="1214">
        <f>'2. &amp; 7. T2  RESULTATB.'!J31/100</f>
        <v>-8.1674616155799351E-2</v>
      </c>
      <c r="S24" s="1214">
        <f>'2. &amp; 7. T2  RESULTATB.'!L31/100</f>
        <v>0.10202115347747907</v>
      </c>
      <c r="T24" s="1215">
        <f>'2. &amp; 7. T2  RESULTATB.'!N31/100</f>
        <v>0.19485460914979919</v>
      </c>
      <c r="U24" s="1216">
        <f>'2. &amp; 7. T2  RESULTATB.'!P31/100</f>
        <v>0.20583854037092114</v>
      </c>
    </row>
    <row r="25" spans="1:29" ht="12.75" customHeight="1">
      <c r="A25" s="52"/>
      <c r="B25" s="223">
        <f>B24+1</f>
        <v>9</v>
      </c>
      <c r="C25" s="665" t="s">
        <v>187</v>
      </c>
      <c r="D25" s="665"/>
      <c r="E25" s="666" t="s">
        <v>15</v>
      </c>
      <c r="F25" s="1319"/>
      <c r="G25" s="1319"/>
      <c r="H25" s="1090">
        <f>'AT1 Avustus, alv-laskenta'!C10+'AT1 Avustus, alv-laskenta'!C15</f>
        <v>189400</v>
      </c>
      <c r="I25" s="1090">
        <f>'AT1 Avustus, alv-laskenta'!D10+'AT1 Avustus, alv-laskenta'!D15</f>
        <v>0</v>
      </c>
      <c r="J25" s="1090">
        <f>'AT1 Avustus, alv-laskenta'!E10+'AT1 Avustus, alv-laskenta'!E15</f>
        <v>0</v>
      </c>
      <c r="K25" s="900">
        <f>'AT1 Avustus, alv-laskenta'!F10+'AT1 Avustus, alv-laskenta'!F15</f>
        <v>0</v>
      </c>
      <c r="M25" s="2199" t="s">
        <v>647</v>
      </c>
      <c r="N25" s="2200"/>
      <c r="O25" s="2201"/>
      <c r="P25" s="1214">
        <f>IF(P16=0,0,(P23-'2. &amp; 7. T2  RESULTATB.'!E27-'2. &amp; 7. T2  RESULTATB.'!E25)/'9. T4 FINANSIERINGSB. '!P16)</f>
        <v>0</v>
      </c>
      <c r="Q25" s="1214">
        <f>IF(Q16=0,0,(Q23-'2. &amp; 7. T2  RESULTATB.'!G27-'2. &amp; 7. T2  RESULTATB.'!G25)/'9. T4 FINANSIERINGSB. '!Q16)</f>
        <v>0.40565884329773971</v>
      </c>
      <c r="R25" s="1214">
        <f>IF(R16=0,0,(R23-'2. &amp; 7. T2  RESULTATB.'!I27-'2. &amp; 7. T2  RESULTATB.'!I25)/'9. T4 FINANSIERINGSB. '!R16)</f>
        <v>-5.9322754257677718E-2</v>
      </c>
      <c r="S25" s="1214">
        <f>IF(S16=0,0,(S23-'2. &amp; 7. T2  RESULTATB.'!K27-'2. &amp; 7. T2  RESULTATB.'!K25)/'9. T4 FINANSIERINGSB. '!S16)</f>
        <v>0.16966179835589743</v>
      </c>
      <c r="T25" s="1215">
        <f>IF(T16=0,0,(T23-'2. &amp; 7. T2  RESULTATB.'!M27-'2. &amp; 7. T2  RESULTATB.'!M25)/'9. T4 FINANSIERINGSB. '!T16)</f>
        <v>0.31366114662026939</v>
      </c>
      <c r="U25" s="1216">
        <f>IF(U16=0,0,(U23-'2. &amp; 7. T2  RESULTATB.'!O27-'2. &amp; 7. T2  RESULTATB.'!O25)/'9. T4 FINANSIERINGSB. '!U16)</f>
        <v>0.30086110390770854</v>
      </c>
    </row>
    <row r="26" spans="1:29" ht="12.75" customHeight="1">
      <c r="A26" s="52"/>
      <c r="B26" s="223">
        <f t="shared" ref="B26:B43" si="3">B25+1</f>
        <v>10</v>
      </c>
      <c r="C26" s="665" t="s">
        <v>316</v>
      </c>
      <c r="D26" s="665"/>
      <c r="E26" s="666" t="s">
        <v>15</v>
      </c>
      <c r="F26" s="1319"/>
      <c r="G26" s="1319"/>
      <c r="H26" s="1090">
        <f>'AT1 Avustus, alv-laskenta'!C23+'AT1 Avustus, alv-laskenta'!C30</f>
        <v>30000</v>
      </c>
      <c r="I26" s="1090">
        <f>'AT1 Avustus, alv-laskenta'!D23+'AT1 Avustus, alv-laskenta'!D30</f>
        <v>0</v>
      </c>
      <c r="J26" s="1090">
        <f>'AT1 Avustus, alv-laskenta'!E23+'AT1 Avustus, alv-laskenta'!E30</f>
        <v>0</v>
      </c>
      <c r="K26" s="900">
        <f>'AT1 Avustus, alv-laskenta'!F23+'AT1 Avustus, alv-laskenta'!F30</f>
        <v>0</v>
      </c>
      <c r="M26" s="184" t="s">
        <v>690</v>
      </c>
      <c r="N26" s="994"/>
      <c r="O26" s="147"/>
      <c r="P26" s="150"/>
      <c r="Q26" s="150"/>
      <c r="R26" s="150"/>
      <c r="S26" s="154"/>
      <c r="T26" s="154"/>
      <c r="U26" s="1213"/>
    </row>
    <row r="27" spans="1:29" ht="12.75" customHeight="1">
      <c r="A27" s="2"/>
      <c r="B27" s="223">
        <f t="shared" si="3"/>
        <v>11</v>
      </c>
      <c r="C27" s="665" t="s">
        <v>317</v>
      </c>
      <c r="D27" s="665"/>
      <c r="E27" s="666" t="s">
        <v>15</v>
      </c>
      <c r="F27" s="1319"/>
      <c r="G27" s="1319"/>
      <c r="H27" s="1090">
        <f>'AT1 Avustus, alv-laskenta'!C36+'AT1 Avustus, alv-laskenta'!C43</f>
        <v>0</v>
      </c>
      <c r="I27" s="1090">
        <f>'AT1 Avustus, alv-laskenta'!D36+'AT1 Avustus, alv-laskenta'!D43</f>
        <v>0</v>
      </c>
      <c r="J27" s="1090">
        <f>'AT1 Avustus, alv-laskenta'!E36+'AT1 Avustus, alv-laskenta'!E43</f>
        <v>0</v>
      </c>
      <c r="K27" s="900">
        <f>'AT1 Avustus, alv-laskenta'!F36+'AT1 Avustus, alv-laskenta'!F43</f>
        <v>0</v>
      </c>
      <c r="M27" s="2202" t="s">
        <v>103</v>
      </c>
      <c r="N27" s="2203"/>
      <c r="O27" s="2204"/>
      <c r="P27" s="1219">
        <f>IF('3. &amp; 8. T3 BALANS'!F75=0,0,('3. &amp; 8. T3 BALANS'!F41-'3. &amp; 8. T3 BALANS'!F48+'3. &amp; 8. T3 BALANS'!F49)/'3. &amp; 8. T3 BALANS'!F75)</f>
        <v>0</v>
      </c>
      <c r="Q27" s="1219">
        <f>IF('3. &amp; 8. T3 BALANS'!G75=0,0,('3. &amp; 8. T3 BALANS'!G41-'3. &amp; 8. T3 BALANS'!G48+'3. &amp; 8. T3 BALANS'!G49)/'3. &amp; 8. T3 BALANS'!G75)</f>
        <v>0.79273400998872245</v>
      </c>
      <c r="R27" s="1219">
        <f>IF('3. &amp; 8. T3 BALANS'!H75=0,0,('3. &amp; 8. T3 BALANS'!H41-'3. &amp; 8. T3 BALANS'!H48+'3. &amp; 8. T3 BALANS'!H49)/'3. &amp; 8. T3 BALANS'!H75)</f>
        <v>0.2475250739214159</v>
      </c>
      <c r="S27" s="1219">
        <f>IF('3. &amp; 8. T3 BALANS'!I75=0,0,('3. &amp; 8. T3 BALANS'!I41-'3. &amp; 8. T3 BALANS'!I48+'3. &amp; 8. T3 BALANS'!I49)/'3. &amp; 8. T3 BALANS'!I75)</f>
        <v>0.65448598223694099</v>
      </c>
      <c r="T27" s="1219">
        <f>IF('3. &amp; 8. T3 BALANS'!J75=0,0,('3. &amp; 8. T3 BALANS'!J41-'3. &amp; 8. T3 BALANS'!J48+'3. &amp; 8. T3 BALANS'!J49)/'3. &amp; 8. T3 BALANS'!J75)</f>
        <v>1.6745037500231954</v>
      </c>
      <c r="U27" s="1221">
        <f>IF('3. &amp; 8. T3 BALANS'!K75=0,0,('3. &amp; 8. T3 BALANS'!K41-'3. &amp; 8. T3 BALANS'!K48+'3. &amp; 8. T3 BALANS'!K49)/'3. &amp; 8. T3 BALANS'!K75)</f>
        <v>2.6367789310754803</v>
      </c>
    </row>
    <row r="28" spans="1:29" ht="12.75" customHeight="1">
      <c r="A28" s="52"/>
      <c r="B28" s="223">
        <f t="shared" si="3"/>
        <v>12</v>
      </c>
      <c r="C28" s="665" t="s">
        <v>548</v>
      </c>
      <c r="D28" s="665"/>
      <c r="E28" s="667" t="s">
        <v>18</v>
      </c>
      <c r="F28" s="1319"/>
      <c r="G28" s="1319"/>
      <c r="H28" s="1090">
        <f>H61</f>
        <v>-691.73866106593869</v>
      </c>
      <c r="I28" s="1090">
        <f>I61</f>
        <v>1090.4287370080519</v>
      </c>
      <c r="J28" s="1090">
        <f>J61</f>
        <v>1151.9759709465889</v>
      </c>
      <c r="K28" s="900">
        <f>K61</f>
        <v>193.02005419434772</v>
      </c>
      <c r="M28" s="694"/>
      <c r="N28" s="746" t="s">
        <v>336</v>
      </c>
      <c r="O28" s="675"/>
      <c r="P28" s="1210">
        <f>IF('3. &amp; 8. T3 BALANS'!F75=0,0,IF(P27&gt;1,"Bra",IF(P27&lt;0.5,"Svag","Tillfredställande")))</f>
        <v>0</v>
      </c>
      <c r="Q28" s="1210" t="str">
        <f>IF('3. &amp; 8. T3 BALANS'!G75=0,0,IF(Q27&gt;1,"Bra",IF(Q27&lt;0.5,"Svag","Tillfredställande")))</f>
        <v>Tillfredställande</v>
      </c>
      <c r="R28" s="1210" t="str">
        <f>IF('3. &amp; 8. T3 BALANS'!H75=0,0,IF(R27&gt;1,"Bra",IF(R27&lt;0.5,"Svag","Tillfredställande")))</f>
        <v>Svag</v>
      </c>
      <c r="S28" s="1210" t="str">
        <f>IF('3. &amp; 8. T3 BALANS'!I75=0,0,IF(S27&gt;1,"Bra",IF(S27&lt;0.5,"Svag","Tillfredställande")))</f>
        <v>Tillfredställande</v>
      </c>
      <c r="T28" s="1210" t="str">
        <f>IF('3. &amp; 8. T3 BALANS'!J75=0,0,IF(T27&gt;1,"Bra",IF(T27&lt;0.5,"Svag","Tillfredställande")))</f>
        <v>Bra</v>
      </c>
      <c r="U28" s="1211" t="str">
        <f>IF('3. &amp; 8. T3 BALANS'!K75=0,0,IF(U27&gt;1,"Bra",IF(U27&lt;0.5,"Svag","Tillfredställande")))</f>
        <v>Bra</v>
      </c>
    </row>
    <row r="29" spans="1:29" ht="12.75" customHeight="1">
      <c r="B29" s="223">
        <f t="shared" si="3"/>
        <v>13</v>
      </c>
      <c r="C29" s="665" t="s">
        <v>318</v>
      </c>
      <c r="D29" s="665"/>
      <c r="E29" s="666" t="s">
        <v>15</v>
      </c>
      <c r="F29" s="1320"/>
      <c r="G29" s="1320"/>
      <c r="H29" s="1090">
        <f>'3. &amp; 8. T3 BALANS'!H48-'3. &amp; 8. T3 BALANS'!G48</f>
        <v>0</v>
      </c>
      <c r="I29" s="1090">
        <f>'3. &amp; 8. T3 BALANS'!I48-'3. &amp; 8. T3 BALANS'!H48</f>
        <v>0</v>
      </c>
      <c r="J29" s="1090">
        <f>'3. &amp; 8. T3 BALANS'!J48-'3. &amp; 8. T3 BALANS'!I48</f>
        <v>0</v>
      </c>
      <c r="K29" s="900">
        <f>'3. &amp; 8. T3 BALANS'!K48-'3. &amp; 8. T3 BALANS'!J48</f>
        <v>0</v>
      </c>
      <c r="M29" s="2202" t="s">
        <v>104</v>
      </c>
      <c r="N29" s="2203"/>
      <c r="O29" s="2204"/>
      <c r="P29" s="1222">
        <f>IF('3. &amp; 8. T3 BALANS'!F75=0,0,'3. &amp; 8. T3 BALANS'!F38/'3. &amp; 8. T3 BALANS'!F75)</f>
        <v>0</v>
      </c>
      <c r="Q29" s="1222">
        <f>IF('3. &amp; 8. T3 BALANS'!G75=0,0,'3. &amp; 8. T3 BALANS'!G38/'3. &amp; 8. T3 BALANS'!G75)</f>
        <v>0.79273400998872245</v>
      </c>
      <c r="R29" s="1222">
        <f>IF('3. &amp; 8. T3 BALANS'!H75=0,0,'3. &amp; 8. T3 BALANS'!H38/'3. &amp; 8. T3 BALANS'!H75)</f>
        <v>0.2475250739214159</v>
      </c>
      <c r="S29" s="1222">
        <f>IF('3. &amp; 8. T3 BALANS'!I75=0,0,'3. &amp; 8. T3 BALANS'!I38/'3. &amp; 8. T3 BALANS'!I75)</f>
        <v>0.65448598223694099</v>
      </c>
      <c r="T29" s="1222">
        <f>IF('3. &amp; 8. T3 BALANS'!J75=0,0,'3. &amp; 8. T3 BALANS'!J38/'3. &amp; 8. T3 BALANS'!J75)</f>
        <v>1.6745037500231954</v>
      </c>
      <c r="U29" s="1223">
        <f>IF('3. &amp; 8. T3 BALANS'!K75=0,0,'3. &amp; 8. T3 BALANS'!K38/'3. &amp; 8. T3 BALANS'!K75)</f>
        <v>2.6367789310754803</v>
      </c>
    </row>
    <row r="30" spans="1:29" ht="23.25" customHeight="1">
      <c r="A30" s="52"/>
      <c r="B30" s="223">
        <f t="shared" si="3"/>
        <v>14</v>
      </c>
      <c r="C30" s="767" t="s">
        <v>570</v>
      </c>
      <c r="D30" s="767"/>
      <c r="E30" s="666" t="s">
        <v>15</v>
      </c>
      <c r="F30" s="1319"/>
      <c r="G30" s="1319"/>
      <c r="H30" s="1099">
        <f>'4. T7 LÅN '!F18+'4. T7 LÅN '!G41</f>
        <v>16936</v>
      </c>
      <c r="I30" s="1090">
        <f>'4. T7 LÅN '!I18+'4. T7 LÅN '!J41</f>
        <v>25415</v>
      </c>
      <c r="J30" s="1090">
        <f>'4. T7 LÅN '!L18+'4. T7 LÅN '!M41</f>
        <v>24670</v>
      </c>
      <c r="K30" s="900">
        <f>'4. T7 LÅN '!O18+'4. T7 LÅN '!P41</f>
        <v>24670</v>
      </c>
      <c r="M30" s="695"/>
      <c r="N30" s="746" t="s">
        <v>336</v>
      </c>
      <c r="O30" s="675"/>
      <c r="P30" s="1210">
        <f>IF('3. &amp; 8. T3 BALANS'!F75=0,0,IF(P29&gt;2,"Bra",IF(P29&lt;1,"Svag","Tillfredställande")))</f>
        <v>0</v>
      </c>
      <c r="Q30" s="1210" t="str">
        <f>IF('3. &amp; 8. T3 BALANS'!G75=0,0,IF(Q29&gt;2,"Bra",IF(Q29&lt;1,"Svag","Tillfredställande")))</f>
        <v>Svag</v>
      </c>
      <c r="R30" s="1210" t="str">
        <f>IF('3. &amp; 8. T3 BALANS'!H75=0,0,IF(R29&gt;2,"Bra",IF(R29&lt;1,"Svag","Tillfredställande")))</f>
        <v>Svag</v>
      </c>
      <c r="S30" s="1210" t="str">
        <f>IF('3. &amp; 8. T3 BALANS'!I75=0,0,IF(S29&gt;2,"Bra",IF(S29&lt;1,"Svag","Tillfredställande")))</f>
        <v>Svag</v>
      </c>
      <c r="T30" s="1210" t="str">
        <f>IF('3. &amp; 8. T3 BALANS'!J75=0,0,IF(T29&gt;2,"Bra",IF(T29&lt;1,"Svag","Tillfredställande")))</f>
        <v>Tillfredställande</v>
      </c>
      <c r="U30" s="1211" t="str">
        <f>IF('3. &amp; 8. T3 BALANS'!K75=0,0,IF(U29&gt;2,"Bra",IF(U29&lt;1,"Svag","Tillfredställande")))</f>
        <v>Bra</v>
      </c>
    </row>
    <row r="31" spans="1:29" ht="12.75" customHeight="1">
      <c r="B31" s="223">
        <f t="shared" si="3"/>
        <v>15</v>
      </c>
      <c r="C31" s="767" t="s">
        <v>546</v>
      </c>
      <c r="D31" s="767"/>
      <c r="E31" s="666" t="s">
        <v>15</v>
      </c>
      <c r="F31" s="1319"/>
      <c r="G31" s="1319"/>
      <c r="H31" s="1090">
        <f>-IF('3. &amp; 8. T3 BALANS'!H61-'3. &amp; 8. T3 BALANS'!G61&lt;0,'3. &amp; 8. T3 BALANS'!H61-'3. &amp; 8. T3 BALANS'!G61,0)</f>
        <v>0</v>
      </c>
      <c r="I31" s="1090">
        <f>-IF('3. &amp; 8. T3 BALANS'!I61-'3. &amp; 8. T3 BALANS'!H61&lt;0,'3. &amp; 8. T3 BALANS'!I61-'3. &amp; 8. T3 BALANS'!H61,0)</f>
        <v>0</v>
      </c>
      <c r="J31" s="1090">
        <f>-IF('3. &amp; 8. T3 BALANS'!J61-'3. &amp; 8. T3 BALANS'!I61&lt;0,'3. &amp; 8. T3 BALANS'!J61-'3. &amp; 8. T3 BALANS'!I61,0)</f>
        <v>0</v>
      </c>
      <c r="K31" s="900">
        <f>-IF('3. &amp; 8. T3 BALANS'!K61-'3. &amp; 8. T3 BALANS'!J61&lt;0,'3. &amp; 8. T3 BALANS'!K61-'3. &amp; 8. T3 BALANS'!J61,0)</f>
        <v>0</v>
      </c>
      <c r="M31" s="2202" t="s">
        <v>337</v>
      </c>
      <c r="N31" s="2203"/>
      <c r="O31" s="2204"/>
      <c r="P31" s="1328">
        <v>0</v>
      </c>
      <c r="Q31" s="1357">
        <f>IF(G15=0,0,('3. &amp; 8. T3 BALANS'!G67)/'9. T4 FINANSIERINGSB. '!G15)</f>
        <v>7.9003181336161188E-2</v>
      </c>
      <c r="R31" s="1219">
        <f>IF(H15=0,0,('AT2 Lainat, sotum, alv-osto'!N13+'AT2 Lainat, sotum, alv-osto'!N27)/'9. T4 FINANSIERINGSB. '!H15)</f>
        <v>37.619596121337793</v>
      </c>
      <c r="S31" s="1219">
        <f>IF(I15=0,0,('AT2 Lainat, sotum, alv-osto'!T13+'AT2 Lainat, sotum, alv-osto'!T27)/'9. T4 FINANSIERINGSB. '!I15)</f>
        <v>4.7551080591092276</v>
      </c>
      <c r="T31" s="1220">
        <f>IF(J15=0,0,('AT2 Lainat, sotum, alv-osto'!Z13+'AT2 Lainat, sotum, alv-osto'!Z27)/'9. T4 FINANSIERINGSB. '!J15)</f>
        <v>2.5624990233553322</v>
      </c>
      <c r="U31" s="1221">
        <f>IF(K15=0,0,('AT2 Lainat, sotum, alv-osto'!AF13+'AT2 Lainat, sotum, alv-osto'!AF27)/'9. T4 FINANSIERINGSB. '!K15)</f>
        <v>2.1157253581182003</v>
      </c>
    </row>
    <row r="32" spans="1:29" ht="12.75" customHeight="1">
      <c r="A32" s="52"/>
      <c r="B32" s="223">
        <f t="shared" si="3"/>
        <v>16</v>
      </c>
      <c r="C32" s="767" t="s">
        <v>547</v>
      </c>
      <c r="D32" s="767"/>
      <c r="E32" s="666" t="s">
        <v>15</v>
      </c>
      <c r="F32" s="1319"/>
      <c r="G32" s="1319"/>
      <c r="H32" s="1090">
        <f>-IF('3. &amp; 8. T3 BALANS'!H69-'3. &amp; 8. T3 BALANS'!G69&lt;0,'3. &amp; 8. T3 BALANS'!H69-'3. &amp; 8. T3 BALANS'!G69+'3. &amp; 8. T3 BALANS'!H70,0)</f>
        <v>0</v>
      </c>
      <c r="I32" s="1090">
        <f>-IF('3. &amp; 8. T3 BALANS'!I69-'3. &amp; 8. T3 BALANS'!H69&lt;0,'3. &amp; 8. T3 BALANS'!I69-'3. &amp; 8. T3 BALANS'!H69+'3. &amp; 8. T3 BALANS'!I70,0)</f>
        <v>0</v>
      </c>
      <c r="J32" s="1090">
        <f>-IF('3. &amp; 8. T3 BALANS'!J69-'3. &amp; 8. T3 BALANS'!I69&lt;0,'3. &amp; 8. T3 BALANS'!J69-'3. &amp; 8. T3 BALANS'!I69+'3. &amp; 8. T3 BALANS'!J70,0)</f>
        <v>0</v>
      </c>
      <c r="K32" s="900">
        <f>-IF('3. &amp; 8. T3 BALANS'!K69-'3. &amp; 8. T3 BALANS'!J69&lt;0,'3. &amp; 8. T3 BALANS'!K69-'3. &amp; 8. T3 BALANS'!J69+'3. &amp; 8. T3 BALANS'!K70,0)</f>
        <v>0</v>
      </c>
      <c r="M32" s="2205" t="s">
        <v>339</v>
      </c>
      <c r="N32" s="2206"/>
      <c r="O32" s="2207"/>
      <c r="P32" s="1326"/>
      <c r="Q32" s="1222">
        <f>IF('2. &amp; 7. T2  RESULTATB.'!G25+'3. &amp; 8. T3 BALANS'!G77=0,0,(G15-'2. &amp; 7. T2  RESULTATB.'!G25)/(-'2. &amp; 7. T2  RESULTATB.'!G25+'3. &amp; 8. T3 BALANS'!G77))</f>
        <v>1.0536257056013896</v>
      </c>
      <c r="R32" s="1222">
        <f>IF(-'2. &amp; 7. T2  RESULTATB.'!I25+'4. T7 LÅN '!F18+'4. T7 LÅN '!G41=0,0,(H15-'2. &amp; 7. T2  RESULTATB.'!I25)/(-'2. &amp; 7. T2  RESULTATB.'!I25+'4. T7 LÅN '!F18+'4. T7 LÅN '!G41))</f>
        <v>0.57246641672354626</v>
      </c>
      <c r="S32" s="1222">
        <f>IF(-'2. &amp; 7. T2  RESULTATB.'!K25+'4. T7 LÅN '!I18+'4. T7 LÅN '!J41=0,0,(I15-'2. &amp; 7. T2  RESULTATB.'!K25)/(-'2. &amp; 7. T2  RESULTATB.'!K25+'4. T7 LÅN '!I18+'4. T7 LÅN '!J41))</f>
        <v>1.4785958132399348</v>
      </c>
      <c r="T32" s="1224">
        <f>IF(-'2. &amp; 7. T2  RESULTATB.'!M25+'4. T7 LÅN '!L18+'4. T7 LÅN '!M41=0,0,(J15-'2. &amp; 7. T2  RESULTATB.'!M25)/(-'2. &amp; 7. T2  RESULTATB.'!M25+'4. T7 LÅN '!L18+'4. T7 LÅN '!M41))</f>
        <v>2.3387226947597748</v>
      </c>
      <c r="U32" s="1223">
        <f>IF(-'2. &amp; 7. T2  RESULTATB.'!O25+'4. T7 LÅN '!O18+'4. T7 LÅN '!P41=0,0,(K15-'2. &amp; 7. T2  RESULTATB.'!O25)/(-'2. &amp; 7. T2  RESULTATB.'!O25+'4. T7 LÅN '!O18+'4. T7 LÅN '!P41))</f>
        <v>2.461995250780908</v>
      </c>
    </row>
    <row r="33" spans="1:24" ht="12.75" customHeight="1">
      <c r="A33" s="2"/>
      <c r="B33" s="223">
        <f t="shared" si="3"/>
        <v>17</v>
      </c>
      <c r="C33" s="256" t="s">
        <v>550</v>
      </c>
      <c r="D33" s="767"/>
      <c r="E33" s="666" t="s">
        <v>15</v>
      </c>
      <c r="F33" s="1319"/>
      <c r="G33" s="1319"/>
      <c r="H33" s="1090">
        <f>-IF('3. &amp; 8. T3 BALANS'!H72-'3. &amp; 8. T3 BALANS'!G72&lt;0,'3. &amp; 8. T3 BALANS'!H72-'3. &amp; 8. T3 BALANS'!G72,0)</f>
        <v>0</v>
      </c>
      <c r="I33" s="1090">
        <f>-IF('3. &amp; 8. T3 BALANS'!I72-'3. &amp; 8. T3 BALANS'!H72&lt;0,'3. &amp; 8. T3 BALANS'!I72-'3. &amp; 8. T3 BALANS'!H72,0)</f>
        <v>0</v>
      </c>
      <c r="J33" s="1090">
        <f>-IF('3. &amp; 8. T3 BALANS'!J72-'3. &amp; 8. T3 BALANS'!I72&lt;0,'3. &amp; 8. T3 BALANS'!J72-'3. &amp; 8. T3 BALANS'!I72,0)</f>
        <v>0</v>
      </c>
      <c r="K33" s="900">
        <f>-IF('3. &amp; 8. T3 BALANS'!K72-'3. &amp; 8. T3 BALANS'!J72&lt;0,'3. &amp; 8. T3 BALANS'!K72-'3. &amp; 8. T3 BALANS'!J72,0)</f>
        <v>0</v>
      </c>
      <c r="M33" s="696"/>
      <c r="N33" s="746" t="s">
        <v>336</v>
      </c>
      <c r="O33" s="677"/>
      <c r="P33" s="1329"/>
      <c r="Q33" s="1023" t="str">
        <f>IF('2. &amp; 7. T2  RESULTATB.'!G25+'3. &amp; 8. T3 BALANS'!G77=0,0,IF(Q32&gt;2,"Bra",IF(Q32&lt;1,"Svag","Tillfredställande")))</f>
        <v>Tillfredställande</v>
      </c>
      <c r="R33" s="1023" t="str">
        <f>IF('2. &amp; 7. T2  RESULTATB.'!I25+'4. T7 LÅN '!F18+'4. T7 LÅN '!G41=0,0,IF(R32&gt;2,"Bra",IF(R32&lt;1,"Svag","Tillfredställande")))</f>
        <v>Svag</v>
      </c>
      <c r="S33" s="1023" t="str">
        <f>IF('2. &amp; 7. T2  RESULTATB.'!K25+'4. T7 LÅN '!I18+'4. T7 LÅN '!J41=0,0,IF(S32&gt;2,"Bra",IF(S32&lt;1,"Svag","Tillfredställande")))</f>
        <v>Tillfredställande</v>
      </c>
      <c r="T33" s="1024" t="str">
        <f>IF('2. &amp; 7. T2  RESULTATB.'!M25+'4. T7 LÅN '!L18+'4. T7 LÅN '!M41=0,0,IF(T32&gt;2,"Bra",IF(T32&lt;1,"Svag","Tillfredställande")))</f>
        <v>Bra</v>
      </c>
      <c r="U33" s="1025" t="str">
        <f>IF('2. &amp; 7. T2  RESULTATB.'!O25+'4. T7 LÅN '!O18+'4. T7 LÅN '!P41=0,0,IF(U32&gt;2,"Bra",IF(U32&lt;1,"Svag","Tillfredställande")))</f>
        <v>Bra</v>
      </c>
    </row>
    <row r="34" spans="1:24" ht="12.75" customHeight="1">
      <c r="A34" s="52"/>
      <c r="B34" s="223">
        <f t="shared" si="3"/>
        <v>18</v>
      </c>
      <c r="C34" s="185" t="s">
        <v>549</v>
      </c>
      <c r="D34" s="767"/>
      <c r="E34" s="666" t="s">
        <v>15</v>
      </c>
      <c r="F34" s="1319"/>
      <c r="G34" s="1319"/>
      <c r="H34" s="1090">
        <f>-IF('3. &amp; 8. T3 BALANS'!H74-'3. &amp; 8. T3 BALANS'!G74&lt;0,'3. &amp; 8. T3 BALANS'!H74-'3. &amp; 8. T3 BALANS'!G74,0)</f>
        <v>0</v>
      </c>
      <c r="I34" s="1090">
        <f>-IF('3. &amp; 8. T3 BALANS'!I74-'3. &amp; 8. T3 BALANS'!H74&lt;0,'3. &amp; 8. T3 BALANS'!I74-'3. &amp; 8. T3 BALANS'!H74,0)</f>
        <v>0</v>
      </c>
      <c r="J34" s="1090">
        <f>-IF('3. &amp; 8. T3 BALANS'!J74-'3. &amp; 8. T3 BALANS'!I74&lt;0,'3. &amp; 8. T3 BALANS'!J74-'3. &amp; 8. T3 BALANS'!I74,0)</f>
        <v>0</v>
      </c>
      <c r="K34" s="900">
        <f>-IF('3. &amp; 8. T3 BALANS'!K74-'3. &amp; 8. T3 BALANS'!J74&lt;0,'3. &amp; 8. T3 BALANS'!K74-'3. &amp; 8. T3 BALANS'!J74,0)</f>
        <v>0</v>
      </c>
      <c r="M34" s="184" t="s">
        <v>689</v>
      </c>
      <c r="N34" s="994"/>
      <c r="O34" s="994"/>
      <c r="P34" s="154"/>
      <c r="Q34" s="154"/>
      <c r="R34" s="154"/>
      <c r="S34" s="154"/>
      <c r="T34" s="154"/>
      <c r="U34" s="1225"/>
    </row>
    <row r="35" spans="1:24" ht="12.75" customHeight="1">
      <c r="B35" s="223">
        <f t="shared" si="3"/>
        <v>19</v>
      </c>
      <c r="C35" s="665" t="s">
        <v>319</v>
      </c>
      <c r="D35" s="665"/>
      <c r="E35" s="667" t="s">
        <v>18</v>
      </c>
      <c r="F35" s="1319"/>
      <c r="G35" s="1319"/>
      <c r="H35" s="498"/>
      <c r="I35" s="498">
        <v>0</v>
      </c>
      <c r="J35" s="498">
        <v>0</v>
      </c>
      <c r="K35" s="1100">
        <v>0</v>
      </c>
      <c r="M35" s="2208" t="s">
        <v>526</v>
      </c>
      <c r="N35" s="2209"/>
      <c r="O35" s="2210"/>
      <c r="P35" s="1214">
        <f>IF('3. &amp; 8. T3 BALANS'!F98=0,0,IF('3. &amp; 8. T3 BALANS'!F98&lt;0,0,'3. &amp; 8. T3 BALANS'!F56/('3. &amp; 8. T3 BALANS'!F98-'3. &amp; 8. T3 BALANS'!F96)))</f>
        <v>0</v>
      </c>
      <c r="Q35" s="1214">
        <f>IF('3. &amp; 8. T3 BALANS'!G98=0,0,IF('3. &amp; 8. T3 BALANS'!G98&lt;0,0,'3. &amp; 8. T3 BALANS'!G56/('3. &amp; 8. T3 BALANS'!G98-'3. &amp; 8. T3 BALANS'!G96)))</f>
        <v>0.39987230355269759</v>
      </c>
      <c r="R35" s="1214">
        <f>IF('3. &amp; 8. T3 BALANS'!H98=0,0,IF('3. &amp; 8. T3 BALANS'!H98&lt;0,0,'3. &amp; 8. T3 BALANS'!H56/('3. &amp; 8. T3 BALANS'!H98-'3. &amp; 8. T3 BALANS'!H96)))</f>
        <v>-3.3347457325875622E-2</v>
      </c>
      <c r="S35" s="1214">
        <f>IF('3. &amp; 8. T3 BALANS'!I98=0,0,IF('3. &amp; 8. T3 BALANS'!I98&lt;0,0,'3. &amp; 8. T3 BALANS'!I56/('3. &amp; 8. T3 BALANS'!I98-'3. &amp; 8. T3 BALANS'!I96)))</f>
        <v>6.4750837355842611E-2</v>
      </c>
      <c r="T35" s="1214">
        <f>IF('3. &amp; 8. T3 BALANS'!J98=0,0,IF('3. &amp; 8. T3 BALANS'!J98&lt;0,0,'3. &amp; 8. T3 BALANS'!J56/('3. &amp; 8. T3 BALANS'!J98-'3. &amp; 8. T3 BALANS'!J96)))</f>
        <v>0.25334538143314089</v>
      </c>
      <c r="U35" s="1216">
        <f>IF('3. &amp; 8. T3 BALANS'!K98=0,0,IF('3. &amp; 8. T3 BALANS'!K98&lt;0,0,'3. &amp; 8. T3 BALANS'!K56/('3. &amp; 8. T3 BALANS'!K98-'3. &amp; 8. T3 BALANS'!K96)))</f>
        <v>0.40890461423161639</v>
      </c>
    </row>
    <row r="36" spans="1:24" ht="12.75" customHeight="1">
      <c r="A36" s="52"/>
      <c r="B36" s="223">
        <f t="shared" si="3"/>
        <v>20</v>
      </c>
      <c r="C36" s="665" t="s">
        <v>320</v>
      </c>
      <c r="D36" s="665"/>
      <c r="E36" s="666" t="s">
        <v>15</v>
      </c>
      <c r="F36" s="1319"/>
      <c r="G36" s="1319"/>
      <c r="H36" s="1090">
        <f>'4. T7 LÅN '!F20+'4. T7 LÅN '!G48</f>
        <v>0</v>
      </c>
      <c r="I36" s="1090">
        <f>'4. T7 LÅN '!I20+'4. T7 LÅN '!J48</f>
        <v>0</v>
      </c>
      <c r="J36" s="1090">
        <f>'4. T7 LÅN '!L20+'4. T7 LÅN '!M48</f>
        <v>0</v>
      </c>
      <c r="K36" s="900">
        <f>'4. T7 LÅN '!O20+'4. T7 LÅN '!P48</f>
        <v>0</v>
      </c>
      <c r="M36" s="678"/>
      <c r="N36" s="679" t="s">
        <v>336</v>
      </c>
      <c r="O36" s="680"/>
      <c r="P36" s="1212">
        <f>IF('3. &amp; 8. T3 BALANS'!F98=0,0,IF(P35&gt;40%,"Bra",IF(P35&lt;20%,"Svag","Tillfredställande")))</f>
        <v>0</v>
      </c>
      <c r="Q36" s="1468" t="str">
        <f>IF('3. &amp; 8. T3 BALANS'!G98=0,0,IF(Q35&gt;40%,"Bra",IF(Q35&lt;20%,"Svag","Tillfredställande")))</f>
        <v>Tillfredställande</v>
      </c>
      <c r="R36" s="1468" t="str">
        <f>IF('3. &amp; 8. T3 BALANS'!H98=0,0,IF(R35&gt;40%,"Bra",IF(R35&lt;20%,"Svag","Tillfredställande")))</f>
        <v>Svag</v>
      </c>
      <c r="S36" s="1468" t="str">
        <f>IF('3. &amp; 8. T3 BALANS'!I98=0,0,IF(S35&gt;40%,"Bra",IF(S35&lt;20%,"Svag","Tillfredställande")))</f>
        <v>Svag</v>
      </c>
      <c r="T36" s="1469" t="str">
        <f>IF('3. &amp; 8. T3 BALANS'!J98=0,0,IF(T35&gt;40%,"Bra",IF(T35&lt;20%,"Svag","Tillfredställande")))</f>
        <v>Tillfredställande</v>
      </c>
      <c r="U36" s="1470" t="str">
        <f>IF('3. &amp; 8. T3 BALANS'!K98=0,0,IF(U35&gt;40%,"Bra",IF(U35&lt;20%,"Svag","Tillfredställande")))</f>
        <v>Bra</v>
      </c>
    </row>
    <row r="37" spans="1:24" ht="24.75" customHeight="1">
      <c r="B37" s="223">
        <f t="shared" si="3"/>
        <v>21</v>
      </c>
      <c r="C37" s="668" t="s">
        <v>321</v>
      </c>
      <c r="D37" s="665"/>
      <c r="E37" s="667" t="s">
        <v>18</v>
      </c>
      <c r="F37" s="1319"/>
      <c r="G37" s="1319"/>
      <c r="H37" s="1090">
        <f>'3. &amp; 8. T3 BALANS'!H84+'3. &amp; 8. T3 BALANS'!H91-'3. &amp; 8. T3 BALANS'!G84-'3. &amp; 8. T3 BALANS'!G91</f>
        <v>12059.2435</v>
      </c>
      <c r="I37" s="1090">
        <f>'3. &amp; 8. T3 BALANS'!I84+'3. &amp; 8. T3 BALANS'!I91-'3. &amp; 8. T3 BALANS'!H84-'3. &amp; 8. T3 BALANS'!H91</f>
        <v>407.34730499999932</v>
      </c>
      <c r="J37" s="1090">
        <f>'3. &amp; 8. T3 BALANS'!J84+'3. &amp; 8. T3 BALANS'!J91-'3. &amp; 8. T3 BALANS'!I84-'3. &amp; 8. T3 BALANS'!I91</f>
        <v>419.5677241500016</v>
      </c>
      <c r="K37" s="900">
        <f>'3. &amp; 8. T3 BALANS'!K84+'3. &amp; 8. T3 BALANS'!K91-'3. &amp; 8. T3 BALANS'!J84-'3. &amp; 8. T3 BALANS'!J91</f>
        <v>432.15475587449873</v>
      </c>
      <c r="M37" s="959" t="s">
        <v>571</v>
      </c>
      <c r="N37" s="960"/>
      <c r="O37" s="961"/>
      <c r="P37" s="1226">
        <f>IF(P80=0,0,(P86-P87)/P76)</f>
        <v>0</v>
      </c>
      <c r="Q37" s="1226">
        <f t="shared" ref="Q37:U37" si="4">IF(Q80=0,0,(Q86-Q87)/Q76)</f>
        <v>0.79470802919708028</v>
      </c>
      <c r="R37" s="1226">
        <f t="shared" si="4"/>
        <v>-28.486895656518477</v>
      </c>
      <c r="S37" s="1226">
        <f t="shared" si="4"/>
        <v>12.082451816050819</v>
      </c>
      <c r="T37" s="1226">
        <f t="shared" si="4"/>
        <v>1.7586088588356723</v>
      </c>
      <c r="U37" s="1460">
        <f t="shared" si="4"/>
        <v>0.4182512227148405</v>
      </c>
    </row>
    <row r="38" spans="1:24" ht="12.75" customHeight="1">
      <c r="A38" s="52"/>
      <c r="B38" s="223">
        <f t="shared" si="3"/>
        <v>22</v>
      </c>
      <c r="C38" s="665" t="s">
        <v>322</v>
      </c>
      <c r="D38" s="665"/>
      <c r="E38" s="666" t="s">
        <v>15</v>
      </c>
      <c r="F38" s="1320"/>
      <c r="G38" s="1320"/>
      <c r="H38" s="1090">
        <f>-IF('3. &amp; 8. T3 BALANS'!H78-'3. &amp; 8. T3 BALANS'!G78&lt;0,'3. &amp; 8. T3 BALANS'!H78-'3. &amp; 8. T3 BALANS'!G78,0)-IF('3. &amp; 8. T3 BALANS'!H79-'3. &amp; 8. T3 BALANS'!G79&lt;0,'3. &amp; 8. T3 BALANS'!H79-'3. &amp; 8. T3 BALANS'!G79,0)</f>
        <v>0</v>
      </c>
      <c r="I38" s="1090">
        <f>-IF('3. &amp; 8. T3 BALANS'!I78-'3. &amp; 8. T3 BALANS'!H78&lt;0,'3. &amp; 8. T3 BALANS'!I78-'3. &amp; 8. T3 BALANS'!H78,0)-IF('3. &amp; 8. T3 BALANS'!I79-'3. &amp; 8. T3 BALANS'!H79&lt;0,'3. &amp; 8. T3 BALANS'!I79-'3. &amp; 8. T3 BALANS'!H79,0)</f>
        <v>0</v>
      </c>
      <c r="J38" s="1090">
        <f>-IF('3. &amp; 8. T3 BALANS'!J78-'3. &amp; 8. T3 BALANS'!I78&lt;0,'3. &amp; 8. T3 BALANS'!J78-'3. &amp; 8. T3 BALANS'!I78,0)-IF('3. &amp; 8. T3 BALANS'!J79-'3. &amp; 8. T3 BALANS'!I79&lt;0,'3. &amp; 8. T3 BALANS'!J79-'3. &amp; 8. T3 BALANS'!I79,0)</f>
        <v>0</v>
      </c>
      <c r="K38" s="900">
        <f>-IF('3. &amp; 8. T3 BALANS'!K78-'3. &amp; 8. T3 BALANS'!J78&lt;0,'3. &amp; 8. T3 BALANS'!K78-'3. &amp; 8. T3 BALANS'!J78,0)-IF('3. &amp; 8. T3 BALANS'!K79-'3. &amp; 8. T3 BALANS'!J79&lt;0,'3. &amp; 8. T3 BALANS'!K79-'3. &amp; 8. T3 BALANS'!J79,0)</f>
        <v>0</v>
      </c>
      <c r="M38" s="737"/>
      <c r="N38" s="679" t="s">
        <v>336</v>
      </c>
      <c r="O38" s="1233"/>
      <c r="P38" s="1210" t="str">
        <f>IF('3. &amp; 8. T3 BALANS'!F98=0,"",IF('3. &amp; 8. T3 BALANS'!F56&lt;0,"Svag",IF(P37&lt;0,"Nettoskuldfri",IF(P37&gt;1,"","Bra"))))</f>
        <v/>
      </c>
      <c r="Q38" s="1210" t="str">
        <f>IF('3. &amp; 8. T3 BALANS'!G98=0,"",IF('3. &amp; 8. T3 BALANS'!G56&lt;0,"Svag",IF(Q37&lt;0,"Nettoskuldfri",IF(Q37&gt;1,"","Bra"))))</f>
        <v>Bra</v>
      </c>
      <c r="R38" s="1210" t="str">
        <f>IF('3. &amp; 8. T3 BALANS'!H98=0,"",IF('3. &amp; 8. T3 BALANS'!H56&lt;0,"Svag",IF(R37&lt;0,"Nettoskuldfri",IF(R37&gt;1,"","Bra"))))</f>
        <v>Svag</v>
      </c>
      <c r="S38" s="1210" t="str">
        <f>IF('3. &amp; 8. T3 BALANS'!I98=0,"",IF('3. &amp; 8. T3 BALANS'!I56&lt;0,"Svag",IF(S37&lt;0,"Nettoskuldfri",IF(S37&gt;1,"","Bra"))))</f>
        <v/>
      </c>
      <c r="T38" s="1210" t="str">
        <f>IF('3. &amp; 8. T3 BALANS'!J98=0,"",IF('3. &amp; 8. T3 BALANS'!J56&lt;0,"Svag",IF(T37&lt;0,"Nettoskuldfri",IF(T37&gt;1,"","Bra"))))</f>
        <v/>
      </c>
      <c r="U38" s="1211" t="str">
        <f>IF('3. &amp; 8. T3 BALANS'!K98=0,"",IF('3. &amp; 8. T3 BALANS'!K56&lt;0,"Svag",IF(U37&lt;0,"Nettoskuldfri",IF(U37&gt;1,"","Bra"))))</f>
        <v>Bra</v>
      </c>
      <c r="X38" s="591" t="s">
        <v>23</v>
      </c>
    </row>
    <row r="39" spans="1:24" ht="12.75" customHeight="1">
      <c r="A39" s="52"/>
      <c r="B39" s="223">
        <f t="shared" si="3"/>
        <v>23</v>
      </c>
      <c r="C39" s="665" t="s">
        <v>323</v>
      </c>
      <c r="D39" s="665"/>
      <c r="E39" s="666" t="s">
        <v>15</v>
      </c>
      <c r="F39" s="1319"/>
      <c r="G39" s="1319"/>
      <c r="H39" s="498">
        <f>R50</f>
        <v>701.44</v>
      </c>
      <c r="I39" s="498">
        <f>S50</f>
        <v>0</v>
      </c>
      <c r="J39" s="498">
        <f>T50</f>
        <v>1179.7739566477155</v>
      </c>
      <c r="K39" s="1100">
        <f>U50</f>
        <v>5127.446894152702</v>
      </c>
      <c r="M39" s="743" t="s">
        <v>688</v>
      </c>
      <c r="N39" s="744"/>
      <c r="O39" s="745"/>
      <c r="P39" s="1108"/>
      <c r="Q39" s="1108"/>
      <c r="R39" s="1108"/>
      <c r="S39" s="1108"/>
      <c r="T39" s="1108"/>
      <c r="U39" s="1227"/>
    </row>
    <row r="40" spans="1:24" ht="12.75" customHeight="1">
      <c r="B40" s="223">
        <f t="shared" si="3"/>
        <v>24</v>
      </c>
      <c r="C40" s="768" t="s">
        <v>195</v>
      </c>
      <c r="D40" s="768"/>
      <c r="E40" s="667" t="s">
        <v>15</v>
      </c>
      <c r="F40" s="1320"/>
      <c r="G40" s="1320"/>
      <c r="H40" s="1090">
        <f>'3. &amp; 8. T3 BALANS'!H35</f>
        <v>0</v>
      </c>
      <c r="I40" s="1090">
        <f>'3. &amp; 8. T3 BALANS'!I35</f>
        <v>0</v>
      </c>
      <c r="J40" s="1090">
        <f>'3. &amp; 8. T3 BALANS'!J35</f>
        <v>0</v>
      </c>
      <c r="K40" s="900">
        <f>'3. &amp; 8. T3 BALANS'!K35</f>
        <v>0</v>
      </c>
      <c r="M40" s="738" t="s">
        <v>698</v>
      </c>
      <c r="N40" s="739"/>
      <c r="O40" s="740"/>
      <c r="P40" s="1325"/>
      <c r="Q40" s="1326"/>
      <c r="R40" s="787">
        <f>('5. E1 VERKSAMHETSKOSTN.'!F11+'5. E1 VERKSAMHETSKOSTN.'!F32-'5. E1 VERKSAMHETSKOSTN.'!F38+'5. E1 VERKSAMHETSKOSTN.'!F39)/'2. &amp; 7. T2  RESULTATB.'!I33</f>
        <v>27617.002500000002</v>
      </c>
      <c r="S40" s="787">
        <f>('5. E1 VERKSAMHETSKOSTN.'!H11+'5. E1 VERKSAMHETSKOSTN.'!H32-'5. E1 VERKSAMHETSKOSTN.'!H38+'5. E1 VERKSAMHETSKOSTN.'!H39)/'2. &amp; 7. T2  RESULTATB.'!K33</f>
        <v>28445.512574999997</v>
      </c>
      <c r="T40" s="1228">
        <f>('5. E1 VERKSAMHETSKOSTN.'!J11+'5. E1 VERKSAMHETSKOSTN.'!J32-'5. E1 VERKSAMHETSKOSTN.'!J38+'5. E1 VERKSAMHETSKOSTN.'!J39)/'2. &amp; 7. T2  RESULTATB.'!M33</f>
        <v>29298.877952250001</v>
      </c>
      <c r="U40" s="1204">
        <f>('5. E1 VERKSAMHETSKOSTN.'!L11+'5. E1 VERKSAMHETSKOSTN.'!L32-'5. E1 VERKSAMHETSKOSTN.'!L38+'5. E1 VERKSAMHETSKOSTN.'!L39)/'2. &amp; 7. T2  RESULTATB.'!O33</f>
        <v>30177.844290817498</v>
      </c>
    </row>
    <row r="41" spans="1:24" ht="12.75" customHeight="1">
      <c r="A41" s="52"/>
      <c r="B41" s="223">
        <f t="shared" si="3"/>
        <v>25</v>
      </c>
      <c r="C41" s="669" t="s">
        <v>314</v>
      </c>
      <c r="D41" s="670"/>
      <c r="E41" s="671"/>
      <c r="F41" s="1319"/>
      <c r="G41" s="1319"/>
      <c r="H41" s="1099">
        <f>H24+H25+H26+H27+H28+H29+H30+H36-H37+H38+H39+H40+H35+H31+H32+H33+H34</f>
        <v>234886.45783893406</v>
      </c>
      <c r="I41" s="1090">
        <f>I24+I25+I26+I27+I28+I29+I30+I36-I37+I38+I39+I40+I35+I31+I32+I33+I34</f>
        <v>26098.081432008054</v>
      </c>
      <c r="J41" s="1090">
        <f>J24+J25+J26+J27+J28+J29+J30+J36-J37+J38+J39+J40+J35+J31+J32+J33+J34</f>
        <v>26582.182203444299</v>
      </c>
      <c r="K41" s="900">
        <f>K24+K25+K26+K27+K28+K29+K30+K36-K37+K38+K39+K40+K35+K31+K32+K33+K34</f>
        <v>29558.312192472549</v>
      </c>
      <c r="M41" s="692" t="s">
        <v>699</v>
      </c>
      <c r="N41" s="673"/>
      <c r="O41" s="674"/>
      <c r="P41" s="1327"/>
      <c r="Q41" s="1327"/>
      <c r="R41" s="1090">
        <f>R40+('5. E1 VERKSAMHETSKOSTN.'!E38+'5. E1 VERKSAMHETSKOSTN.'!E46)/'2. &amp; 7. T2  RESULTATB.'!I33</f>
        <v>27618.654587097084</v>
      </c>
      <c r="S41" s="1090">
        <f>S40+('5. E1 VERKSAMHETSKOSTN.'!F38+'5. E1 VERKSAMHETSKOSTN.'!F46)/'2. &amp; 7. T2  RESULTATB.'!K33</f>
        <v>29161.362574999996</v>
      </c>
      <c r="T41" s="1099">
        <f>T40+('5. E1 VERKSAMHETSKOSTN.'!G38+'5. E1 VERKSAMHETSKOSTN.'!G46)/'2. &amp; 7. T2  RESULTATB.'!M33</f>
        <v>29300.737495615664</v>
      </c>
      <c r="U41" s="900">
        <f>U40+('5. E1 VERKSAMHETSKOSTN.'!H38+'5. E1 VERKSAMHETSKOSTN.'!H46)/'2. &amp; 7. T2  RESULTATB.'!O33</f>
        <v>30915.169790817497</v>
      </c>
    </row>
    <row r="42" spans="1:24" ht="12.75" customHeight="1" thickBot="1">
      <c r="B42" s="410">
        <f t="shared" si="3"/>
        <v>26</v>
      </c>
      <c r="C42" s="447" t="s">
        <v>551</v>
      </c>
      <c r="D42" s="447"/>
      <c r="E42" s="710"/>
      <c r="F42" s="1321"/>
      <c r="G42" s="1321"/>
      <c r="H42" s="1101">
        <f>H21-H41</f>
        <v>1034.5254507737991</v>
      </c>
      <c r="I42" s="1101">
        <f>I21-I41</f>
        <v>15400.449736380528</v>
      </c>
      <c r="J42" s="1101">
        <f>J21-J41</f>
        <v>40797.35567201575</v>
      </c>
      <c r="K42" s="1102">
        <f>K21-K41</f>
        <v>40389.329845351989</v>
      </c>
      <c r="M42" s="692" t="s">
        <v>700</v>
      </c>
      <c r="N42" s="676"/>
      <c r="O42" s="756" t="s">
        <v>23</v>
      </c>
      <c r="P42" s="1229">
        <f>IF('2. &amp; 7. T2  RESULTATB.'!E14=0,0,1.77*F15*100/'2. &amp; 7. T2  RESULTATB.'!E14+14.14*P27+0.54*P35)</f>
        <v>0</v>
      </c>
      <c r="Q42" s="1229">
        <f>IF('2. &amp; 7. T2  RESULTATB.'!G14=0,0,1.77*G15*100/'2. &amp; 7. T2  RESULTATB.'!G14+14.14*Q27+0.54*Q35)</f>
        <v>20.8858703437397</v>
      </c>
      <c r="R42" s="1229">
        <f>IF('2. &amp; 7. T2  RESULTATB.'!I14=0,0,1.77*H15*100/'2. &amp; 7. T2  RESULTATB.'!I14+14.14*R27+0.54*R35)</f>
        <v>8.915218144267719</v>
      </c>
      <c r="S42" s="1229">
        <f>IF('2. &amp; 7. T2  RESULTATB.'!K14=0,0,1.77*I15*100/'2. &amp; 7. T2  RESULTATB.'!K14+14.14*S27+0.54*S35)</f>
        <v>42.691469824425738</v>
      </c>
      <c r="T42" s="1229">
        <f>IF('2. &amp; 7. T2  RESULTATB.'!M14=0,0,1.77*J15*100/'2. &amp; 7. T2  RESULTATB.'!M14+14.14*T27+0.54*T35)</f>
        <v>69.808139224102206</v>
      </c>
      <c r="U42" s="1230">
        <f>IF('2. &amp; 7. T2  RESULTATB.'!O14=0,0,1.77*K15*100/'2. &amp; 7. T2  RESULTATB.'!O14+14.14*U27+0.54*U35)</f>
        <v>83.862012088840359</v>
      </c>
    </row>
    <row r="43" spans="1:24" ht="12.75" customHeight="1" thickBot="1">
      <c r="A43" s="52"/>
      <c r="B43" s="223">
        <f t="shared" si="3"/>
        <v>27</v>
      </c>
      <c r="C43" s="447" t="s">
        <v>324</v>
      </c>
      <c r="D43" s="569">
        <v>0</v>
      </c>
      <c r="E43" s="448"/>
      <c r="F43" s="1103">
        <f>'3. &amp; 8. T3 BALANS'!F49</f>
        <v>0</v>
      </c>
      <c r="G43" s="1103">
        <f>'3. &amp; 8. T3 BALANS'!G49</f>
        <v>2713</v>
      </c>
      <c r="H43" s="1103">
        <f>H42+G43</f>
        <v>3747.5254507737991</v>
      </c>
      <c r="I43" s="1103">
        <f>I42+H43</f>
        <v>19147.975187154327</v>
      </c>
      <c r="J43" s="1103">
        <f>J42+I43</f>
        <v>59945.330859170077</v>
      </c>
      <c r="K43" s="1104">
        <f>K42+J43</f>
        <v>100334.66070452207</v>
      </c>
      <c r="M43" s="696"/>
      <c r="N43" s="746" t="s">
        <v>336</v>
      </c>
      <c r="O43" s="677"/>
      <c r="P43" s="1311">
        <f>IF('2. &amp; 7. T2  RESULTATB.'!E14=0,0,IF(P42&gt;28,"Bra",IF(P42&lt;18,"Svag","Tillfredställande")))</f>
        <v>0</v>
      </c>
      <c r="Q43" s="1311" t="str">
        <f>IF('2. &amp; 7. T2  RESULTATB.'!G14=0,0,IF(Q42&gt;28,"Bra",IF(Q42&lt;18,"Svag","Tillfredställande")))</f>
        <v>Tillfredställande</v>
      </c>
      <c r="R43" s="1311" t="str">
        <f>IF('2. &amp; 7. T2  RESULTATB.'!I14=0,0,IF(R42&gt;28,"Bra",IF(R42&lt;18,"Svag","Tillfredställande")))</f>
        <v>Svag</v>
      </c>
      <c r="S43" s="1311" t="str">
        <f>IF('2. &amp; 7. T2  RESULTATB.'!K14=0,0,IF(S42&gt;28,"Bra",IF(S42&lt;18,"Svag","Tillfredställande")))</f>
        <v>Bra</v>
      </c>
      <c r="T43" s="1312" t="str">
        <f>IF('2. &amp; 7. T2  RESULTATB.'!M14=0,0,IF(T42&gt;28,"Bra",IF(T42&lt;18,"Svag","Tillfredställande")))</f>
        <v>Bra</v>
      </c>
      <c r="U43" s="1211" t="str">
        <f>IF('2. &amp; 7. T2  RESULTATB.'!O14=0,0,IF(U42&gt;28,"Bra",IF(U42&lt;18,"Svag","Tillfredställande")))</f>
        <v>Bra</v>
      </c>
    </row>
    <row r="44" spans="1:24" ht="12.75" customHeight="1" thickBot="1">
      <c r="A44" s="2"/>
      <c r="B44" s="2212" t="s">
        <v>325</v>
      </c>
      <c r="C44" s="2213"/>
      <c r="D44" s="2213"/>
      <c r="E44" s="2213"/>
      <c r="F44" s="2214"/>
      <c r="G44" s="1105">
        <f>IF('5. E1 VERKSAMHETSKOSTN.'!D45=0,0,G43/'5. E1 VERKSAMHETSKOSTN.'!D45*365)</f>
        <v>23.539150898545213</v>
      </c>
      <c r="H44" s="1105">
        <f>IF('5. E1 VERKSAMHETSKOSTN.'!F45=0,0,H43/'5. E1 VERKSAMHETSKOSTN.'!F45*365)</f>
        <v>35.532170464742627</v>
      </c>
      <c r="I44" s="1105">
        <f>IF('5. E1 VERKSAMHETSKOSTN.'!H45=0,0,I43/'5. E1 VERKSAMHETSKOSTN.'!H45*365)</f>
        <v>229.63905027559892</v>
      </c>
      <c r="J44" s="1105">
        <f>IF('5. E1 VERKSAMHETSKOSTN.'!J45=0,0,J43/'5. E1 VERKSAMHETSKOSTN.'!J45*365)</f>
        <v>700.99570980607746</v>
      </c>
      <c r="K44" s="1106">
        <f>IF('5. E1 VERKSAMHETSKOSTN.'!L45=0,0,K43/'5. E1 VERKSAMHETSKOSTN.'!L45*365)</f>
        <v>1143.9348135676216</v>
      </c>
      <c r="M44" s="445" t="s">
        <v>687</v>
      </c>
      <c r="N44" s="142"/>
      <c r="O44" s="142"/>
      <c r="P44" s="378">
        <f>'9. T4 FINANSIERINGSB. '!F11</f>
        <v>2021</v>
      </c>
      <c r="Q44" s="378">
        <f>'9. T4 FINANSIERINGSB. '!G11</f>
        <v>2022</v>
      </c>
      <c r="R44" s="378">
        <f>'9. T4 FINANSIERINGSB. '!H11</f>
        <v>2023</v>
      </c>
      <c r="S44" s="378">
        <f>'9. T4 FINANSIERINGSB. '!I11</f>
        <v>2024</v>
      </c>
      <c r="T44" s="748">
        <f>'9. T4 FINANSIERINGSB. '!J11</f>
        <v>2025</v>
      </c>
      <c r="U44" s="379">
        <f>'9. T4 FINANSIERINGSB. '!K11</f>
        <v>2026</v>
      </c>
    </row>
    <row r="45" spans="1:24" ht="12.75" customHeight="1" thickBot="1">
      <c r="A45" s="52"/>
      <c r="B45" s="286"/>
      <c r="C45" s="52"/>
      <c r="D45" s="52"/>
      <c r="E45" s="52"/>
      <c r="F45" s="52"/>
      <c r="G45" s="338"/>
      <c r="H45" s="441"/>
      <c r="I45" s="441"/>
      <c r="J45" s="441"/>
      <c r="K45" s="441"/>
      <c r="L45" s="2"/>
      <c r="M45" s="672" t="s">
        <v>340</v>
      </c>
      <c r="N45" s="142"/>
      <c r="O45" s="142"/>
      <c r="P45" s="1090">
        <f>'3. &amp; 8. T3 BALANS'!F98</f>
        <v>0</v>
      </c>
      <c r="Q45" s="1090">
        <f>'3. &amp; 8. T3 BALANS'!G98</f>
        <v>21927</v>
      </c>
      <c r="R45" s="1090">
        <f>'3. &amp; 8. T3 BALANS'!H98</f>
        <v>230532.02033268596</v>
      </c>
      <c r="S45" s="1090">
        <f>'3. &amp; 8. T3 BALANS'!I98</f>
        <v>227752.64475812644</v>
      </c>
      <c r="T45" s="1099">
        <f>'3. &amp; 8. T3 BALANS'!J98</f>
        <v>252986.99275409235</v>
      </c>
      <c r="U45" s="900">
        <f>'3. &amp; 8. T3 BALANS'!K98</f>
        <v>278645.69351629203</v>
      </c>
    </row>
    <row r="46" spans="1:24" ht="12.75" customHeight="1">
      <c r="B46" s="2187" t="s">
        <v>535</v>
      </c>
      <c r="C46" s="2188"/>
      <c r="D46" s="2188"/>
      <c r="E46" s="1765"/>
      <c r="F46" s="1766" t="str">
        <f t="shared" ref="F46:K46" si="5">F10</f>
        <v>Realiserad</v>
      </c>
      <c r="G46" s="1766" t="str">
        <f t="shared" si="5"/>
        <v>Realiserad</v>
      </c>
      <c r="H46" s="1767" t="str">
        <f t="shared" si="5"/>
        <v>Prognos 1</v>
      </c>
      <c r="I46" s="1767" t="str">
        <f t="shared" si="5"/>
        <v>Prognos 2</v>
      </c>
      <c r="J46" s="1767" t="str">
        <f t="shared" si="5"/>
        <v>Prognos 3</v>
      </c>
      <c r="K46" s="1768" t="str">
        <f t="shared" si="5"/>
        <v>Prognos 4</v>
      </c>
      <c r="M46" s="692" t="s">
        <v>341</v>
      </c>
      <c r="N46" s="682"/>
      <c r="O46" s="683"/>
      <c r="P46" s="1090">
        <f>-('3. &amp; 8. T3 BALANS'!F67+'3. &amp; 8. T3 BALANS'!F75)</f>
        <v>0</v>
      </c>
      <c r="Q46" s="1090">
        <f>-('3. &amp; 8. T3 BALANS'!G67+'3. &amp; 8. T3 BALANS'!G75)</f>
        <v>-13159</v>
      </c>
      <c r="R46" s="1090">
        <f>-('3. &amp; 8. T3 BALANS'!H67+'3. &amp; 8. T3 BALANS'!H75)</f>
        <v>-238219.67704297809</v>
      </c>
      <c r="S46" s="1090">
        <f>-('3. &amp; 8. T3 BALANS'!I67+'3. &amp; 8. T3 BALANS'!I75)</f>
        <v>-213005.47030002999</v>
      </c>
      <c r="T46" s="1099">
        <f>-('3. &amp; 8. T3 BALANS'!J67+'3. &amp; 8. T3 BALANS'!J75)</f>
        <v>-188893.90657718357</v>
      </c>
      <c r="U46" s="900">
        <f>-('3. &amp; 8. T3 BALANS'!K67+'3. &amp; 8. T3 BALANS'!K75)</f>
        <v>-164706.18370171139</v>
      </c>
    </row>
    <row r="47" spans="1:24" ht="12.75" customHeight="1">
      <c r="A47" s="2"/>
      <c r="B47" s="2189"/>
      <c r="C47" s="2190"/>
      <c r="D47" s="2190"/>
      <c r="E47" s="1769"/>
      <c r="F47" s="1770">
        <f t="shared" ref="F47:K47" si="6">F11</f>
        <v>2021</v>
      </c>
      <c r="G47" s="1770">
        <f t="shared" si="6"/>
        <v>2022</v>
      </c>
      <c r="H47" s="1736">
        <f t="shared" si="6"/>
        <v>2023</v>
      </c>
      <c r="I47" s="1736">
        <f t="shared" si="6"/>
        <v>2024</v>
      </c>
      <c r="J47" s="1736">
        <f t="shared" si="6"/>
        <v>2025</v>
      </c>
      <c r="K47" s="1758">
        <f t="shared" si="6"/>
        <v>2026</v>
      </c>
      <c r="M47" s="692" t="s">
        <v>342</v>
      </c>
      <c r="N47" s="673"/>
      <c r="O47" s="674"/>
      <c r="P47" s="774">
        <v>0</v>
      </c>
      <c r="Q47" s="774">
        <v>0</v>
      </c>
      <c r="R47" s="774">
        <v>0</v>
      </c>
      <c r="S47" s="774">
        <v>0</v>
      </c>
      <c r="T47" s="1168">
        <v>0</v>
      </c>
      <c r="U47" s="1169">
        <v>0</v>
      </c>
    </row>
    <row r="48" spans="1:24" ht="12.75" customHeight="1" thickBot="1">
      <c r="A48" s="4"/>
      <c r="B48" s="2191"/>
      <c r="C48" s="2192"/>
      <c r="D48" s="2192"/>
      <c r="E48" s="1771"/>
      <c r="F48" s="1772" t="s">
        <v>242</v>
      </c>
      <c r="G48" s="1772" t="s">
        <v>242</v>
      </c>
      <c r="H48" s="1772" t="s">
        <v>242</v>
      </c>
      <c r="I48" s="1772" t="s">
        <v>242</v>
      </c>
      <c r="J48" s="1772" t="s">
        <v>242</v>
      </c>
      <c r="K48" s="1773" t="s">
        <v>242</v>
      </c>
      <c r="M48" s="692" t="s">
        <v>343</v>
      </c>
      <c r="N48" s="673"/>
      <c r="O48" s="674"/>
      <c r="P48" s="774">
        <v>0</v>
      </c>
      <c r="Q48" s="774">
        <v>0</v>
      </c>
      <c r="R48" s="774">
        <v>0</v>
      </c>
      <c r="S48" s="774">
        <v>0</v>
      </c>
      <c r="T48" s="1168">
        <v>0</v>
      </c>
      <c r="U48" s="1169">
        <v>0</v>
      </c>
    </row>
    <row r="49" spans="2:21" ht="12.75" customHeight="1">
      <c r="B49" s="223">
        <v>28</v>
      </c>
      <c r="C49" s="377" t="s">
        <v>267</v>
      </c>
      <c r="D49" s="377"/>
      <c r="E49" s="625" t="s">
        <v>15</v>
      </c>
      <c r="F49" s="1107">
        <f>'3. &amp; 8. T3 BALANS'!F39</f>
        <v>0</v>
      </c>
      <c r="G49" s="1107">
        <f>'3. &amp; 8. T3 BALANS'!G39</f>
        <v>0</v>
      </c>
      <c r="H49" s="1107">
        <f>IF('2. &amp; 7. T2  RESULTATB.'!I15=0,0,H50*'2. &amp; 7. T2  RESULTATB.'!I11)</f>
        <v>0</v>
      </c>
      <c r="I49" s="1107">
        <f>IF('2. &amp; 7. T2  RESULTATB.'!K15=0,0,I50*'2. &amp; 7. T2  RESULTATB.'!K11)</f>
        <v>0</v>
      </c>
      <c r="J49" s="1107">
        <f>IF('2. &amp; 7. T2  RESULTATB.'!M15=0,0,J50*'2. &amp; 7. T2  RESULTATB.'!M11)</f>
        <v>0</v>
      </c>
      <c r="K49" s="1355">
        <f>IF('2. &amp; 7. T2  RESULTATB.'!O15=0,0,K50*'2. &amp; 7. T2  RESULTATB.'!O11)</f>
        <v>0</v>
      </c>
      <c r="M49" s="697" t="s">
        <v>344</v>
      </c>
      <c r="N49" s="684"/>
      <c r="O49" s="685"/>
      <c r="P49" s="1107">
        <f t="shared" ref="P49:U49" si="7">P45+P46-P47-P48</f>
        <v>0</v>
      </c>
      <c r="Q49" s="1107">
        <f t="shared" si="7"/>
        <v>8768</v>
      </c>
      <c r="R49" s="1107">
        <f t="shared" si="7"/>
        <v>-7687.6567102921254</v>
      </c>
      <c r="S49" s="1107">
        <f t="shared" si="7"/>
        <v>14747.174458096444</v>
      </c>
      <c r="T49" s="1231">
        <f t="shared" si="7"/>
        <v>64093.086176908779</v>
      </c>
      <c r="U49" s="1232">
        <f t="shared" si="7"/>
        <v>113939.50981458064</v>
      </c>
    </row>
    <row r="50" spans="2:21" ht="12" customHeight="1">
      <c r="B50" s="223"/>
      <c r="C50" s="2186" t="s">
        <v>650</v>
      </c>
      <c r="D50" s="2186"/>
      <c r="E50" s="1112"/>
      <c r="F50" s="1113">
        <f>IF('2. &amp; 7. T2  RESULTATB.'!E11=0,0,'9. T4 FINANSIERINGSB. '!F49/'2. &amp; 7. T2  RESULTATB.'!E11)</f>
        <v>0</v>
      </c>
      <c r="G50" s="1113">
        <f>IF('2. &amp; 7. T2  RESULTATB.'!G11=0,0,'9. T4 FINANSIERINGSB. '!G49/'2. &amp; 7. T2  RESULTATB.'!G11)</f>
        <v>0</v>
      </c>
      <c r="H50" s="1110">
        <f>G50</f>
        <v>0</v>
      </c>
      <c r="I50" s="1110">
        <f>H50</f>
        <v>0</v>
      </c>
      <c r="J50" s="1110">
        <f>I50</f>
        <v>0</v>
      </c>
      <c r="K50" s="1111">
        <f>J50</f>
        <v>0</v>
      </c>
      <c r="M50" s="681" t="s">
        <v>345</v>
      </c>
      <c r="N50" s="984"/>
      <c r="O50" s="984"/>
      <c r="P50" s="1324"/>
      <c r="Q50" s="1324"/>
      <c r="R50" s="498">
        <f>IF(8%*Q49&lt;0,0,8%*Q49)</f>
        <v>701.44</v>
      </c>
      <c r="S50" s="498">
        <f>IF(8%*R49&lt;0,0,8%*R49)</f>
        <v>0</v>
      </c>
      <c r="T50" s="1200">
        <f>IF(8%*S49&lt;0,0,8%*S49)</f>
        <v>1179.7739566477155</v>
      </c>
      <c r="U50" s="1100">
        <f>IF(8%*T49&lt;0,0,8%*T49)</f>
        <v>5127.446894152702</v>
      </c>
    </row>
    <row r="51" spans="2:21" ht="12.75" customHeight="1">
      <c r="B51" s="223">
        <v>29</v>
      </c>
      <c r="C51" s="686" t="s">
        <v>326</v>
      </c>
      <c r="D51" s="686"/>
      <c r="E51" s="687" t="s">
        <v>15</v>
      </c>
      <c r="F51" s="1090">
        <f>'3. &amp; 8. T3 BALANS'!F42</f>
        <v>0</v>
      </c>
      <c r="G51" s="1090">
        <f>'3. &amp; 8. T3 BALANS'!G42</f>
        <v>4943</v>
      </c>
      <c r="H51" s="1090">
        <f>H52*'2. &amp; 7. T2  RESULTATB.'!I11/365</f>
        <v>5405.6948819121471</v>
      </c>
      <c r="I51" s="1090">
        <f>I52*'2. &amp; 7. T2  RESULTATB.'!K11/365</f>
        <v>6164.5695709721058</v>
      </c>
      <c r="J51" s="1090">
        <f>J52*'2. &amp; 7. T2  RESULTATB.'!M11/365</f>
        <v>7271.4140949222774</v>
      </c>
      <c r="K51" s="900">
        <f>K52*'2. &amp; 7. T2  RESULTATB.'!O11/365</f>
        <v>7489.5565177699473</v>
      </c>
      <c r="M51" s="2193" t="s">
        <v>744</v>
      </c>
      <c r="N51" s="2194"/>
      <c r="O51" s="2195"/>
      <c r="P51" s="1324"/>
      <c r="Q51" s="1324"/>
      <c r="R51" s="1314">
        <f>IF(R50=0,0,R50/Q49)</f>
        <v>0.08</v>
      </c>
      <c r="S51" s="1314">
        <f>IF(S50=0,0,S50/R49)</f>
        <v>0</v>
      </c>
      <c r="T51" s="1315">
        <f>IF(T50=0,0,T50/S49)</f>
        <v>0.08</v>
      </c>
      <c r="U51" s="1316">
        <f>IF(U50=0,0,U50/T49)</f>
        <v>0.08</v>
      </c>
    </row>
    <row r="52" spans="2:21" ht="12" customHeight="1">
      <c r="B52" s="223"/>
      <c r="C52" s="2186" t="s">
        <v>270</v>
      </c>
      <c r="D52" s="2186"/>
      <c r="E52" s="1112"/>
      <c r="F52" s="1114">
        <f>IF('2. &amp; 7. T2  RESULTATB.'!E11=0,0,365*F51/'2. &amp; 7. T2  RESULTATB.'!E11)</f>
        <v>0</v>
      </c>
      <c r="G52" s="1114">
        <f>IF('2. &amp; 7. T2  RESULTATB.'!G11=0,0,365*G51/'2. &amp; 7. T2  RESULTATB.'!G11)</f>
        <v>10.25775218038957</v>
      </c>
      <c r="H52" s="1115">
        <f>G52</f>
        <v>10.25775218038957</v>
      </c>
      <c r="I52" s="1115">
        <f>H52</f>
        <v>10.25775218038957</v>
      </c>
      <c r="J52" s="1115">
        <f>I52</f>
        <v>10.25775218038957</v>
      </c>
      <c r="K52" s="1116">
        <f>J52</f>
        <v>10.25775218038957</v>
      </c>
      <c r="M52" s="2196" t="s">
        <v>616</v>
      </c>
      <c r="N52" s="2197"/>
      <c r="O52" s="2198"/>
      <c r="P52" s="1324"/>
      <c r="Q52" s="1324"/>
      <c r="R52" s="1314">
        <f>IF(R50=0,0,R50/'2. &amp; 7. T2  RESULTATB.'!I31)</f>
        <v>-4.4523952723194003E-2</v>
      </c>
      <c r="S52" s="1314">
        <f>IF(S50=0,0,S50/'2. &amp; 7. T2  RESULTATB.'!K31)</f>
        <v>0</v>
      </c>
      <c r="T52" s="1314">
        <f>IF(T50=0,0,T50/'2. &amp; 7. T2  RESULTATB.'!M31)</f>
        <v>2.334998408978986E-2</v>
      </c>
      <c r="U52" s="1317">
        <f>IF(U50=0,0,U50/'2. &amp; 7. T2  RESULTATB.'!O31)</f>
        <v>9.3270618287362689E-2</v>
      </c>
    </row>
    <row r="53" spans="2:21" ht="12.75" customHeight="1">
      <c r="B53" s="223">
        <v>30</v>
      </c>
      <c r="C53" s="686" t="s">
        <v>327</v>
      </c>
      <c r="D53" s="686"/>
      <c r="E53" s="687" t="s">
        <v>15</v>
      </c>
      <c r="F53" s="1090">
        <f>'3. &amp; 8. T3 BALANS'!F46+'3. &amp; 8. T3 BALANS'!F47</f>
        <v>0</v>
      </c>
      <c r="G53" s="1090">
        <f>'3. &amp; 8. T3 BALANS'!G46+'3. &amp; 8. T3 BALANS'!G47</f>
        <v>2185</v>
      </c>
      <c r="H53" s="1090">
        <f>'3. &amp; 8. T3 BALANS'!H46+'3. &amp; 8. T3 BALANS'!H47</f>
        <v>968</v>
      </c>
      <c r="I53" s="1090">
        <f>'3. &amp; 8. T3 BALANS'!I46+'3. &amp; 8. T3 BALANS'!I47</f>
        <v>1093</v>
      </c>
      <c r="J53" s="1090">
        <f>'3. &amp; 8. T3 BALANS'!J46+'3. &amp; 8. T3 BALANS'!J47</f>
        <v>1277</v>
      </c>
      <c r="K53" s="900">
        <f>'3. &amp; 8. T3 BALANS'!K46+'3. &amp; 8. T3 BALANS'!K47</f>
        <v>1302</v>
      </c>
      <c r="M53" s="1399"/>
      <c r="N53" s="953"/>
      <c r="O53" s="953"/>
      <c r="P53" s="953"/>
      <c r="Q53" s="953"/>
      <c r="R53" s="953"/>
      <c r="S53" s="953"/>
      <c r="T53" s="953"/>
      <c r="U53" s="1400"/>
    </row>
    <row r="54" spans="2:21" ht="12.75" customHeight="1">
      <c r="B54" s="223">
        <v>31</v>
      </c>
      <c r="C54" s="686" t="s">
        <v>328</v>
      </c>
      <c r="D54" s="686"/>
      <c r="E54" s="687" t="s">
        <v>15</v>
      </c>
      <c r="F54" s="1090">
        <f>'3. &amp; 8. T3 BALANS'!F44</f>
        <v>0</v>
      </c>
      <c r="G54" s="1090">
        <f>'3. &amp; 8. T3 BALANS'!G44</f>
        <v>0</v>
      </c>
      <c r="H54" s="1090">
        <f>H55*'2. &amp; 7. T2  RESULTATB.'!I11</f>
        <v>0</v>
      </c>
      <c r="I54" s="1090">
        <f>I55*'2. &amp; 7. T2  RESULTATB.'!K11</f>
        <v>0</v>
      </c>
      <c r="J54" s="1090">
        <f>J55*'2. &amp; 7. T2  RESULTATB.'!M11</f>
        <v>0</v>
      </c>
      <c r="K54" s="900">
        <f>K55*'2. &amp; 7. T2  RESULTATB.'!O11</f>
        <v>0</v>
      </c>
      <c r="M54" s="477"/>
      <c r="N54" s="381"/>
      <c r="O54" s="381">
        <v>0</v>
      </c>
      <c r="P54" s="381"/>
      <c r="Q54" s="381"/>
      <c r="R54" s="381"/>
      <c r="S54" s="381"/>
      <c r="T54" s="381"/>
      <c r="U54" s="438"/>
    </row>
    <row r="55" spans="2:21" ht="12" customHeight="1">
      <c r="B55" s="223"/>
      <c r="C55" s="2186" t="s">
        <v>536</v>
      </c>
      <c r="D55" s="2186"/>
      <c r="E55" s="1112"/>
      <c r="F55" s="1113">
        <f>IF('2. &amp; 7. T2  RESULTATB.'!E11=0,0,F54/'2. &amp; 7. T2  RESULTATB.'!E11)</f>
        <v>0</v>
      </c>
      <c r="G55" s="1113">
        <f>IF('2. &amp; 7. T2  RESULTATB.'!G11=0,0,G54/'2. &amp; 7. T2  RESULTATB.'!G11)</f>
        <v>0</v>
      </c>
      <c r="H55" s="1110">
        <f>G55</f>
        <v>0</v>
      </c>
      <c r="I55" s="1110">
        <f>H55</f>
        <v>0</v>
      </c>
      <c r="J55" s="1110">
        <f>I55</f>
        <v>0</v>
      </c>
      <c r="K55" s="1111">
        <f>J55</f>
        <v>0</v>
      </c>
      <c r="M55" s="477"/>
      <c r="N55" s="381"/>
      <c r="O55" s="381"/>
      <c r="P55" s="381"/>
      <c r="Q55" s="381"/>
      <c r="R55" s="381"/>
      <c r="S55" s="381"/>
      <c r="T55" s="381"/>
      <c r="U55" s="438"/>
    </row>
    <row r="56" spans="2:21" ht="12.75" customHeight="1">
      <c r="B56" s="223">
        <v>32</v>
      </c>
      <c r="C56" s="691" t="s">
        <v>329</v>
      </c>
      <c r="D56" s="691"/>
      <c r="E56" s="688" t="s">
        <v>166</v>
      </c>
      <c r="F56" s="1090">
        <f>'3. &amp; 8. T3 BALANS'!F81</f>
        <v>0</v>
      </c>
      <c r="G56" s="1090">
        <f>'3. &amp; 8. T3 BALANS'!G81</f>
        <v>1959</v>
      </c>
      <c r="H56" s="1090">
        <f>IF('2. &amp; 7. T2  RESULTATB.'!I11=0,0,-H57*('2. &amp; 7. T2  RESULTATB.'!I15+'2. &amp; 7. T2  RESULTATB.'!I16+'2. &amp; 7. T2  RESULTATB.'!I18)/365)</f>
        <v>1896.4335429780856</v>
      </c>
      <c r="I56" s="1090">
        <f>IF('2. &amp; 7. T2  RESULTATB.'!K11=0,0,-I57*('2. &amp; 7. T2  RESULTATB.'!K15+'2. &amp; 7. T2  RESULTATB.'!K16+'2. &amp; 7. T2  RESULTATB.'!K18)/365)</f>
        <v>1689.8794950299921</v>
      </c>
      <c r="J56" s="1090">
        <f>IF('2. &amp; 7. T2  RESULTATB.'!M11=0,0,-J57*('2. &amp; 7. T2  RESULTATB.'!M15+'2. &amp; 7. T2  RESULTATB.'!M16+'2. &amp; 7. T2  RESULTATB.'!M18)/365)</f>
        <v>1828.7480480335748</v>
      </c>
      <c r="K56" s="900">
        <f>IF('2. &amp; 7. T2  RESULTATB.'!O11=0,0,-K57*('2. &amp; 7. T2  RESULTATB.'!O15+'2. &amp; 7. T2  RESULTATB.'!O16+'2. &amp; 7. T2  RESULTATB.'!O18)/365)</f>
        <v>1878.8704166868977</v>
      </c>
      <c r="M56" s="477"/>
      <c r="N56" s="381"/>
      <c r="O56" s="381"/>
      <c r="P56" s="381"/>
      <c r="Q56" s="381"/>
      <c r="R56" s="381"/>
      <c r="S56" s="381"/>
      <c r="T56" s="381"/>
      <c r="U56" s="438"/>
    </row>
    <row r="57" spans="2:21" ht="12" customHeight="1">
      <c r="B57" s="223"/>
      <c r="C57" s="2186" t="s">
        <v>330</v>
      </c>
      <c r="D57" s="2186"/>
      <c r="E57" s="1112"/>
      <c r="F57" s="1114">
        <f>-IF('2. &amp; 7. T2  RESULTATB.'!E15+'2. &amp; 7. T2  RESULTATB.'!E16+'2. &amp; 7. T2  RESULTATB.'!E18=0,0,365*F56/('2. &amp; 7. T2  RESULTATB.'!E15+'2. &amp; 7. T2  RESULTATB.'!E16+'2. &amp; 7. T2  RESULTATB.'!E18))</f>
        <v>0</v>
      </c>
      <c r="G57" s="1114">
        <f>-IF('2. &amp; 7. T2  RESULTATB.'!G15+'2. &amp; 7. T2  RESULTATB.'!G16+'2. &amp; 7. T2  RESULTATB.'!G18=0,0,365*G56/('2. &amp; 7. T2  RESULTATB.'!G15+'2. &amp; 7. T2  RESULTATB.'!G16+'2. &amp; 7. T2  RESULTATB.'!G18))</f>
        <v>12.815395644771037</v>
      </c>
      <c r="H57" s="1115">
        <f>G57</f>
        <v>12.815395644771037</v>
      </c>
      <c r="I57" s="1115">
        <f>H57</f>
        <v>12.815395644771037</v>
      </c>
      <c r="J57" s="1115">
        <f>I57</f>
        <v>12.815395644771037</v>
      </c>
      <c r="K57" s="1116">
        <f>J57</f>
        <v>12.815395644771037</v>
      </c>
      <c r="M57" s="477"/>
      <c r="N57" s="381"/>
      <c r="O57" s="381"/>
      <c r="P57" s="381"/>
      <c r="Q57" s="381"/>
      <c r="R57" s="381"/>
      <c r="S57" s="381"/>
      <c r="T57" s="381"/>
      <c r="U57" s="438"/>
    </row>
    <row r="58" spans="2:21" ht="12.75" customHeight="1">
      <c r="B58" s="223">
        <v>33</v>
      </c>
      <c r="C58" s="691" t="s">
        <v>331</v>
      </c>
      <c r="D58" s="691"/>
      <c r="E58" s="688" t="s">
        <v>166</v>
      </c>
      <c r="F58" s="1090">
        <f>'3. &amp; 8. T3 BALANS'!F96</f>
        <v>0</v>
      </c>
      <c r="G58" s="1090">
        <f>'3. &amp; 8. T3 BALANS'!G96</f>
        <v>0</v>
      </c>
      <c r="H58" s="1090">
        <f>H59*'2. &amp; 7. T2  RESULTATB.'!I11</f>
        <v>0</v>
      </c>
      <c r="I58" s="1090">
        <f>I59*'2. &amp; 7. T2  RESULTATB.'!K11</f>
        <v>0</v>
      </c>
      <c r="J58" s="1090">
        <f>J59*'2. &amp; 7. T2  RESULTATB.'!M11</f>
        <v>0</v>
      </c>
      <c r="K58" s="900">
        <f>K59*'2. &amp; 7. T2  RESULTATB.'!O11</f>
        <v>0</v>
      </c>
      <c r="M58" s="477"/>
      <c r="N58" s="381"/>
      <c r="O58" s="381"/>
      <c r="P58" s="381"/>
      <c r="Q58" s="381"/>
      <c r="R58" s="381"/>
      <c r="S58" s="381"/>
      <c r="T58" s="381"/>
      <c r="U58" s="438"/>
    </row>
    <row r="59" spans="2:21" ht="12" customHeight="1">
      <c r="B59" s="223"/>
      <c r="C59" s="2186" t="s">
        <v>530</v>
      </c>
      <c r="D59" s="2186"/>
      <c r="E59" s="1112"/>
      <c r="F59" s="1117">
        <f>IF('2. &amp; 7. T2  RESULTATB.'!E11=0,0,F58/'2. &amp; 7. T2  RESULTATB.'!E11)</f>
        <v>0</v>
      </c>
      <c r="G59" s="1117">
        <f>IF('2. &amp; 7. T2  RESULTATB.'!G11=0,0,G58/'2. &amp; 7. T2  RESULTATB.'!G11)</f>
        <v>0</v>
      </c>
      <c r="H59" s="1118">
        <f>G59</f>
        <v>0</v>
      </c>
      <c r="I59" s="1118">
        <f>H59</f>
        <v>0</v>
      </c>
      <c r="J59" s="1118">
        <f>I59</f>
        <v>0</v>
      </c>
      <c r="K59" s="1119">
        <f>J59</f>
        <v>0</v>
      </c>
      <c r="M59" s="477"/>
      <c r="N59" s="381"/>
      <c r="O59" s="381"/>
      <c r="P59" s="381"/>
      <c r="Q59" s="381"/>
      <c r="R59" s="381"/>
      <c r="S59" s="381"/>
      <c r="T59" s="381"/>
      <c r="U59" s="438"/>
    </row>
    <row r="60" spans="2:21" ht="12.75" customHeight="1">
      <c r="B60" s="223">
        <v>34</v>
      </c>
      <c r="C60" s="689" t="s">
        <v>332</v>
      </c>
      <c r="D60" s="689"/>
      <c r="E60" s="690" t="s">
        <v>35</v>
      </c>
      <c r="F60" s="1090">
        <f t="shared" ref="F60:K60" si="8">F49+F51+F54-F56-F58+F53</f>
        <v>0</v>
      </c>
      <c r="G60" s="1090">
        <f t="shared" si="8"/>
        <v>5169</v>
      </c>
      <c r="H60" s="1090">
        <f t="shared" si="8"/>
        <v>4477.2613389340613</v>
      </c>
      <c r="I60" s="1090">
        <f t="shared" si="8"/>
        <v>5567.6900759421133</v>
      </c>
      <c r="J60" s="1090">
        <f t="shared" si="8"/>
        <v>6719.6660468887021</v>
      </c>
      <c r="K60" s="900">
        <f t="shared" si="8"/>
        <v>6912.6861010830498</v>
      </c>
      <c r="M60" s="477"/>
      <c r="N60" s="381"/>
      <c r="O60" s="381"/>
      <c r="P60" s="381"/>
      <c r="Q60" s="381"/>
      <c r="R60" s="381"/>
      <c r="S60" s="381"/>
      <c r="T60" s="381"/>
      <c r="U60" s="438"/>
    </row>
    <row r="61" spans="2:21" ht="12.75" customHeight="1" thickBot="1">
      <c r="B61" s="410">
        <v>35</v>
      </c>
      <c r="C61" s="713" t="s">
        <v>333</v>
      </c>
      <c r="D61" s="713"/>
      <c r="E61" s="624" t="s">
        <v>18</v>
      </c>
      <c r="F61" s="1322"/>
      <c r="G61" s="1101">
        <f>G60-F60</f>
        <v>5169</v>
      </c>
      <c r="H61" s="1101">
        <f>IF(G60=0,0,H60-G60)</f>
        <v>-691.73866106593869</v>
      </c>
      <c r="I61" s="1101">
        <f>I60-H60</f>
        <v>1090.4287370080519</v>
      </c>
      <c r="J61" s="1101">
        <f>J60-I60</f>
        <v>1151.9759709465889</v>
      </c>
      <c r="K61" s="1102">
        <f>K60-J60</f>
        <v>193.02005419434772</v>
      </c>
      <c r="M61" s="955"/>
      <c r="N61" s="956"/>
      <c r="O61" s="956"/>
      <c r="P61" s="956"/>
      <c r="Q61" s="956"/>
      <c r="R61" s="956"/>
      <c r="S61" s="956"/>
      <c r="T61" s="956"/>
      <c r="U61" s="957"/>
    </row>
    <row r="62" spans="2:21" ht="3.75" customHeight="1">
      <c r="M62" s="51"/>
    </row>
    <row r="63" spans="2:21" ht="12.75" customHeight="1">
      <c r="B63" s="307" t="str">
        <f>'1. T1 INVESTERINGSP. '!B64</f>
        <v>FT22 Det aktiva företagets resultatplan</v>
      </c>
      <c r="K63" s="308" t="str">
        <f>STARTSIDAN!J5</f>
        <v xml:space="preserve">Tjänsten erbjuds av: </v>
      </c>
      <c r="M63" s="51" t="str">
        <f>B63</f>
        <v>FT22 Det aktiva företagets resultatplan</v>
      </c>
      <c r="R63" s="434"/>
      <c r="U63" s="950" t="str">
        <f>STARTSIDAN!J5</f>
        <v xml:space="preserve">Tjänsten erbjuds av: </v>
      </c>
    </row>
    <row r="64" spans="2:21" ht="12.75" customHeight="1">
      <c r="B64" s="307">
        <v>0</v>
      </c>
      <c r="F64" s="2185" t="str">
        <f>STARTSIDAN!H7</f>
        <v>Dynamo Närpes och Kristinestads näringslivscentral Ab</v>
      </c>
      <c r="G64" s="2185"/>
      <c r="H64" s="2185"/>
      <c r="I64" s="2185"/>
      <c r="J64" s="2185"/>
      <c r="K64" s="2185"/>
      <c r="U64" s="954" t="str">
        <f>F64</f>
        <v>Dynamo Närpes och Kristinestads näringslivscentral Ab</v>
      </c>
    </row>
    <row r="65" spans="2:21">
      <c r="F65" s="762"/>
      <c r="G65" s="763"/>
      <c r="H65" s="763"/>
      <c r="I65" s="763"/>
      <c r="J65" s="763"/>
      <c r="K65" s="763"/>
      <c r="M65" s="484"/>
      <c r="N65" s="152"/>
      <c r="O65" s="152"/>
      <c r="P65" s="152"/>
    </row>
    <row r="66" spans="2:21">
      <c r="B66" s="493" t="s">
        <v>238</v>
      </c>
      <c r="M66" s="152"/>
      <c r="N66" s="152"/>
      <c r="O66" s="152"/>
      <c r="P66" s="152"/>
    </row>
    <row r="67" spans="2:21">
      <c r="B67" s="51" t="s">
        <v>239</v>
      </c>
    </row>
    <row r="68" spans="2:21">
      <c r="B68" s="51" t="s">
        <v>240</v>
      </c>
    </row>
    <row r="71" spans="2:21" s="1458" customFormat="1">
      <c r="B71" s="1459"/>
      <c r="M71" s="1930"/>
      <c r="N71" s="1930"/>
      <c r="O71" s="1930"/>
      <c r="P71" s="1930"/>
      <c r="Q71" s="1930"/>
      <c r="R71" s="1930"/>
      <c r="S71" s="1930"/>
      <c r="T71" s="1930"/>
      <c r="U71" s="1930"/>
    </row>
    <row r="72" spans="2:21">
      <c r="M72" s="1931" t="s">
        <v>718</v>
      </c>
      <c r="N72" s="1932"/>
      <c r="O72" s="1932"/>
      <c r="P72" s="1933">
        <f>P11</f>
        <v>2021</v>
      </c>
      <c r="Q72" s="1933">
        <f>Q11</f>
        <v>2022</v>
      </c>
      <c r="R72" s="1934" t="s">
        <v>719</v>
      </c>
      <c r="S72" s="1934" t="s">
        <v>19</v>
      </c>
      <c r="T72" s="1934" t="s">
        <v>21</v>
      </c>
      <c r="U72" s="1934" t="s">
        <v>81</v>
      </c>
    </row>
    <row r="73" spans="2:21">
      <c r="M73" s="1932" t="s">
        <v>720</v>
      </c>
      <c r="N73" s="1932"/>
      <c r="O73" s="1932"/>
      <c r="P73" s="1934"/>
      <c r="Q73" s="1934"/>
      <c r="R73" s="1934"/>
      <c r="S73" s="1934"/>
      <c r="T73" s="1934"/>
      <c r="U73" s="1934"/>
    </row>
    <row r="74" spans="2:21">
      <c r="M74" s="1932" t="s">
        <v>721</v>
      </c>
      <c r="N74" s="1932"/>
      <c r="O74" s="1932"/>
      <c r="P74" s="1935">
        <f>P20+'2. &amp; 7. T2  RESULTATB.'!E24+'2. &amp; 7. T2  RESULTATB.'!E25+'2. &amp; 7. T2  RESULTATB.'!E27</f>
        <v>0</v>
      </c>
      <c r="Q74" s="1935">
        <f>Q20+'2. &amp; 7. T2  RESULTATB.'!G24+'2. &amp; 7. T2  RESULTATB.'!G25+'2. &amp; 7. T2  RESULTATB.'!G27</f>
        <v>2762</v>
      </c>
      <c r="R74" s="1935">
        <f>R20+'2. &amp; 7. T2  RESULTATB.'!I24+'2. &amp; 7. T2  RESULTATB.'!I25+'2. &amp; 7. T2  RESULTATB.'!I27</f>
        <v>-15754.216710292136</v>
      </c>
      <c r="S74" s="1935">
        <f>S20+'2. &amp; 7. T2  RESULTATB.'!K24+'2. &amp; 7. T2  RESULTATB.'!K25+'2. &amp; 7. T2  RESULTATB.'!K27</f>
        <v>22434.83116838858</v>
      </c>
      <c r="T74" s="1935">
        <f>T20+'2. &amp; 7. T2  RESULTATB.'!M24+'2. &amp; 7. T2  RESULTATB.'!M25+'2. &amp; 7. T2  RESULTATB.'!M27</f>
        <v>50525.685675460045</v>
      </c>
      <c r="U74" s="1935">
        <f>U20+'2. &amp; 7. T2  RESULTATB.'!O24+'2. &amp; 7. T2  RESULTATB.'!O25+'2. &amp; 7. T2  RESULTATB.'!O27</f>
        <v>54973.870531824534</v>
      </c>
    </row>
    <row r="75" spans="2:21">
      <c r="M75" s="1932" t="s">
        <v>722</v>
      </c>
      <c r="N75" s="1932"/>
      <c r="O75" s="1932"/>
      <c r="P75" s="1935">
        <v>0</v>
      </c>
      <c r="Q75" s="1935">
        <f>P76</f>
        <v>0</v>
      </c>
      <c r="R75" s="1935">
        <f>Q76</f>
        <v>8768</v>
      </c>
      <c r="S75" s="1935">
        <f>R76</f>
        <v>-7687.6567102921363</v>
      </c>
      <c r="T75" s="1935">
        <f>S76</f>
        <v>14747.174458096444</v>
      </c>
      <c r="U75" s="1935">
        <f>T76</f>
        <v>64093.086176908771</v>
      </c>
    </row>
    <row r="76" spans="2:21">
      <c r="M76" s="1932" t="s">
        <v>723</v>
      </c>
      <c r="N76" s="1932"/>
      <c r="O76" s="1932"/>
      <c r="P76" s="1935">
        <f>'3. &amp; 8. T3 BALANS'!F56</f>
        <v>0</v>
      </c>
      <c r="Q76" s="1935">
        <f>'3. &amp; 8. T3 BALANS'!G56</f>
        <v>8768</v>
      </c>
      <c r="R76" s="1935">
        <f>'3. &amp; 8. T3 BALANS'!H56</f>
        <v>-7687.6567102921363</v>
      </c>
      <c r="S76" s="1935">
        <f>'3. &amp; 8. T3 BALANS'!I56</f>
        <v>14747.174458096444</v>
      </c>
      <c r="T76" s="1935">
        <f>'3. &amp; 8. T3 BALANS'!J56</f>
        <v>64093.086176908771</v>
      </c>
      <c r="U76" s="1935">
        <f>'3. &amp; 8. T3 BALANS'!K56</f>
        <v>113939.50981458061</v>
      </c>
    </row>
    <row r="77" spans="2:21">
      <c r="M77" s="1932" t="s">
        <v>724</v>
      </c>
      <c r="N77" s="1932"/>
      <c r="O77" s="1932"/>
      <c r="P77" s="1935">
        <f t="shared" ref="P77:U77" si="9">(P75+P76)/2</f>
        <v>0</v>
      </c>
      <c r="Q77" s="1935">
        <f t="shared" si="9"/>
        <v>4384</v>
      </c>
      <c r="R77" s="1935">
        <f t="shared" si="9"/>
        <v>540.17164485393187</v>
      </c>
      <c r="S77" s="1935">
        <f t="shared" si="9"/>
        <v>3529.7588739021539</v>
      </c>
      <c r="T77" s="1935">
        <f t="shared" si="9"/>
        <v>39420.130317502611</v>
      </c>
      <c r="U77" s="1935">
        <f t="shared" si="9"/>
        <v>89016.297995744695</v>
      </c>
    </row>
    <row r="78" spans="2:21">
      <c r="M78" s="1932"/>
      <c r="N78" s="1932"/>
      <c r="O78" s="1932"/>
      <c r="P78" s="1935"/>
      <c r="Q78" s="1935"/>
      <c r="R78" s="1935"/>
      <c r="S78" s="1935"/>
      <c r="T78" s="1935"/>
      <c r="U78" s="1935"/>
    </row>
    <row r="79" spans="2:21">
      <c r="M79" s="1932" t="s">
        <v>725</v>
      </c>
      <c r="N79" s="1932"/>
      <c r="O79" s="1932"/>
      <c r="P79" s="1935"/>
      <c r="Q79" s="1935">
        <f>P80</f>
        <v>0</v>
      </c>
      <c r="R79" s="1935">
        <f>Q80</f>
        <v>9681</v>
      </c>
      <c r="S79" s="1935">
        <f>R80</f>
        <v>222745</v>
      </c>
      <c r="T79" s="1935">
        <f>S80</f>
        <v>197330</v>
      </c>
      <c r="U79" s="1935">
        <f>T80</f>
        <v>172660</v>
      </c>
    </row>
    <row r="80" spans="2:21">
      <c r="M80" s="1932" t="s">
        <v>726</v>
      </c>
      <c r="N80" s="1932"/>
      <c r="O80" s="1932"/>
      <c r="P80" s="1935">
        <f>'3. &amp; 8. T3 BALANS'!F67+'3. &amp; 8. T3 BALANS'!F76+'3. &amp; 8. T3 BALANS'!F79+'3. &amp; 8. T3 BALANS'!F83</f>
        <v>0</v>
      </c>
      <c r="Q80" s="1935">
        <f>'3. &amp; 8. T3 BALANS'!G67+'3. &amp; 8. T3 BALANS'!G76+'3. &amp; 8. T3 BALANS'!G79+'3. &amp; 8. T3 BALANS'!G83</f>
        <v>9681</v>
      </c>
      <c r="R80" s="1935">
        <f>'3. &amp; 8. T3 BALANS'!H67+'3. &amp; 8. T3 BALANS'!H76+'3. &amp; 8. T3 BALANS'!H79+'3. &amp; 8. T3 BALANS'!H83</f>
        <v>222745</v>
      </c>
      <c r="S80" s="1935">
        <f>'3. &amp; 8. T3 BALANS'!I67+'3. &amp; 8. T3 BALANS'!I76+'3. &amp; 8. T3 BALANS'!I79+'3. &amp; 8. T3 BALANS'!I83</f>
        <v>197330</v>
      </c>
      <c r="T80" s="1935">
        <f>'3. &amp; 8. T3 BALANS'!J67+'3. &amp; 8. T3 BALANS'!J76+'3. &amp; 8. T3 BALANS'!J79+'3. &amp; 8. T3 BALANS'!J83</f>
        <v>172660</v>
      </c>
      <c r="U80" s="1935">
        <f>'3. &amp; 8. T3 BALANS'!K67+'3. &amp; 8. T3 BALANS'!K76+'3. &amp; 8. T3 BALANS'!K79+'3. &amp; 8. T3 BALANS'!K83</f>
        <v>147990</v>
      </c>
    </row>
    <row r="81" spans="13:21">
      <c r="M81" s="1932" t="s">
        <v>727</v>
      </c>
      <c r="N81" s="1932"/>
      <c r="O81" s="1932"/>
      <c r="P81" s="1935">
        <f t="shared" ref="P81:U81" si="10">(P79+P80)/2</f>
        <v>0</v>
      </c>
      <c r="Q81" s="1935">
        <f t="shared" si="10"/>
        <v>4840.5</v>
      </c>
      <c r="R81" s="1935">
        <f t="shared" si="10"/>
        <v>116213</v>
      </c>
      <c r="S81" s="1935">
        <f t="shared" si="10"/>
        <v>210037.5</v>
      </c>
      <c r="T81" s="1935">
        <f t="shared" si="10"/>
        <v>184995</v>
      </c>
      <c r="U81" s="1935">
        <f t="shared" si="10"/>
        <v>160325</v>
      </c>
    </row>
    <row r="82" spans="13:21">
      <c r="M82" s="1931" t="s">
        <v>728</v>
      </c>
      <c r="N82" s="1931"/>
      <c r="O82" s="1931"/>
      <c r="P82" s="1936">
        <f t="shared" ref="P82:U82" si="11">IF(P77&lt;0,P81,P77+P81)</f>
        <v>0</v>
      </c>
      <c r="Q82" s="1936">
        <f t="shared" si="11"/>
        <v>9224.5</v>
      </c>
      <c r="R82" s="1936">
        <f t="shared" si="11"/>
        <v>116753.17164485394</v>
      </c>
      <c r="S82" s="1936">
        <f t="shared" si="11"/>
        <v>213567.25887390214</v>
      </c>
      <c r="T82" s="1936">
        <f t="shared" si="11"/>
        <v>224415.1303175026</v>
      </c>
      <c r="U82" s="1936">
        <f t="shared" si="11"/>
        <v>249341.29799574468</v>
      </c>
    </row>
    <row r="83" spans="13:21">
      <c r="M83" s="1930"/>
      <c r="N83" s="1930"/>
      <c r="O83" s="1930"/>
      <c r="P83" s="1937"/>
      <c r="Q83" s="1937"/>
      <c r="R83" s="1937"/>
      <c r="S83" s="1937"/>
      <c r="T83" s="1937"/>
      <c r="U83" s="1937"/>
    </row>
    <row r="84" spans="13:21">
      <c r="M84" s="1931" t="s">
        <v>729</v>
      </c>
      <c r="N84" s="1938"/>
      <c r="O84" s="1938"/>
      <c r="P84" s="1937"/>
      <c r="Q84" s="1937"/>
      <c r="R84" s="1937"/>
      <c r="S84" s="1937"/>
      <c r="T84" s="1937"/>
      <c r="U84" s="1937"/>
    </row>
    <row r="85" spans="13:21">
      <c r="M85" s="1932" t="s">
        <v>730</v>
      </c>
      <c r="N85" s="1938"/>
      <c r="O85" s="1938"/>
      <c r="P85" s="1937"/>
      <c r="Q85" s="1937"/>
      <c r="R85" s="1937"/>
      <c r="S85" s="1937"/>
      <c r="T85" s="1937"/>
      <c r="U85" s="1937"/>
    </row>
    <row r="86" spans="13:21">
      <c r="M86" s="1939" t="s">
        <v>731</v>
      </c>
      <c r="N86" s="1939"/>
      <c r="O86" s="1939"/>
      <c r="P86" s="1937">
        <f>P80-'3. &amp; 8. T3 BALANS'!F96</f>
        <v>0</v>
      </c>
      <c r="Q86" s="1937">
        <f>Q80-'3. &amp; 8. T3 BALANS'!G96</f>
        <v>9681</v>
      </c>
      <c r="R86" s="1937">
        <f>R80-'3. &amp; 8. T3 BALANS'!H96</f>
        <v>222745</v>
      </c>
      <c r="S86" s="1937">
        <f>S80-'3. &amp; 8. T3 BALANS'!I96</f>
        <v>197330</v>
      </c>
      <c r="T86" s="1937">
        <f>T80-'3. &amp; 8. T3 BALANS'!J96</f>
        <v>172660</v>
      </c>
      <c r="U86" s="1937">
        <f>U80-'3. &amp; 8. T3 BALANS'!K96</f>
        <v>147990</v>
      </c>
    </row>
    <row r="87" spans="13:21">
      <c r="M87" s="1930" t="s">
        <v>732</v>
      </c>
      <c r="N87" s="1930"/>
      <c r="O87" s="1930"/>
      <c r="P87" s="1937">
        <f>'3. &amp; 8. T3 BALANS'!F48+'3. &amp; 8. T3 BALANS'!F49</f>
        <v>0</v>
      </c>
      <c r="Q87" s="1937">
        <f>'3. &amp; 8. T3 BALANS'!G48+'3. &amp; 8. T3 BALANS'!G49</f>
        <v>2713</v>
      </c>
      <c r="R87" s="1937">
        <f>'3. &amp; 8. T3 BALANS'!H48+'3. &amp; 8. T3 BALANS'!H49</f>
        <v>3747.5254507738273</v>
      </c>
      <c r="S87" s="1937">
        <f>'3. &amp; 8. T3 BALANS'!I48+'3. &amp; 8. T3 BALANS'!I49</f>
        <v>19147.975187154356</v>
      </c>
      <c r="T87" s="1937">
        <f>'3. &amp; 8. T3 BALANS'!J48+'3. &amp; 8. T3 BALANS'!J49</f>
        <v>59945.330859170062</v>
      </c>
      <c r="U87" s="1937">
        <f>'3. &amp; 8. T3 BALANS'!K48+'3. &amp; 8. T3 BALANS'!K49</f>
        <v>100334.66070452209</v>
      </c>
    </row>
  </sheetData>
  <sheetProtection algorithmName="SHA-512" hashValue="ALO+T+Y1EZMCIwCRNGBezYxaZm88SSVT9n0jymBWuIZK17lILvrRFVwUIYDzSqzOEKEdTADqErsviTu0wBvsvg==" saltValue="pS1SdJ4advtJk1ugxgwgUg==" spinCount="100000" sheet="1" objects="1" scenarios="1"/>
  <mergeCells count="32">
    <mergeCell ref="X20:AC20"/>
    <mergeCell ref="B44:F44"/>
    <mergeCell ref="B3:C4"/>
    <mergeCell ref="C15:D15"/>
    <mergeCell ref="C14:D14"/>
    <mergeCell ref="B10:E12"/>
    <mergeCell ref="H5:K5"/>
    <mergeCell ref="H6:K6"/>
    <mergeCell ref="H7:K7"/>
    <mergeCell ref="H8:K8"/>
    <mergeCell ref="C20:G20"/>
    <mergeCell ref="M10:O11"/>
    <mergeCell ref="M4:N4"/>
    <mergeCell ref="R5:U5"/>
    <mergeCell ref="R6:U6"/>
    <mergeCell ref="R7:U7"/>
    <mergeCell ref="R8:U8"/>
    <mergeCell ref="F64:K64"/>
    <mergeCell ref="C50:D50"/>
    <mergeCell ref="C52:D52"/>
    <mergeCell ref="C57:D57"/>
    <mergeCell ref="B46:D48"/>
    <mergeCell ref="C55:D55"/>
    <mergeCell ref="C59:D59"/>
    <mergeCell ref="M51:O51"/>
    <mergeCell ref="M52:O52"/>
    <mergeCell ref="M25:O25"/>
    <mergeCell ref="M27:O27"/>
    <mergeCell ref="M29:O29"/>
    <mergeCell ref="M31:O31"/>
    <mergeCell ref="M32:O32"/>
    <mergeCell ref="M35:O35"/>
  </mergeCells>
  <conditionalFormatting sqref="P22:U22">
    <cfRule type="containsText" dxfId="42" priority="1" operator="containsText" text="Tillfredställande">
      <formula>NOT(ISERROR(SEARCH("Tillfredställande",P22)))</formula>
    </cfRule>
    <cfRule type="containsText" dxfId="41" priority="24" operator="containsText" text="Bra">
      <formula>NOT(ISERROR(SEARCH("Bra",P22)))</formula>
    </cfRule>
    <cfRule type="containsText" dxfId="40" priority="25" operator="containsText" text="Tilfredställande">
      <formula>NOT(ISERROR(SEARCH("Tilfredställande",P22)))</formula>
    </cfRule>
    <cfRule type="containsText" dxfId="39" priority="26" operator="containsText" text="Svag">
      <formula>NOT(ISERROR(SEARCH("Svag",P22)))</formula>
    </cfRule>
  </conditionalFormatting>
  <conditionalFormatting sqref="P28:U28">
    <cfRule type="containsText" dxfId="38" priority="21" operator="containsText" text="Bra">
      <formula>NOT(ISERROR(SEARCH("Bra",P28)))</formula>
    </cfRule>
    <cfRule type="containsText" dxfId="37" priority="22" operator="containsText" text="Tillfredställande">
      <formula>NOT(ISERROR(SEARCH("Tillfredställande",P28)))</formula>
    </cfRule>
    <cfRule type="containsText" dxfId="36" priority="23" operator="containsText" text="Svag">
      <formula>NOT(ISERROR(SEARCH("Svag",P28)))</formula>
    </cfRule>
  </conditionalFormatting>
  <conditionalFormatting sqref="P30:U30">
    <cfRule type="containsText" dxfId="35" priority="18" operator="containsText" text="Bra">
      <formula>NOT(ISERROR(SEARCH("Bra",P30)))</formula>
    </cfRule>
    <cfRule type="containsText" dxfId="34" priority="19" operator="containsText" text="Tillfredställande">
      <formula>NOT(ISERROR(SEARCH("Tillfredställande",P30)))</formula>
    </cfRule>
    <cfRule type="containsText" dxfId="33" priority="20" operator="containsText" text="Svag">
      <formula>NOT(ISERROR(SEARCH("Svag",P30)))</formula>
    </cfRule>
  </conditionalFormatting>
  <conditionalFormatting sqref="Q33">
    <cfRule type="containsText" dxfId="32" priority="15" operator="containsText" text="Bra">
      <formula>NOT(ISERROR(SEARCH("Bra",Q33)))</formula>
    </cfRule>
    <cfRule type="containsText" dxfId="31" priority="16" operator="containsText" text="Tillfredställande">
      <formula>NOT(ISERROR(SEARCH("Tillfredställande",Q33)))</formula>
    </cfRule>
    <cfRule type="containsText" dxfId="30" priority="17" operator="containsText" text="Svag">
      <formula>NOT(ISERROR(SEARCH("Svag",Q33)))</formula>
    </cfRule>
  </conditionalFormatting>
  <conditionalFormatting sqref="R33:U33">
    <cfRule type="containsText" dxfId="29" priority="12" operator="containsText" text="Bra">
      <formula>NOT(ISERROR(SEARCH("Bra",R33)))</formula>
    </cfRule>
    <cfRule type="containsText" dxfId="28" priority="13" operator="containsText" text="Tillfredställande">
      <formula>NOT(ISERROR(SEARCH("Tillfredställande",R33)))</formula>
    </cfRule>
    <cfRule type="containsText" dxfId="27" priority="14" operator="containsText" text="Svag">
      <formula>NOT(ISERROR(SEARCH("Svag",R33)))</formula>
    </cfRule>
  </conditionalFormatting>
  <conditionalFormatting sqref="P36:U36">
    <cfRule type="containsText" dxfId="26" priority="9" operator="containsText" text="Bra">
      <formula>NOT(ISERROR(SEARCH("Bra",P36)))</formula>
    </cfRule>
    <cfRule type="containsText" dxfId="25" priority="10" operator="containsText" text="Tillfredställande">
      <formula>NOT(ISERROR(SEARCH("Tillfredställande",P36)))</formula>
    </cfRule>
    <cfRule type="containsText" dxfId="24" priority="11" operator="containsText" text="Svag">
      <formula>NOT(ISERROR(SEARCH("Svag",P36)))</formula>
    </cfRule>
  </conditionalFormatting>
  <conditionalFormatting sqref="P43:U43">
    <cfRule type="containsText" dxfId="23" priority="6" operator="containsText" text="Bra">
      <formula>NOT(ISERROR(SEARCH("Bra",P43)))</formula>
    </cfRule>
    <cfRule type="containsText" dxfId="22" priority="7" operator="containsText" text="Tillfredställande">
      <formula>NOT(ISERROR(SEARCH("Tillfredställande",P43)))</formula>
    </cfRule>
    <cfRule type="containsText" dxfId="21" priority="8" operator="containsText" text="Svag">
      <formula>NOT(ISERROR(SEARCH("Svag",P43)))</formula>
    </cfRule>
  </conditionalFormatting>
  <conditionalFormatting sqref="P38:U38">
    <cfRule type="containsText" dxfId="20" priority="2" operator="containsText" text="Nettoskuldfri">
      <formula>NOT(ISERROR(SEARCH("Nettoskuldfri",P38)))</formula>
    </cfRule>
    <cfRule type="containsText" dxfId="19" priority="3" operator="containsText" text="Bra">
      <formula>NOT(ISERROR(SEARCH("Bra",P38)))</formula>
    </cfRule>
    <cfRule type="containsText" dxfId="18" priority="5" operator="containsText" text="Svag">
      <formula>NOT(ISERROR(SEARCH("Svag",P38)))</formula>
    </cfRule>
  </conditionalFormatting>
  <printOptions horizontalCentered="1"/>
  <pageMargins left="0.23622047244094491" right="0.23622047244094491" top="0.74803149606299213" bottom="0.74803149606299213" header="0.31496062992125984" footer="0.31496062992125984"/>
  <pageSetup paperSize="9" scale="90" orientation="portrait" verticalDpi="4" r:id="rId1"/>
  <colBreaks count="1" manualBreakCount="1">
    <brk id="11" min="1" max="63"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61">
    <tabColor rgb="FF33CC33"/>
  </sheetPr>
  <dimension ref="A9:GO201"/>
  <sheetViews>
    <sheetView showGridLines="0" showZeros="0" defaultGridColor="0" topLeftCell="A10" colorId="55" zoomScaleNormal="100" workbookViewId="0">
      <selection activeCell="O10" sqref="O10:Q10"/>
    </sheetView>
  </sheetViews>
  <sheetFormatPr defaultRowHeight="12.45"/>
  <cols>
    <col min="1" max="1" width="12.84375" customWidth="1"/>
    <col min="2" max="2" width="4.07421875" customWidth="1"/>
    <col min="3" max="3" width="4.4609375" customWidth="1"/>
    <col min="4" max="4" width="28.3046875" customWidth="1"/>
    <col min="5" max="5" width="7.3046875" customWidth="1"/>
    <col min="6" max="6" width="7.53515625" style="41" customWidth="1"/>
    <col min="7" max="19" width="9.84375" customWidth="1"/>
    <col min="20" max="20" width="10.53515625" customWidth="1"/>
    <col min="21" max="21" width="11.4609375" style="1359" customWidth="1"/>
    <col min="22" max="22" width="3.53515625" customWidth="1"/>
    <col min="23" max="23" width="8.69140625" style="1452" customWidth="1"/>
    <col min="24" max="24" width="6.84375" hidden="1" customWidth="1"/>
    <col min="25" max="25" width="5.07421875" hidden="1" customWidth="1"/>
    <col min="26" max="26" width="8.84375" hidden="1" customWidth="1"/>
    <col min="27" max="27" width="6.84375" hidden="1" customWidth="1"/>
    <col min="28" max="28" width="8.84375" hidden="1" customWidth="1"/>
    <col min="29" max="29" width="6.4609375" hidden="1" customWidth="1"/>
    <col min="30" max="33" width="8.84375" hidden="1" customWidth="1"/>
    <col min="34" max="34" width="7.3046875" hidden="1" customWidth="1"/>
    <col min="35" max="35" width="8.84375" hidden="1" customWidth="1"/>
    <col min="36" max="36" width="6.07421875" hidden="1" customWidth="1"/>
    <col min="37" max="40" width="8.84375" hidden="1" customWidth="1"/>
    <col min="41" max="41" width="7.23046875" hidden="1" customWidth="1"/>
    <col min="42" max="42" width="8.84375" hidden="1" customWidth="1"/>
    <col min="43" max="43" width="6.765625" hidden="1" customWidth="1"/>
    <col min="44" max="49" width="8.84375" hidden="1" customWidth="1"/>
  </cols>
  <sheetData>
    <row r="9" spans="2:23" ht="48" customHeight="1">
      <c r="I9" s="2249"/>
      <c r="J9" s="2249"/>
    </row>
    <row r="10" spans="2:23" ht="15.75" customHeight="1">
      <c r="B10" s="97" t="s">
        <v>347</v>
      </c>
      <c r="C10" s="109"/>
      <c r="D10" s="110"/>
      <c r="E10" s="2250" t="s">
        <v>349</v>
      </c>
      <c r="F10" s="2250"/>
      <c r="G10" s="2250"/>
      <c r="H10" s="520">
        <v>1</v>
      </c>
      <c r="I10" s="479"/>
      <c r="J10" s="2257">
        <f>'3. &amp; 8. T3 BALANS'!D12</f>
        <v>0</v>
      </c>
      <c r="K10" s="2257"/>
      <c r="L10" s="174"/>
      <c r="M10" s="174"/>
      <c r="O10" s="2258" t="s">
        <v>696</v>
      </c>
      <c r="P10" s="2258"/>
      <c r="Q10" s="2258"/>
      <c r="R10" s="109"/>
      <c r="S10" s="109"/>
    </row>
    <row r="11" spans="2:23" ht="10.5" customHeight="1">
      <c r="B11" s="176" t="s">
        <v>171</v>
      </c>
      <c r="C11" s="109"/>
      <c r="D11" s="110"/>
      <c r="E11" s="110"/>
      <c r="F11" s="139"/>
      <c r="G11" s="139"/>
      <c r="H11" s="173"/>
      <c r="I11" s="111"/>
      <c r="J11" s="111"/>
      <c r="K11" s="111"/>
      <c r="L11" s="111"/>
      <c r="M11" s="111"/>
      <c r="O11" s="175"/>
      <c r="P11" s="175"/>
      <c r="Q11" s="175"/>
      <c r="R11" s="109"/>
      <c r="S11" s="109"/>
    </row>
    <row r="12" spans="2:23" ht="14.15">
      <c r="B12" s="177" t="str">
        <f>'2. &amp; 7. T2  RESULTATB.'!B5</f>
        <v>Exempel Dagis Ab</v>
      </c>
      <c r="C12" s="178"/>
      <c r="D12" s="91"/>
      <c r="E12" s="91"/>
      <c r="G12" s="112"/>
      <c r="H12" s="112"/>
      <c r="I12" s="112"/>
      <c r="J12" s="112"/>
      <c r="K12" s="112"/>
      <c r="L12" s="112"/>
      <c r="M12" s="112"/>
      <c r="O12" s="2259" t="s">
        <v>346</v>
      </c>
      <c r="P12" s="2259"/>
      <c r="Q12" s="2259"/>
      <c r="R12" s="112"/>
      <c r="S12" s="113"/>
      <c r="U12" s="1943"/>
      <c r="V12" s="2262"/>
      <c r="W12" s="1455"/>
    </row>
    <row r="13" spans="2:23" ht="10.199999999999999" customHeight="1">
      <c r="B13" s="112"/>
      <c r="C13" s="112"/>
      <c r="G13" s="112"/>
      <c r="H13" s="112"/>
      <c r="I13" s="112"/>
      <c r="J13" s="112"/>
      <c r="K13" s="112"/>
      <c r="L13" s="112"/>
      <c r="M13" s="112"/>
      <c r="N13" s="1865"/>
      <c r="O13" s="1865"/>
      <c r="P13" s="1865"/>
      <c r="Q13" s="112"/>
      <c r="R13" s="112"/>
      <c r="S13" s="113"/>
    </row>
    <row r="14" spans="2:23" ht="15" customHeight="1">
      <c r="B14" s="2266" t="s">
        <v>350</v>
      </c>
      <c r="C14" s="2266"/>
      <c r="D14" s="2266"/>
      <c r="E14" s="2266"/>
      <c r="F14" s="1872" t="s">
        <v>351</v>
      </c>
      <c r="G14" s="1869" t="s">
        <v>750</v>
      </c>
      <c r="H14" s="1870" t="s">
        <v>751</v>
      </c>
      <c r="I14" s="1870" t="s">
        <v>752</v>
      </c>
      <c r="J14" s="1870" t="s">
        <v>753</v>
      </c>
      <c r="K14" s="1870" t="s">
        <v>754</v>
      </c>
      <c r="L14" s="1870" t="s">
        <v>755</v>
      </c>
      <c r="M14" s="1870" t="s">
        <v>756</v>
      </c>
      <c r="N14" s="1870" t="s">
        <v>757</v>
      </c>
      <c r="O14" s="1870" t="s">
        <v>758</v>
      </c>
      <c r="P14" s="1870" t="s">
        <v>759</v>
      </c>
      <c r="Q14" s="1870" t="s">
        <v>760</v>
      </c>
      <c r="R14" s="1870" t="s">
        <v>761</v>
      </c>
      <c r="S14" s="1871" t="s">
        <v>348</v>
      </c>
    </row>
    <row r="15" spans="2:23" ht="12.65" customHeight="1">
      <c r="B15" s="2307">
        <v>1</v>
      </c>
      <c r="C15" s="2251" t="s">
        <v>704</v>
      </c>
      <c r="D15" s="2252"/>
      <c r="E15" s="2252"/>
      <c r="F15" s="2253"/>
      <c r="G15" s="1866">
        <f>IF(H10=1,'3. &amp; 8. T3 BALANS'!G49,'3. &amp; 8. T3 BALANS'!H49)</f>
        <v>2713</v>
      </c>
      <c r="H15" s="1867">
        <f>G60</f>
        <v>237587.07172993649</v>
      </c>
      <c r="I15" s="1867">
        <f t="shared" ref="I15:R15" si="0">H60</f>
        <v>242058.76459320632</v>
      </c>
      <c r="J15" s="1867">
        <f t="shared" si="0"/>
        <v>243552.47645068198</v>
      </c>
      <c r="K15" s="1867">
        <f t="shared" si="0"/>
        <v>245046.18830815764</v>
      </c>
      <c r="L15" s="1867">
        <f t="shared" si="0"/>
        <v>246539.9001656333</v>
      </c>
      <c r="M15" s="1867">
        <f t="shared" si="0"/>
        <v>239565.61202310896</v>
      </c>
      <c r="N15" s="1867">
        <f t="shared" si="0"/>
        <v>241059.32388058462</v>
      </c>
      <c r="O15" s="1867">
        <f t="shared" si="0"/>
        <v>242553.03573806028</v>
      </c>
      <c r="P15" s="1867">
        <f t="shared" si="0"/>
        <v>244046.74759553594</v>
      </c>
      <c r="Q15" s="1867">
        <f t="shared" si="0"/>
        <v>245540.4594530116</v>
      </c>
      <c r="R15" s="1867">
        <f t="shared" si="0"/>
        <v>247034.17131048726</v>
      </c>
      <c r="S15" s="1868"/>
    </row>
    <row r="16" spans="2:23" ht="12.65" customHeight="1">
      <c r="B16" s="2308"/>
      <c r="C16" s="2309" t="s">
        <v>705</v>
      </c>
      <c r="D16" s="2310"/>
      <c r="E16" s="2310"/>
      <c r="F16" s="2311"/>
      <c r="G16" s="1001">
        <f>'AT T5 Kassa'!C18</f>
        <v>4943</v>
      </c>
      <c r="H16" s="1001">
        <f>'AT T5 Kassa'!D18</f>
        <v>0</v>
      </c>
      <c r="I16" s="1001">
        <f>'AT T5 Kassa'!E18</f>
        <v>0</v>
      </c>
      <c r="J16" s="1001">
        <f>'AT T5 Kassa'!F18</f>
        <v>0</v>
      </c>
      <c r="K16" s="1001">
        <f>'AT T5 Kassa'!G18</f>
        <v>0</v>
      </c>
      <c r="L16" s="1001">
        <f>'AT T5 Kassa'!H18</f>
        <v>0</v>
      </c>
      <c r="M16" s="1002"/>
      <c r="N16" s="1002"/>
      <c r="O16" s="1002"/>
      <c r="P16" s="1002"/>
      <c r="Q16" s="1002"/>
      <c r="R16" s="1002"/>
      <c r="S16" s="1778">
        <f>SUM(G16:R16)</f>
        <v>4943</v>
      </c>
      <c r="U16" s="1365"/>
      <c r="V16" s="152"/>
      <c r="W16" s="1453"/>
    </row>
    <row r="17" spans="1:49" ht="12.65" customHeight="1">
      <c r="A17" s="2"/>
      <c r="B17" s="1391">
        <v>2</v>
      </c>
      <c r="C17" s="2246" t="s">
        <v>352</v>
      </c>
      <c r="D17" s="2254"/>
      <c r="E17" s="464">
        <v>0.5</v>
      </c>
      <c r="F17" s="465">
        <v>24</v>
      </c>
      <c r="G17" s="1003">
        <f t="shared" ref="G17:R17" si="1">G18*$S17</f>
        <v>9898.3310000000001</v>
      </c>
      <c r="H17" s="1003">
        <f t="shared" si="1"/>
        <v>9898.3310000000001</v>
      </c>
      <c r="I17" s="1003">
        <f t="shared" si="1"/>
        <v>9898.3310000000001</v>
      </c>
      <c r="J17" s="1003">
        <f t="shared" si="1"/>
        <v>9898.3310000000001</v>
      </c>
      <c r="K17" s="1003">
        <f t="shared" si="1"/>
        <v>9898.3310000000001</v>
      </c>
      <c r="L17" s="1003">
        <f t="shared" si="1"/>
        <v>9898.3310000000001</v>
      </c>
      <c r="M17" s="1003">
        <f>M18*$S17</f>
        <v>9898.3310000000001</v>
      </c>
      <c r="N17" s="1003">
        <f t="shared" si="1"/>
        <v>9898.3310000000001</v>
      </c>
      <c r="O17" s="1003">
        <f t="shared" si="1"/>
        <v>9898.3310000000001</v>
      </c>
      <c r="P17" s="1003">
        <f t="shared" si="1"/>
        <v>9898.3310000000001</v>
      </c>
      <c r="Q17" s="1003">
        <f t="shared" si="1"/>
        <v>9898.3310000000001</v>
      </c>
      <c r="R17" s="1003">
        <f t="shared" si="1"/>
        <v>10375.358999999999</v>
      </c>
      <c r="S17" s="1779">
        <f>IF(H10=2,E17*('6. E2 OMSÄTTNING '!$F$70+'6. E2 OMSÄTTNING '!$F$73),E17*('6. E2 OMSÄTTNING '!$E$70+'6. E2 OMSÄTTNING '!$E$73))</f>
        <v>119257</v>
      </c>
      <c r="U17" s="154"/>
      <c r="V17" s="152"/>
      <c r="W17" s="1453"/>
    </row>
    <row r="18" spans="1:49" ht="12.65" customHeight="1">
      <c r="B18" s="466"/>
      <c r="C18" s="466"/>
      <c r="D18" s="2255" t="s">
        <v>353</v>
      </c>
      <c r="E18" s="2255"/>
      <c r="F18" s="2256"/>
      <c r="G18" s="1004">
        <v>8.3000000000000004E-2</v>
      </c>
      <c r="H18" s="1004">
        <f>G18</f>
        <v>8.3000000000000004E-2</v>
      </c>
      <c r="I18" s="1004">
        <f t="shared" ref="I18:Q18" si="2">H18</f>
        <v>8.3000000000000004E-2</v>
      </c>
      <c r="J18" s="1004">
        <f t="shared" si="2"/>
        <v>8.3000000000000004E-2</v>
      </c>
      <c r="K18" s="1004">
        <f t="shared" si="2"/>
        <v>8.3000000000000004E-2</v>
      </c>
      <c r="L18" s="1004">
        <f t="shared" si="2"/>
        <v>8.3000000000000004E-2</v>
      </c>
      <c r="M18" s="1004">
        <f t="shared" si="2"/>
        <v>8.3000000000000004E-2</v>
      </c>
      <c r="N18" s="1004">
        <f t="shared" si="2"/>
        <v>8.3000000000000004E-2</v>
      </c>
      <c r="O18" s="1004">
        <f t="shared" si="2"/>
        <v>8.3000000000000004E-2</v>
      </c>
      <c r="P18" s="1004">
        <f t="shared" si="2"/>
        <v>8.3000000000000004E-2</v>
      </c>
      <c r="Q18" s="1004">
        <f t="shared" si="2"/>
        <v>8.3000000000000004E-2</v>
      </c>
      <c r="R18" s="1004">
        <v>8.6999999999999994E-2</v>
      </c>
      <c r="S18" s="1780">
        <f>SUM(G18:R18)</f>
        <v>0.99999999999999989</v>
      </c>
      <c r="U18" s="1366" t="str">
        <f>IF(E17=0," ",IF(S18=100%," ","KONROLLERA SIFFRAN SAMMALAGT!"))</f>
        <v xml:space="preserve"> </v>
      </c>
    </row>
    <row r="19" spans="1:49" ht="12.65" customHeight="1">
      <c r="B19" s="466">
        <v>3</v>
      </c>
      <c r="C19" s="2246" t="s">
        <v>354</v>
      </c>
      <c r="D19" s="2255"/>
      <c r="E19" s="2256"/>
      <c r="F19" s="467">
        <v>24</v>
      </c>
      <c r="G19" s="1003">
        <f>G20*$S19</f>
        <v>9898.3310000000001</v>
      </c>
      <c r="H19" s="1003">
        <f>H20*$S19</f>
        <v>9898.3310000000001</v>
      </c>
      <c r="I19" s="1003">
        <f t="shared" ref="I19:R19" si="3">I20*$S19</f>
        <v>9898.3310000000001</v>
      </c>
      <c r="J19" s="1003">
        <f t="shared" si="3"/>
        <v>9898.3310000000001</v>
      </c>
      <c r="K19" s="1003">
        <f t="shared" si="3"/>
        <v>9898.3310000000001</v>
      </c>
      <c r="L19" s="1003">
        <f t="shared" si="3"/>
        <v>9898.3310000000001</v>
      </c>
      <c r="M19" s="1003">
        <f t="shared" si="3"/>
        <v>9898.3310000000001</v>
      </c>
      <c r="N19" s="1003">
        <f t="shared" si="3"/>
        <v>9898.3310000000001</v>
      </c>
      <c r="O19" s="1003">
        <f t="shared" si="3"/>
        <v>9898.3310000000001</v>
      </c>
      <c r="P19" s="1003">
        <f t="shared" si="3"/>
        <v>9898.3310000000001</v>
      </c>
      <c r="Q19" s="1003">
        <f t="shared" si="3"/>
        <v>9898.3310000000001</v>
      </c>
      <c r="R19" s="1003">
        <f t="shared" si="3"/>
        <v>10375.358999999999</v>
      </c>
      <c r="S19" s="1779">
        <f>IF(H10=2,('6. E2 OMSÄTTNING '!F70+'6. E2 OMSÄTTNING '!F73)-S17,'6. E2 OMSÄTTNING '!E70+'6. E2 OMSÄTTNING '!E73-S17)</f>
        <v>119257</v>
      </c>
      <c r="U19" s="1360"/>
    </row>
    <row r="20" spans="1:49" ht="12.65" customHeight="1">
      <c r="B20" s="466"/>
      <c r="C20" s="466"/>
      <c r="D20" s="2255" t="s">
        <v>353</v>
      </c>
      <c r="E20" s="2255"/>
      <c r="F20" s="2256"/>
      <c r="G20" s="1005">
        <v>8.3000000000000004E-2</v>
      </c>
      <c r="H20" s="1004">
        <f>G20</f>
        <v>8.3000000000000004E-2</v>
      </c>
      <c r="I20" s="1004">
        <v>8.3000000000000004E-2</v>
      </c>
      <c r="J20" s="1004">
        <f t="shared" ref="J20:Q20" si="4">I20</f>
        <v>8.3000000000000004E-2</v>
      </c>
      <c r="K20" s="1004">
        <f t="shared" si="4"/>
        <v>8.3000000000000004E-2</v>
      </c>
      <c r="L20" s="1004">
        <f t="shared" si="4"/>
        <v>8.3000000000000004E-2</v>
      </c>
      <c r="M20" s="1004">
        <f t="shared" si="4"/>
        <v>8.3000000000000004E-2</v>
      </c>
      <c r="N20" s="1004">
        <f t="shared" si="4"/>
        <v>8.3000000000000004E-2</v>
      </c>
      <c r="O20" s="1004">
        <f t="shared" si="4"/>
        <v>8.3000000000000004E-2</v>
      </c>
      <c r="P20" s="1004">
        <f t="shared" si="4"/>
        <v>8.3000000000000004E-2</v>
      </c>
      <c r="Q20" s="1004">
        <f t="shared" si="4"/>
        <v>8.3000000000000004E-2</v>
      </c>
      <c r="R20" s="1004">
        <v>8.6999999999999994E-2</v>
      </c>
      <c r="S20" s="1780">
        <f>SUM(G20:R20)</f>
        <v>0.99999999999999989</v>
      </c>
      <c r="T20" s="251" t="str">
        <f>IF(E17=100%," ",IF(S20=100%," ","FEL!"))</f>
        <v xml:space="preserve"> </v>
      </c>
    </row>
    <row r="21" spans="1:49" ht="12.65" customHeight="1">
      <c r="B21" s="466"/>
      <c r="C21" s="466"/>
      <c r="D21" s="651" t="s">
        <v>355</v>
      </c>
      <c r="E21" s="468">
        <v>14</v>
      </c>
      <c r="F21" s="469" t="s">
        <v>356</v>
      </c>
      <c r="G21" s="1003">
        <f>'AT T5 Kassa'!C42</f>
        <v>5279.1098666666667</v>
      </c>
      <c r="H21" s="1003">
        <f>'AT T5 Kassa'!D42</f>
        <v>9898.3310000000001</v>
      </c>
      <c r="I21" s="1003">
        <f>'AT T5 Kassa'!E42</f>
        <v>9898.3310000000001</v>
      </c>
      <c r="J21" s="1003">
        <f>'AT T5 Kassa'!F42</f>
        <v>9898.3310000000001</v>
      </c>
      <c r="K21" s="1003">
        <f>'AT T5 Kassa'!G42</f>
        <v>9898.3310000000001</v>
      </c>
      <c r="L21" s="1003">
        <f>'AT T5 Kassa'!H42</f>
        <v>9898.3310000000001</v>
      </c>
      <c r="M21" s="1003">
        <f>'AT T5 Kassa'!I42</f>
        <v>9898.3310000000001</v>
      </c>
      <c r="N21" s="1003">
        <f>'AT T5 Kassa'!J42</f>
        <v>9898.3310000000001</v>
      </c>
      <c r="O21" s="1003">
        <f>'AT T5 Kassa'!K42</f>
        <v>9898.3310000000001</v>
      </c>
      <c r="P21" s="1003">
        <f>'AT T5 Kassa'!L42</f>
        <v>9898.3310000000001</v>
      </c>
      <c r="Q21" s="1003">
        <f>'AT T5 Kassa'!M42</f>
        <v>9898.3310000000001</v>
      </c>
      <c r="R21" s="1003">
        <f>'AT T5 Kassa'!N42</f>
        <v>10152.745933333332</v>
      </c>
      <c r="S21" s="1779">
        <f>SUM(G21:R21)</f>
        <v>114415.16580000002</v>
      </c>
    </row>
    <row r="22" spans="1:49" ht="12.65" customHeight="1">
      <c r="B22" s="466">
        <v>4</v>
      </c>
      <c r="C22" s="2312" t="s">
        <v>537</v>
      </c>
      <c r="D22" s="2313"/>
      <c r="E22" s="2314"/>
      <c r="F22" s="467">
        <v>24</v>
      </c>
      <c r="G22" s="1006">
        <v>0</v>
      </c>
      <c r="H22" s="1006">
        <v>0</v>
      </c>
      <c r="I22" s="1006">
        <v>0</v>
      </c>
      <c r="J22" s="1006">
        <v>0</v>
      </c>
      <c r="K22" s="1006">
        <v>0</v>
      </c>
      <c r="L22" s="1006">
        <v>0</v>
      </c>
      <c r="M22" s="1006">
        <v>0</v>
      </c>
      <c r="N22" s="1006">
        <v>0</v>
      </c>
      <c r="O22" s="1006">
        <v>0</v>
      </c>
      <c r="P22" s="1006">
        <v>0</v>
      </c>
      <c r="Q22" s="1006">
        <v>0</v>
      </c>
      <c r="R22" s="1006">
        <v>0</v>
      </c>
      <c r="S22" s="1779">
        <f>SUM(G22:R22)</f>
        <v>0</v>
      </c>
      <c r="U22" s="1775" t="s">
        <v>734</v>
      </c>
    </row>
    <row r="23" spans="1:49" ht="12.65" customHeight="1" thickBot="1">
      <c r="B23" s="1392">
        <v>5</v>
      </c>
      <c r="C23" s="2263" t="s">
        <v>594</v>
      </c>
      <c r="D23" s="2264"/>
      <c r="E23" s="2264"/>
      <c r="F23" s="2265"/>
      <c r="G23" s="1007">
        <f>IF($H10=1,'2. &amp; 7. T2  RESULTATB.'!$I12/12+'3. &amp; 8. T3 BALANS'!H36,'2. &amp; 7. T2  RESULTATB.'!$K12/12+'3. &amp; 8. T3 BALANS'!I36)</f>
        <v>45</v>
      </c>
      <c r="H23" s="1007">
        <f>IF($H10=1,'2. &amp; 7. T2  RESULTATB.'!$I12/12,'2. &amp; 7. T2  RESULTATB.'!$K12/12)</f>
        <v>45</v>
      </c>
      <c r="I23" s="1007">
        <f>IF($H10=1,'2. &amp; 7. T2  RESULTATB.'!$I12/12,'2. &amp; 7. T2  RESULTATB.'!$K12/12)</f>
        <v>45</v>
      </c>
      <c r="J23" s="1007">
        <f>IF($H10=1,'2. &amp; 7. T2  RESULTATB.'!$I12/12,'2. &amp; 7. T2  RESULTATB.'!$K12/12)</f>
        <v>45</v>
      </c>
      <c r="K23" s="1007">
        <f>IF($H10=1,'2. &amp; 7. T2  RESULTATB.'!$I12/12,'2. &amp; 7. T2  RESULTATB.'!$K12/12)</f>
        <v>45</v>
      </c>
      <c r="L23" s="1007">
        <f>IF($H10=1,'2. &amp; 7. T2  RESULTATB.'!$I12/12,'2. &amp; 7. T2  RESULTATB.'!$K12/12)</f>
        <v>45</v>
      </c>
      <c r="M23" s="1007">
        <f>IF($H10=1,'2. &amp; 7. T2  RESULTATB.'!$I12/12+'1. T1 INVESTERINGSP. '!D59,'2. &amp; 7. T2  RESULTATB.'!$K12/12+'1. T1 INVESTERINGSP. '!E59)</f>
        <v>45</v>
      </c>
      <c r="N23" s="1007">
        <f>IF($H10=1,'2. &amp; 7. T2  RESULTATB.'!$I12/12,'2. &amp; 7. T2  RESULTATB.'!$K12/12)</f>
        <v>45</v>
      </c>
      <c r="O23" s="1007">
        <f>IF($H10=1,'2. &amp; 7. T2  RESULTATB.'!$I12/12,'2. &amp; 7. T2  RESULTATB.'!$K12/12)</f>
        <v>45</v>
      </c>
      <c r="P23" s="1007">
        <f>IF($H10=1,'2. &amp; 7. T2  RESULTATB.'!$I12/12,'2. &amp; 7. T2  RESULTATB.'!$K12/12)</f>
        <v>45</v>
      </c>
      <c r="Q23" s="1007">
        <f>IF($H10=1,'2. &amp; 7. T2  RESULTATB.'!$I12/12,'2. &amp; 7. T2  RESULTATB.'!$K12/12)</f>
        <v>45</v>
      </c>
      <c r="R23" s="1007">
        <f>IF($H10=1,'2. &amp; 7. T2  RESULTATB.'!$I12/12,'2. &amp; 7. T2  RESULTATB.'!$K12/12)</f>
        <v>45</v>
      </c>
      <c r="S23" s="1779">
        <f>SUM(G23:R23)</f>
        <v>540</v>
      </c>
      <c r="U23" s="1775" t="s">
        <v>735</v>
      </c>
      <c r="V23" s="52"/>
      <c r="W23" s="52"/>
    </row>
    <row r="24" spans="1:49" ht="12.9" thickTop="1">
      <c r="B24" s="2267" t="s">
        <v>357</v>
      </c>
      <c r="C24" s="2268"/>
      <c r="D24" s="2268"/>
      <c r="E24" s="2269"/>
      <c r="F24" s="1461"/>
      <c r="G24" s="1462">
        <f>G17+G21+G23+G22</f>
        <v>15222.440866666668</v>
      </c>
      <c r="H24" s="1462">
        <f t="shared" ref="H24:R24" si="5">H17+H21+H23+H22</f>
        <v>19841.662</v>
      </c>
      <c r="I24" s="1462">
        <f t="shared" si="5"/>
        <v>19841.662</v>
      </c>
      <c r="J24" s="1462">
        <f t="shared" si="5"/>
        <v>19841.662</v>
      </c>
      <c r="K24" s="1462">
        <f t="shared" si="5"/>
        <v>19841.662</v>
      </c>
      <c r="L24" s="1462">
        <f t="shared" si="5"/>
        <v>19841.662</v>
      </c>
      <c r="M24" s="1462">
        <f t="shared" si="5"/>
        <v>19841.662</v>
      </c>
      <c r="N24" s="1462">
        <f t="shared" si="5"/>
        <v>19841.662</v>
      </c>
      <c r="O24" s="1462">
        <f t="shared" si="5"/>
        <v>19841.662</v>
      </c>
      <c r="P24" s="1462">
        <f t="shared" si="5"/>
        <v>19841.662</v>
      </c>
      <c r="Q24" s="1462">
        <f t="shared" si="5"/>
        <v>19841.662</v>
      </c>
      <c r="R24" s="1462">
        <f t="shared" si="5"/>
        <v>20573.104933333329</v>
      </c>
      <c r="S24" s="1463">
        <f>SUM(G24:R24)</f>
        <v>234212.16580000002</v>
      </c>
      <c r="U24" s="1775" t="s">
        <v>736</v>
      </c>
      <c r="V24" s="52"/>
      <c r="W24" s="52"/>
      <c r="X24" s="2315" t="s">
        <v>737</v>
      </c>
      <c r="Y24" s="2315"/>
      <c r="Z24" s="2315"/>
      <c r="AA24" s="2315"/>
      <c r="AB24" s="2315"/>
      <c r="AC24" s="2315"/>
      <c r="AD24" s="2315"/>
      <c r="AE24" s="2315"/>
      <c r="AF24" s="2315"/>
      <c r="AG24" s="2315" t="s">
        <v>738</v>
      </c>
      <c r="AH24" s="2315"/>
      <c r="AI24" s="2315"/>
      <c r="AJ24" s="2315"/>
      <c r="AK24" s="2315"/>
      <c r="AL24" s="2315"/>
      <c r="AM24" s="2315"/>
      <c r="AN24" s="2315" t="s">
        <v>739</v>
      </c>
      <c r="AO24" s="2315"/>
      <c r="AP24" s="2315"/>
      <c r="AQ24" s="2315"/>
      <c r="AR24" s="2315"/>
      <c r="AS24" s="2315"/>
      <c r="AT24" s="2315"/>
      <c r="AU24" s="2302" t="s">
        <v>740</v>
      </c>
      <c r="AV24" s="2302"/>
      <c r="AW24" s="2302"/>
    </row>
    <row r="25" spans="1:49" ht="4.2" customHeight="1">
      <c r="B25" s="435"/>
      <c r="C25" s="435"/>
      <c r="D25" s="435"/>
      <c r="E25" s="435"/>
      <c r="F25" s="436"/>
      <c r="G25" s="1008"/>
      <c r="H25" s="1008"/>
      <c r="I25" s="1008"/>
      <c r="J25" s="1008"/>
      <c r="K25" s="1008"/>
      <c r="L25" s="1008"/>
      <c r="M25" s="1008"/>
      <c r="N25" s="1008"/>
      <c r="O25" s="1008"/>
      <c r="P25" s="1008"/>
      <c r="Q25" s="1008"/>
      <c r="R25" s="1008"/>
      <c r="S25" s="1362" t="s">
        <v>0</v>
      </c>
      <c r="U25" s="1480"/>
      <c r="V25" s="52"/>
      <c r="W25" s="52"/>
      <c r="X25" s="1413"/>
      <c r="Y25" s="1413"/>
      <c r="Z25" s="1413"/>
      <c r="AA25" s="1413"/>
      <c r="AB25" s="1413"/>
      <c r="AC25" s="1413"/>
      <c r="AD25" s="1411"/>
      <c r="AE25" s="1411"/>
      <c r="AF25" s="1411"/>
      <c r="AG25" s="1413"/>
      <c r="AH25" s="1413"/>
      <c r="AI25" s="1413"/>
      <c r="AJ25" s="1413"/>
      <c r="AK25" s="1411"/>
      <c r="AL25" s="1411"/>
      <c r="AM25" s="1411"/>
      <c r="AN25" s="1413"/>
      <c r="AO25" s="1413"/>
      <c r="AP25" s="1413"/>
      <c r="AQ25" s="1413"/>
      <c r="AR25" s="1411"/>
      <c r="AS25" s="1411"/>
      <c r="AT25" s="1411"/>
      <c r="AU25" s="1401"/>
      <c r="AV25" s="1401"/>
      <c r="AW25" s="1401"/>
    </row>
    <row r="26" spans="1:49" ht="15" customHeight="1">
      <c r="B26" s="2266" t="s">
        <v>358</v>
      </c>
      <c r="C26" s="2266"/>
      <c r="D26" s="2266"/>
      <c r="E26" s="2266"/>
      <c r="F26" s="1872" t="s">
        <v>351</v>
      </c>
      <c r="G26" s="1862" t="str">
        <f>G14</f>
        <v>jan.23</v>
      </c>
      <c r="H26" s="1862" t="str">
        <f t="shared" ref="H26:S26" si="6">+H14</f>
        <v>feb.23</v>
      </c>
      <c r="I26" s="1862" t="str">
        <f t="shared" si="6"/>
        <v>mars.23</v>
      </c>
      <c r="J26" s="1862" t="str">
        <f t="shared" si="6"/>
        <v>april.23</v>
      </c>
      <c r="K26" s="1862" t="str">
        <f t="shared" si="6"/>
        <v>mai.23</v>
      </c>
      <c r="L26" s="1862" t="str">
        <f t="shared" si="6"/>
        <v>juni.23</v>
      </c>
      <c r="M26" s="1862" t="str">
        <f t="shared" si="6"/>
        <v>juli.23</v>
      </c>
      <c r="N26" s="1862" t="str">
        <f t="shared" si="6"/>
        <v>aug.23</v>
      </c>
      <c r="O26" s="1862" t="str">
        <f t="shared" si="6"/>
        <v>sep.23</v>
      </c>
      <c r="P26" s="1862" t="str">
        <f t="shared" si="6"/>
        <v>okt.23</v>
      </c>
      <c r="Q26" s="1862" t="str">
        <f t="shared" si="6"/>
        <v>nov.23</v>
      </c>
      <c r="R26" s="1863" t="str">
        <f t="shared" si="6"/>
        <v>dec.23</v>
      </c>
      <c r="S26" s="1864" t="str">
        <f t="shared" si="6"/>
        <v>SLGT</v>
      </c>
      <c r="T26" s="1774" t="s">
        <v>733</v>
      </c>
      <c r="U26" s="1775" t="s">
        <v>375</v>
      </c>
      <c r="V26" s="52"/>
      <c r="W26" s="52"/>
      <c r="X26" s="1414"/>
      <c r="Y26" s="1415"/>
      <c r="Z26" s="1416" t="s">
        <v>47</v>
      </c>
      <c r="AA26" s="1417" t="s">
        <v>741</v>
      </c>
      <c r="AB26" s="1417" t="s">
        <v>57</v>
      </c>
      <c r="AC26" s="2303" t="s">
        <v>38</v>
      </c>
      <c r="AD26" s="1418" t="s">
        <v>48</v>
      </c>
      <c r="AE26" s="1418" t="s">
        <v>49</v>
      </c>
      <c r="AF26" s="1419" t="s">
        <v>50</v>
      </c>
      <c r="AG26" s="1416" t="s">
        <v>47</v>
      </c>
      <c r="AH26" s="1417" t="s">
        <v>741</v>
      </c>
      <c r="AI26" s="1417" t="s">
        <v>57</v>
      </c>
      <c r="AJ26" s="2305" t="s">
        <v>38</v>
      </c>
      <c r="AK26" s="1418" t="s">
        <v>48</v>
      </c>
      <c r="AL26" s="1418" t="s">
        <v>49</v>
      </c>
      <c r="AM26" s="1419" t="s">
        <v>50</v>
      </c>
      <c r="AN26" s="1420" t="s">
        <v>47</v>
      </c>
      <c r="AO26" s="1417" t="s">
        <v>741</v>
      </c>
      <c r="AP26" s="1417" t="s">
        <v>57</v>
      </c>
      <c r="AQ26" s="2305" t="s">
        <v>38</v>
      </c>
      <c r="AR26" s="1418" t="s">
        <v>48</v>
      </c>
      <c r="AS26" s="1418" t="s">
        <v>49</v>
      </c>
      <c r="AT26" s="1421" t="s">
        <v>50</v>
      </c>
      <c r="AU26" s="1422" t="s">
        <v>48</v>
      </c>
      <c r="AV26" s="1418" t="s">
        <v>49</v>
      </c>
      <c r="AW26" s="1419" t="s">
        <v>50</v>
      </c>
    </row>
    <row r="27" spans="1:49" ht="12.65" customHeight="1">
      <c r="A27" s="52"/>
      <c r="B27" s="1393">
        <v>6</v>
      </c>
      <c r="C27" s="2281" t="s">
        <v>359</v>
      </c>
      <c r="D27" s="2282"/>
      <c r="E27" s="2283"/>
      <c r="F27" s="654">
        <v>24</v>
      </c>
      <c r="G27" s="1009">
        <f>IF(($S17+$S19)*$U27=0,0,(G17+G19)/($S17+$S19)*'10. T5 KASSABUDGET '!$U27)</f>
        <v>1583.73296</v>
      </c>
      <c r="H27" s="1009">
        <f>IF(($S17+$S19)*$U27=0,0,(H17+H19)/($S17+$S19)*'10. T5 KASSABUDGET '!$U27)</f>
        <v>1583.73296</v>
      </c>
      <c r="I27" s="1009">
        <f>IF(($S17+$S19)*$U27=0,0,(I17+I19)/($S17+$S19)*'10. T5 KASSABUDGET '!$U27)</f>
        <v>1583.73296</v>
      </c>
      <c r="J27" s="1009">
        <f>IF(($S17+$S19)*$U27=0,0,(J17+J19)/($S17+$S19)*'10. T5 KASSABUDGET '!$U27)</f>
        <v>1583.73296</v>
      </c>
      <c r="K27" s="1009">
        <f>IF(($S17+$S19)*$U27=0,0,(K17+K19)/($S17+$S19)*'10. T5 KASSABUDGET '!$U27)</f>
        <v>1583.73296</v>
      </c>
      <c r="L27" s="1009">
        <f>IF(($S17+$S19)*$U27=0,0,(L17+L19)/($S17+$S19)*'10. T5 KASSABUDGET '!$U27)</f>
        <v>1583.73296</v>
      </c>
      <c r="M27" s="1009">
        <f>IF(($S17+$S19)*$U27=0,0,(M17+M19)/($S17+$S19)*'10. T5 KASSABUDGET '!$U27)</f>
        <v>1583.73296</v>
      </c>
      <c r="N27" s="1009">
        <f>IF(($S17+$S19)*$U27=0,0,(N17+N19)/($S17+$S19)*'10. T5 KASSABUDGET '!$U27)</f>
        <v>1583.73296</v>
      </c>
      <c r="O27" s="1009">
        <f>IF(($S17+$S19)*$U27=0,0,(O17+O19)/($S17+$S19)*'10. T5 KASSABUDGET '!$U27)</f>
        <v>1583.73296</v>
      </c>
      <c r="P27" s="1009">
        <f>IF(($S17+$S19)*$U27=0,0,(P17+P19)/($S17+$S19)*'10. T5 KASSABUDGET '!$U27)</f>
        <v>1583.73296</v>
      </c>
      <c r="Q27" s="1009">
        <f>IF(($S17+$S19)*$U27=0,0,(Q17+Q19)/($S17+$S19)*'10. T5 KASSABUDGET '!$U27)</f>
        <v>1583.73296</v>
      </c>
      <c r="R27" s="1009">
        <f>IF(($S17+$S19)*$U27=0,0,(R17+R19)/($S17+$S19)*'10. T5 KASSABUDGET '!$U27)</f>
        <v>1660.0574399999998</v>
      </c>
      <c r="S27" s="1782">
        <f>SUM(G27:R27)</f>
        <v>19081.12</v>
      </c>
      <c r="T27" s="1412">
        <f>U27-S27</f>
        <v>0</v>
      </c>
      <c r="U27" s="1367">
        <f>-IF(H$10=1,'2. &amp; 7. T2  RESULTATB.'!I15+'2. &amp; 7. T2  RESULTATB.'!I15*'10. T5 KASSABUDGET '!F27/100,'2. &amp; 7. T2  RESULTATB.'!K15+'2. &amp; 7. T2  RESULTATB.'!K15*'10. T5 KASSABUDGET '!F27/100)</f>
        <v>19081.12</v>
      </c>
      <c r="V27" s="52"/>
      <c r="W27" s="52"/>
      <c r="X27" s="1423"/>
      <c r="Y27" s="1424"/>
      <c r="Z27" s="1425" t="s">
        <v>51</v>
      </c>
      <c r="AA27" s="1426" t="s">
        <v>52</v>
      </c>
      <c r="AB27" s="1426" t="s">
        <v>58</v>
      </c>
      <c r="AC27" s="2304"/>
      <c r="AD27" s="1427" t="s">
        <v>53</v>
      </c>
      <c r="AE27" s="1427" t="s">
        <v>54</v>
      </c>
      <c r="AF27" s="1428" t="s">
        <v>51</v>
      </c>
      <c r="AG27" s="1425" t="s">
        <v>51</v>
      </c>
      <c r="AH27" s="1426" t="s">
        <v>52</v>
      </c>
      <c r="AI27" s="1426" t="s">
        <v>58</v>
      </c>
      <c r="AJ27" s="2306"/>
      <c r="AK27" s="1427" t="s">
        <v>53</v>
      </c>
      <c r="AL27" s="1427" t="s">
        <v>54</v>
      </c>
      <c r="AM27" s="1428" t="s">
        <v>51</v>
      </c>
      <c r="AN27" s="1429" t="s">
        <v>51</v>
      </c>
      <c r="AO27" s="1426" t="s">
        <v>52</v>
      </c>
      <c r="AP27" s="1426" t="s">
        <v>58</v>
      </c>
      <c r="AQ27" s="2306"/>
      <c r="AR27" s="1427" t="s">
        <v>53</v>
      </c>
      <c r="AS27" s="1427" t="s">
        <v>54</v>
      </c>
      <c r="AT27" s="1430" t="s">
        <v>51</v>
      </c>
      <c r="AU27" s="1431" t="s">
        <v>53</v>
      </c>
      <c r="AV27" s="1427" t="s">
        <v>54</v>
      </c>
      <c r="AW27" s="1428" t="s">
        <v>51</v>
      </c>
    </row>
    <row r="28" spans="1:49" ht="12.65" customHeight="1">
      <c r="B28" s="466">
        <f t="shared" ref="B28:B47" si="7">B27+1</f>
        <v>7</v>
      </c>
      <c r="C28" s="2246" t="s">
        <v>360</v>
      </c>
      <c r="D28" s="2247"/>
      <c r="E28" s="2248"/>
      <c r="F28" s="492">
        <v>24</v>
      </c>
      <c r="G28" s="1010">
        <v>0</v>
      </c>
      <c r="H28" s="1010">
        <v>0</v>
      </c>
      <c r="I28" s="1010">
        <v>0</v>
      </c>
      <c r="J28" s="1010">
        <v>0</v>
      </c>
      <c r="K28" s="1010"/>
      <c r="L28" s="1010"/>
      <c r="M28" s="1010"/>
      <c r="N28" s="1010">
        <v>0</v>
      </c>
      <c r="O28" s="1010"/>
      <c r="P28" s="1010"/>
      <c r="Q28" s="1010"/>
      <c r="R28" s="1010"/>
      <c r="S28" s="1778">
        <f>SUM(G28:R28)</f>
        <v>0</v>
      </c>
      <c r="T28" s="1401"/>
      <c r="U28" s="1368"/>
      <c r="V28" s="52"/>
      <c r="W28" s="52"/>
      <c r="X28" s="1432"/>
      <c r="Y28" s="1433"/>
      <c r="Z28" s="2316" t="s">
        <v>0</v>
      </c>
      <c r="AA28" s="2317"/>
      <c r="AB28" s="1434"/>
      <c r="AC28" s="1435"/>
      <c r="AD28" s="1436">
        <v>1.34E-2</v>
      </c>
      <c r="AE28" s="1437">
        <v>0</v>
      </c>
      <c r="AF28" s="1438"/>
      <c r="AG28" s="2316" t="s">
        <v>0</v>
      </c>
      <c r="AH28" s="2317"/>
      <c r="AI28" s="1434">
        <v>0</v>
      </c>
      <c r="AJ28" s="1434"/>
      <c r="AK28" s="1439">
        <f>AD28</f>
        <v>1.34E-2</v>
      </c>
      <c r="AL28" s="1440">
        <v>8.6499999999999994E-2</v>
      </c>
      <c r="AM28" s="1438"/>
      <c r="AN28" s="2318" t="s">
        <v>0</v>
      </c>
      <c r="AO28" s="2317"/>
      <c r="AP28" s="1434" t="s">
        <v>0</v>
      </c>
      <c r="AQ28" s="1434"/>
      <c r="AR28" s="1439">
        <f>AD28</f>
        <v>1.34E-2</v>
      </c>
      <c r="AS28" s="1439">
        <f>AL28</f>
        <v>8.6499999999999994E-2</v>
      </c>
      <c r="AT28" s="1441"/>
      <c r="AU28" s="1442"/>
      <c r="AV28" s="1443">
        <f>AS28</f>
        <v>8.6499999999999994E-2</v>
      </c>
      <c r="AW28" s="1444"/>
    </row>
    <row r="29" spans="1:49" ht="12.65" customHeight="1">
      <c r="A29" s="52"/>
      <c r="B29" s="466">
        <f t="shared" si="7"/>
        <v>8</v>
      </c>
      <c r="C29" s="1394" t="s">
        <v>361</v>
      </c>
      <c r="D29" s="1395"/>
      <c r="E29" s="1396"/>
      <c r="F29" s="653">
        <v>24</v>
      </c>
      <c r="G29" s="1010">
        <f>$U29/12</f>
        <v>13.331210063520494</v>
      </c>
      <c r="H29" s="1010">
        <f t="shared" ref="H29:R29" si="8">$U29/12</f>
        <v>13.331210063520494</v>
      </c>
      <c r="I29" s="1010">
        <f t="shared" si="8"/>
        <v>13.331210063520494</v>
      </c>
      <c r="J29" s="1010">
        <f t="shared" si="8"/>
        <v>13.331210063520494</v>
      </c>
      <c r="K29" s="1010">
        <f t="shared" si="8"/>
        <v>13.331210063520494</v>
      </c>
      <c r="L29" s="1010">
        <f t="shared" si="8"/>
        <v>13.331210063520494</v>
      </c>
      <c r="M29" s="1010">
        <f t="shared" si="8"/>
        <v>13.331210063520494</v>
      </c>
      <c r="N29" s="1010">
        <f t="shared" si="8"/>
        <v>13.331210063520494</v>
      </c>
      <c r="O29" s="1010">
        <f t="shared" si="8"/>
        <v>13.331210063520494</v>
      </c>
      <c r="P29" s="1010">
        <f t="shared" si="8"/>
        <v>13.331210063520494</v>
      </c>
      <c r="Q29" s="1010">
        <f t="shared" si="8"/>
        <v>13.331210063520494</v>
      </c>
      <c r="R29" s="1010">
        <f t="shared" si="8"/>
        <v>13.331210063520494</v>
      </c>
      <c r="S29" s="1778">
        <f>SUM(G29:R29)</f>
        <v>159.97452076224599</v>
      </c>
      <c r="T29" s="1412">
        <f>U29-S29</f>
        <v>0</v>
      </c>
      <c r="U29" s="1367">
        <f>-IF(H$10=1,'2. &amp; 7. T2  RESULTATB.'!I16+'2. &amp; 7. T2  RESULTATB.'!I16*'10. T5 KASSABUDGET '!F29/100,'2. &amp; 7. T2  RESULTATB.'!K16+'2. &amp; 7. T2  RESULTATB.'!K16*'10. T5 KASSABUDGET '!F29/100)</f>
        <v>159.97452076224593</v>
      </c>
      <c r="V29" s="52"/>
      <c r="W29" s="52"/>
      <c r="X29" s="2319" t="s">
        <v>742</v>
      </c>
      <c r="Y29" s="2320"/>
      <c r="Z29" s="1052">
        <f>'5. E1 VERKSAMHETSKOSTN.'!F12</f>
        <v>90000</v>
      </c>
      <c r="AA29" s="1445">
        <f>'5. E1 VERKSAMHETSKOSTN.'!F15*'5. E1 VERKSAMHETSKOSTN.'!F14</f>
        <v>4320</v>
      </c>
      <c r="AB29" s="1445">
        <f>AA29+Z29</f>
        <v>94320</v>
      </c>
      <c r="AC29" s="1446">
        <f>'5. E1 VERKSAMHETSKOSTN.'!F16</f>
        <v>0.26</v>
      </c>
      <c r="AD29" s="1447">
        <f>(AC29+AD$28)*AB29</f>
        <v>25787.088000000003</v>
      </c>
      <c r="AE29" s="1447">
        <v>0</v>
      </c>
      <c r="AF29" s="1456">
        <f>Z29-AD29-AE29</f>
        <v>64212.911999999997</v>
      </c>
      <c r="AG29" s="1052">
        <f>'5. E1 VERKSAMHETSKOSTN.'!F17</f>
        <v>4800</v>
      </c>
      <c r="AH29" s="1445">
        <f>'5. E1 VERKSAMHETSKOSTN.'!F22</f>
        <v>1210</v>
      </c>
      <c r="AI29" s="1445">
        <f>AH29+AG29</f>
        <v>6010</v>
      </c>
      <c r="AJ29" s="1446">
        <f>'5. E1 VERKSAMHETSKOSTN.'!F23</f>
        <v>0.25</v>
      </c>
      <c r="AK29" s="1447">
        <f>(AJ29+AK$28)*AI29</f>
        <v>1583.0340000000001</v>
      </c>
      <c r="AL29" s="1448">
        <f>AL28*AI29</f>
        <v>519.86500000000001</v>
      </c>
      <c r="AM29" s="1456">
        <f>AG29-AK29-AL29</f>
        <v>2697.1009999999997</v>
      </c>
      <c r="AN29" s="1402">
        <f>'5. E1 VERKSAMHETSKOSTN.'!F24</f>
        <v>0</v>
      </c>
      <c r="AO29" s="1445">
        <f>'5. E1 VERKSAMHETSKOSTN.'!F28</f>
        <v>0</v>
      </c>
      <c r="AP29" s="1445">
        <f>AO29+AN29</f>
        <v>0</v>
      </c>
      <c r="AQ29" s="1446">
        <f>'5. E1 VERKSAMHETSKOSTN.'!F29</f>
        <v>0.27</v>
      </c>
      <c r="AR29" s="1447">
        <f>(AQ29+AR28)*AP29</f>
        <v>0</v>
      </c>
      <c r="AS29" s="1448">
        <f>AS28*AP29</f>
        <v>0</v>
      </c>
      <c r="AT29" s="1457">
        <f>AN29-AR29-AS29</f>
        <v>0</v>
      </c>
      <c r="AU29" s="848">
        <f>AR29+AK29+AD29</f>
        <v>27370.122000000003</v>
      </c>
      <c r="AV29" s="1449">
        <f>AS29+AL29+AE29</f>
        <v>519.86500000000001</v>
      </c>
      <c r="AW29" s="1450">
        <f>AT29+AM29+AF29</f>
        <v>66910.012999999992</v>
      </c>
    </row>
    <row r="30" spans="1:49" ht="12.65" customHeight="1">
      <c r="A30" s="52"/>
      <c r="B30" s="466">
        <f t="shared" si="7"/>
        <v>9</v>
      </c>
      <c r="C30" s="2246" t="s">
        <v>584</v>
      </c>
      <c r="D30" s="2247"/>
      <c r="E30" s="2248"/>
      <c r="F30" s="463">
        <v>24</v>
      </c>
      <c r="G30" s="1011">
        <v>0</v>
      </c>
      <c r="H30" s="1010">
        <v>0</v>
      </c>
      <c r="I30" s="1010">
        <v>0</v>
      </c>
      <c r="J30" s="1010">
        <v>0</v>
      </c>
      <c r="K30" s="1010">
        <v>0</v>
      </c>
      <c r="L30" s="1010">
        <v>0</v>
      </c>
      <c r="M30" s="1010">
        <v>0</v>
      </c>
      <c r="N30" s="1010">
        <v>0</v>
      </c>
      <c r="O30" s="1010">
        <v>0</v>
      </c>
      <c r="P30" s="1010">
        <v>0</v>
      </c>
      <c r="Q30" s="1010">
        <v>0</v>
      </c>
      <c r="R30" s="1010"/>
      <c r="S30" s="1778">
        <f>SUM(G30:R30)</f>
        <v>0</v>
      </c>
      <c r="T30" s="1401"/>
      <c r="U30" s="1368"/>
      <c r="V30" s="52"/>
      <c r="W30" s="52"/>
      <c r="X30" s="2319" t="s">
        <v>743</v>
      </c>
      <c r="Y30" s="2320"/>
      <c r="Z30" s="1052">
        <f>'5. E1 VERKSAMHETSKOSTN.'!H12</f>
        <v>92700</v>
      </c>
      <c r="AA30" s="1445">
        <f>'5. E1 VERKSAMHETSKOSTN.'!H15*'5. E1 VERKSAMHETSKOSTN.'!H14</f>
        <v>4449.6000000000004</v>
      </c>
      <c r="AB30" s="1445">
        <f>AA30+Z30</f>
        <v>97149.6</v>
      </c>
      <c r="AC30" s="1446">
        <f>'5. E1 VERKSAMHETSKOSTN.'!H16</f>
        <v>0.26</v>
      </c>
      <c r="AD30" s="1451">
        <f>(AC30+AD$28)*AB30</f>
        <v>26560.700640000006</v>
      </c>
      <c r="AE30" s="1448">
        <v>0</v>
      </c>
      <c r="AF30" s="1456">
        <f>Z30-AD30-AE30</f>
        <v>66139.29935999999</v>
      </c>
      <c r="AG30" s="1052">
        <f>'5. E1 VERKSAMHETSKOSTN.'!H17</f>
        <v>4944</v>
      </c>
      <c r="AH30" s="1445">
        <f>'5. E1 VERKSAMHETSKOSTN.'!H22</f>
        <v>1246.3</v>
      </c>
      <c r="AI30" s="1445">
        <f>AH30+AG30</f>
        <v>6190.3</v>
      </c>
      <c r="AJ30" s="1446">
        <f>'5. E1 VERKSAMHETSKOSTN.'!H23</f>
        <v>0.25</v>
      </c>
      <c r="AK30" s="1447">
        <f>(AJ30+AK$28)*AI30</f>
        <v>1630.5250200000003</v>
      </c>
      <c r="AL30" s="1448">
        <f>AI30*AL28</f>
        <v>535.46095000000003</v>
      </c>
      <c r="AM30" s="1456">
        <f>AG30-AK30-AL30</f>
        <v>2778.0140299999998</v>
      </c>
      <c r="AN30" s="1454">
        <f>'5. E1 VERKSAMHETSKOSTN.'!H24</f>
        <v>0</v>
      </c>
      <c r="AO30" s="1445">
        <f>'5. E1 VERKSAMHETSKOSTN.'!H28</f>
        <v>0</v>
      </c>
      <c r="AP30" s="1445">
        <f>AO30+AN30</f>
        <v>0</v>
      </c>
      <c r="AQ30" s="1446">
        <f>'5. E1 VERKSAMHETSKOSTN.'!H29</f>
        <v>0.27</v>
      </c>
      <c r="AR30" s="1451">
        <f>(AQ30+AR28)*AP30</f>
        <v>0</v>
      </c>
      <c r="AS30" s="1448">
        <f>AP30*AS28</f>
        <v>0</v>
      </c>
      <c r="AT30" s="1457">
        <f>AN30-AR30-AS30</f>
        <v>0</v>
      </c>
      <c r="AU30" s="848">
        <f>AR30+AK30+AD30</f>
        <v>28191.225660000007</v>
      </c>
      <c r="AV30" s="1449">
        <f t="shared" ref="AV30:AW30" si="9">AS30+AL30+AE30</f>
        <v>535.46095000000003</v>
      </c>
      <c r="AW30" s="1450">
        <f t="shared" si="9"/>
        <v>68917.313389999996</v>
      </c>
    </row>
    <row r="31" spans="1:49" ht="12.65" customHeight="1">
      <c r="A31" s="2"/>
      <c r="B31" s="466">
        <f t="shared" si="7"/>
        <v>10</v>
      </c>
      <c r="C31" s="2294" t="s">
        <v>362</v>
      </c>
      <c r="D31" s="2295"/>
      <c r="E31" s="2296"/>
      <c r="F31" s="654">
        <v>24</v>
      </c>
      <c r="G31" s="1010">
        <f>$U31/12</f>
        <v>763.84</v>
      </c>
      <c r="H31" s="1010">
        <f t="shared" ref="G31:R32" si="10">$U31/12</f>
        <v>763.84</v>
      </c>
      <c r="I31" s="1010">
        <f t="shared" si="10"/>
        <v>763.84</v>
      </c>
      <c r="J31" s="1010">
        <f t="shared" si="10"/>
        <v>763.84</v>
      </c>
      <c r="K31" s="1010">
        <f t="shared" si="10"/>
        <v>763.84</v>
      </c>
      <c r="L31" s="1010">
        <f t="shared" si="10"/>
        <v>763.84</v>
      </c>
      <c r="M31" s="1010">
        <f t="shared" si="10"/>
        <v>763.84</v>
      </c>
      <c r="N31" s="1010">
        <f t="shared" si="10"/>
        <v>763.84</v>
      </c>
      <c r="O31" s="1010">
        <f t="shared" si="10"/>
        <v>763.84</v>
      </c>
      <c r="P31" s="1010">
        <f t="shared" si="10"/>
        <v>763.84</v>
      </c>
      <c r="Q31" s="1010">
        <f t="shared" si="10"/>
        <v>763.84</v>
      </c>
      <c r="R31" s="1010">
        <f t="shared" si="10"/>
        <v>763.84</v>
      </c>
      <c r="S31" s="1778">
        <f t="shared" ref="S31:S41" si="11">SUM(G31:R31)</f>
        <v>9166.08</v>
      </c>
      <c r="T31" s="1412">
        <f>U31-S31</f>
        <v>0</v>
      </c>
      <c r="U31" s="1367">
        <f>IF(H10=1,'5. E1 VERKSAMHETSKOSTN.'!F53+'5. E1 VERKSAMHETSKOSTN.'!F53*F31/100,'5. E1 VERKSAMHETSKOSTN.'!H53+'5. E1 VERKSAMHETSKOSTN.'!H53*'10. T5 KASSABUDGET '!F31/100)</f>
        <v>9166.08</v>
      </c>
      <c r="V31" s="52"/>
      <c r="W31" s="52"/>
    </row>
    <row r="32" spans="1:49" ht="12.65" customHeight="1">
      <c r="A32" s="52"/>
      <c r="B32" s="466">
        <f t="shared" si="7"/>
        <v>11</v>
      </c>
      <c r="C32" s="2246" t="s">
        <v>568</v>
      </c>
      <c r="D32" s="2247"/>
      <c r="E32" s="2248"/>
      <c r="F32" s="492">
        <v>24</v>
      </c>
      <c r="G32" s="1010">
        <f t="shared" si="10"/>
        <v>0</v>
      </c>
      <c r="H32" s="1010">
        <f t="shared" si="10"/>
        <v>0</v>
      </c>
      <c r="I32" s="1010">
        <f t="shared" si="10"/>
        <v>0</v>
      </c>
      <c r="J32" s="1010">
        <f t="shared" si="10"/>
        <v>0</v>
      </c>
      <c r="K32" s="1010">
        <f t="shared" si="10"/>
        <v>0</v>
      </c>
      <c r="L32" s="1010">
        <f t="shared" si="10"/>
        <v>0</v>
      </c>
      <c r="M32" s="1010">
        <f t="shared" si="10"/>
        <v>0</v>
      </c>
      <c r="N32" s="1010">
        <f t="shared" si="10"/>
        <v>0</v>
      </c>
      <c r="O32" s="1010">
        <f t="shared" si="10"/>
        <v>0</v>
      </c>
      <c r="P32" s="1010">
        <f t="shared" si="10"/>
        <v>0</v>
      </c>
      <c r="Q32" s="1010">
        <f t="shared" si="10"/>
        <v>0</v>
      </c>
      <c r="R32" s="1010">
        <f t="shared" si="10"/>
        <v>0</v>
      </c>
      <c r="S32" s="1778">
        <f>SUM(G32:R32)</f>
        <v>0</v>
      </c>
      <c r="T32" s="1412">
        <f>U32-S32</f>
        <v>0</v>
      </c>
      <c r="U32" s="1367">
        <f>IF(H10=1,'5. E1 VERKSAMHETSKOSTN.'!F64+'5. E1 VERKSAMHETSKOSTN.'!F64*'10. T5 KASSABUDGET '!F32/100,'5. E1 VERKSAMHETSKOSTN.'!H64+'5. E1 VERKSAMHETSKOSTN.'!H64*'10. T5 KASSABUDGET '!F32/100)</f>
        <v>0</v>
      </c>
      <c r="V32" s="52"/>
      <c r="W32" s="52"/>
    </row>
    <row r="33" spans="1:23" ht="12.65" customHeight="1">
      <c r="B33" s="466">
        <f t="shared" si="7"/>
        <v>12</v>
      </c>
      <c r="C33" s="2246" t="s">
        <v>363</v>
      </c>
      <c r="D33" s="2247"/>
      <c r="E33" s="2248"/>
      <c r="F33" s="492">
        <v>24</v>
      </c>
      <c r="G33" s="1010">
        <f>$U33/12</f>
        <v>2049.5226333333335</v>
      </c>
      <c r="H33" s="1010">
        <f t="shared" ref="H33:R33" si="12">$U33/12</f>
        <v>2049.5226333333335</v>
      </c>
      <c r="I33" s="1010">
        <f t="shared" si="12"/>
        <v>2049.5226333333335</v>
      </c>
      <c r="J33" s="1010">
        <f t="shared" si="12"/>
        <v>2049.5226333333335</v>
      </c>
      <c r="K33" s="1010">
        <f t="shared" si="12"/>
        <v>2049.5226333333335</v>
      </c>
      <c r="L33" s="1010">
        <f t="shared" si="12"/>
        <v>2049.5226333333335</v>
      </c>
      <c r="M33" s="1010">
        <f t="shared" si="12"/>
        <v>2049.5226333333335</v>
      </c>
      <c r="N33" s="1010">
        <f t="shared" si="12"/>
        <v>2049.5226333333335</v>
      </c>
      <c r="O33" s="1010">
        <f t="shared" si="12"/>
        <v>2049.5226333333335</v>
      </c>
      <c r="P33" s="1010">
        <f t="shared" si="12"/>
        <v>2049.5226333333335</v>
      </c>
      <c r="Q33" s="1010">
        <f t="shared" si="12"/>
        <v>2049.5226333333335</v>
      </c>
      <c r="R33" s="1010">
        <f t="shared" si="12"/>
        <v>2049.5226333333335</v>
      </c>
      <c r="S33" s="1778">
        <f t="shared" si="11"/>
        <v>24594.271600000004</v>
      </c>
      <c r="T33" s="1412">
        <f>U33-S33</f>
        <v>0</v>
      </c>
      <c r="U33" s="1361">
        <f>IF(H10=1,'AT2 Lainat, sotum, alv-osto'!B94+'AT2 Lainat, sotum, alv-osto'!B94*F33/100,'AT2 Lainat, sotum, alv-osto'!D94+'AT2 Lainat, sotum, alv-osto'!D94*'10. T5 KASSABUDGET '!F33/100)</f>
        <v>24594.2716</v>
      </c>
      <c r="V33" s="52"/>
      <c r="W33" s="52"/>
    </row>
    <row r="34" spans="1:23" ht="12.65" customHeight="1">
      <c r="A34" s="52"/>
      <c r="B34" s="466">
        <f t="shared" si="7"/>
        <v>13</v>
      </c>
      <c r="C34" s="2243" t="s">
        <v>364</v>
      </c>
      <c r="D34" s="2244"/>
      <c r="E34" s="2245"/>
      <c r="F34" s="2240"/>
      <c r="G34" s="1012">
        <f>IF(H10=1,'3. &amp; 8. T3 BALANS'!G88/2,'3. &amp; 8. T3 BALANS'!H88/2)</f>
        <v>0</v>
      </c>
      <c r="H34" s="1012">
        <f>G34</f>
        <v>0</v>
      </c>
      <c r="I34" s="1012">
        <f>'AT1 Avustus, alv-laskenta'!K27</f>
        <v>2977.9810057941563</v>
      </c>
      <c r="J34" s="1012">
        <f>'AT1 Avustus, alv-laskenta'!L27</f>
        <v>2977.9810057941563</v>
      </c>
      <c r="K34" s="1012">
        <f>'AT1 Avustus, alv-laskenta'!M27</f>
        <v>2977.9810057941563</v>
      </c>
      <c r="L34" s="1012">
        <f>'AT1 Avustus, alv-laskenta'!N27</f>
        <v>2977.9810057941563</v>
      </c>
      <c r="M34" s="1012">
        <f>'AT1 Avustus, alv-laskenta'!O27</f>
        <v>2977.9810057941563</v>
      </c>
      <c r="N34" s="1012">
        <f>'AT1 Avustus, alv-laskenta'!P27</f>
        <v>2977.9810057941563</v>
      </c>
      <c r="O34" s="1012">
        <f>'AT1 Avustus, alv-laskenta'!Q27</f>
        <v>2977.9810057941563</v>
      </c>
      <c r="P34" s="1012">
        <f>'AT1 Avustus, alv-laskenta'!R27</f>
        <v>2977.9810057941563</v>
      </c>
      <c r="Q34" s="1012">
        <f>'AT1 Avustus, alv-laskenta'!S27</f>
        <v>2977.9810057941563</v>
      </c>
      <c r="R34" s="1012">
        <f>'AT1 Avustus, alv-laskenta'!T27</f>
        <v>2977.9810057941563</v>
      </c>
      <c r="S34" s="1778">
        <f t="shared" si="11"/>
        <v>29779.81005794157</v>
      </c>
      <c r="T34" s="1401"/>
      <c r="U34" s="1369"/>
      <c r="V34" s="52"/>
      <c r="W34" s="52"/>
    </row>
    <row r="35" spans="1:23" ht="12.65" customHeight="1">
      <c r="B35" s="466">
        <f t="shared" si="7"/>
        <v>14</v>
      </c>
      <c r="C35" s="2246" t="s">
        <v>365</v>
      </c>
      <c r="D35" s="2255"/>
      <c r="E35" s="2256"/>
      <c r="F35" s="2241"/>
      <c r="G35" s="1012">
        <f>IF(H10=1,AW29/12,AW30/12)</f>
        <v>5575.8344166666657</v>
      </c>
      <c r="H35" s="1012">
        <f>G35</f>
        <v>5575.8344166666657</v>
      </c>
      <c r="I35" s="1012">
        <f t="shared" ref="I35:R35" si="13">H35</f>
        <v>5575.8344166666657</v>
      </c>
      <c r="J35" s="1012">
        <f t="shared" si="13"/>
        <v>5575.8344166666657</v>
      </c>
      <c r="K35" s="1012">
        <f t="shared" si="13"/>
        <v>5575.8344166666657</v>
      </c>
      <c r="L35" s="1012">
        <f t="shared" si="13"/>
        <v>5575.8344166666657</v>
      </c>
      <c r="M35" s="1012">
        <f t="shared" si="13"/>
        <v>5575.8344166666657</v>
      </c>
      <c r="N35" s="1012">
        <f t="shared" si="13"/>
        <v>5575.8344166666657</v>
      </c>
      <c r="O35" s="1012">
        <f t="shared" si="13"/>
        <v>5575.8344166666657</v>
      </c>
      <c r="P35" s="1012">
        <f t="shared" si="13"/>
        <v>5575.8344166666657</v>
      </c>
      <c r="Q35" s="1012">
        <f t="shared" si="13"/>
        <v>5575.8344166666657</v>
      </c>
      <c r="R35" s="1012">
        <f t="shared" si="13"/>
        <v>5575.8344166666657</v>
      </c>
      <c r="S35" s="1778">
        <f t="shared" si="11"/>
        <v>66910.012999999992</v>
      </c>
      <c r="T35" s="1401"/>
      <c r="U35" s="1370"/>
      <c r="V35" s="52"/>
      <c r="W35" s="52"/>
    </row>
    <row r="36" spans="1:23" ht="12.65" customHeight="1">
      <c r="A36" s="52"/>
      <c r="B36" s="466">
        <f t="shared" si="7"/>
        <v>15</v>
      </c>
      <c r="C36" s="1483" t="s">
        <v>366</v>
      </c>
      <c r="D36" s="1485"/>
      <c r="E36" s="1485"/>
      <c r="F36" s="2242"/>
      <c r="G36" s="1012">
        <f>IF(H10=1,'3. &amp; 8. T3 BALANS'!H85+'3. &amp; 8. T3 BALANS'!H87,'3. &amp; 8. T3 BALANS'!I85+'3. &amp; 8. T3 BALANS'!I87)</f>
        <v>2202.2434999999996</v>
      </c>
      <c r="H36" s="1012">
        <f>IF(H10=1,AU29/12,AU30/12)</f>
        <v>2280.8435000000004</v>
      </c>
      <c r="I36" s="1012">
        <f>H36</f>
        <v>2280.8435000000004</v>
      </c>
      <c r="J36" s="1012">
        <f t="shared" ref="J36:R36" si="14">I36</f>
        <v>2280.8435000000004</v>
      </c>
      <c r="K36" s="1012">
        <f t="shared" si="14"/>
        <v>2280.8435000000004</v>
      </c>
      <c r="L36" s="1012">
        <f t="shared" si="14"/>
        <v>2280.8435000000004</v>
      </c>
      <c r="M36" s="1012">
        <f t="shared" si="14"/>
        <v>2280.8435000000004</v>
      </c>
      <c r="N36" s="1012">
        <f t="shared" si="14"/>
        <v>2280.8435000000004</v>
      </c>
      <c r="O36" s="1012">
        <f t="shared" si="14"/>
        <v>2280.8435000000004</v>
      </c>
      <c r="P36" s="1012">
        <f t="shared" si="14"/>
        <v>2280.8435000000004</v>
      </c>
      <c r="Q36" s="1012">
        <f t="shared" si="14"/>
        <v>2280.8435000000004</v>
      </c>
      <c r="R36" s="1012">
        <f t="shared" si="14"/>
        <v>2280.8435000000004</v>
      </c>
      <c r="S36" s="1778">
        <f t="shared" si="11"/>
        <v>27291.522000000001</v>
      </c>
      <c r="T36" s="1401"/>
      <c r="U36" s="1370"/>
      <c r="V36" s="52"/>
      <c r="W36" s="52"/>
    </row>
    <row r="37" spans="1:23" ht="12.65" customHeight="1">
      <c r="A37" s="2"/>
      <c r="B37" s="466">
        <f t="shared" si="7"/>
        <v>16</v>
      </c>
      <c r="C37" s="1385" t="s">
        <v>585</v>
      </c>
      <c r="D37" s="1395"/>
      <c r="E37" s="1396"/>
      <c r="F37" s="664">
        <v>25.8</v>
      </c>
      <c r="G37" s="1012">
        <f>IF(H10=1,($F$37%*'5. E1 VERKSAMHETSKOSTN.'!F35)/12,('10. T5 KASSABUDGET '!F37%*'5. E1 VERKSAMHETSKOSTN.'!H35)/12)</f>
        <v>1290</v>
      </c>
      <c r="H37" s="1012">
        <f>G37</f>
        <v>1290</v>
      </c>
      <c r="I37" s="1012">
        <f t="shared" ref="I37:R38" si="15">H37</f>
        <v>1290</v>
      </c>
      <c r="J37" s="1012">
        <f t="shared" si="15"/>
        <v>1290</v>
      </c>
      <c r="K37" s="1012">
        <f t="shared" si="15"/>
        <v>1290</v>
      </c>
      <c r="L37" s="1012">
        <f t="shared" si="15"/>
        <v>1290</v>
      </c>
      <c r="M37" s="1012">
        <f t="shared" si="15"/>
        <v>1290</v>
      </c>
      <c r="N37" s="1012">
        <f t="shared" si="15"/>
        <v>1290</v>
      </c>
      <c r="O37" s="1012">
        <f t="shared" si="15"/>
        <v>1290</v>
      </c>
      <c r="P37" s="1012">
        <f t="shared" si="15"/>
        <v>1290</v>
      </c>
      <c r="Q37" s="1012">
        <f t="shared" si="15"/>
        <v>1290</v>
      </c>
      <c r="R37" s="1012">
        <f t="shared" si="15"/>
        <v>1290</v>
      </c>
      <c r="S37" s="1778">
        <f t="shared" si="11"/>
        <v>15480</v>
      </c>
      <c r="T37" s="1401"/>
      <c r="U37" s="1370"/>
      <c r="V37" s="52"/>
      <c r="W37" s="52"/>
    </row>
    <row r="38" spans="1:23" ht="12.65" customHeight="1">
      <c r="A38" s="52"/>
      <c r="B38" s="466">
        <f t="shared" si="7"/>
        <v>17</v>
      </c>
      <c r="C38" s="2284" t="s">
        <v>367</v>
      </c>
      <c r="D38" s="2285"/>
      <c r="E38" s="2286"/>
      <c r="F38" s="1563">
        <v>27.56</v>
      </c>
      <c r="G38" s="1012">
        <f>$F38/100*IF(H10=1,AI29/12+AP29/12,AI30/12+AP30/12)</f>
        <v>138.02966666666666</v>
      </c>
      <c r="H38" s="1012">
        <f>G38</f>
        <v>138.02966666666666</v>
      </c>
      <c r="I38" s="1012">
        <f t="shared" si="15"/>
        <v>138.02966666666666</v>
      </c>
      <c r="J38" s="1012">
        <f t="shared" si="15"/>
        <v>138.02966666666666</v>
      </c>
      <c r="K38" s="1012">
        <f t="shared" si="15"/>
        <v>138.02966666666666</v>
      </c>
      <c r="L38" s="1012">
        <f t="shared" si="15"/>
        <v>138.02966666666666</v>
      </c>
      <c r="M38" s="1012">
        <f t="shared" si="15"/>
        <v>138.02966666666666</v>
      </c>
      <c r="N38" s="1012">
        <f t="shared" si="15"/>
        <v>138.02966666666666</v>
      </c>
      <c r="O38" s="1012">
        <f t="shared" si="15"/>
        <v>138.02966666666666</v>
      </c>
      <c r="P38" s="1012">
        <f t="shared" si="15"/>
        <v>138.02966666666666</v>
      </c>
      <c r="Q38" s="1012">
        <f t="shared" si="15"/>
        <v>138.02966666666666</v>
      </c>
      <c r="R38" s="1012">
        <f t="shared" si="15"/>
        <v>138.02966666666666</v>
      </c>
      <c r="S38" s="1778">
        <f t="shared" si="11"/>
        <v>1656.3559999999995</v>
      </c>
      <c r="T38" s="1401"/>
      <c r="U38" s="1371"/>
      <c r="V38" s="52"/>
      <c r="W38" s="52"/>
    </row>
    <row r="39" spans="1:23" ht="12.65" customHeight="1">
      <c r="B39" s="466">
        <v>18</v>
      </c>
      <c r="C39" s="1483" t="s">
        <v>368</v>
      </c>
      <c r="D39" s="1485"/>
      <c r="E39" s="1485"/>
      <c r="F39" s="2299"/>
      <c r="G39" s="1010">
        <f>$U39/12</f>
        <v>0</v>
      </c>
      <c r="H39" s="1010">
        <f t="shared" ref="H39:R39" si="16">$U39/12</f>
        <v>0</v>
      </c>
      <c r="I39" s="1010">
        <f t="shared" si="16"/>
        <v>0</v>
      </c>
      <c r="J39" s="1010">
        <f t="shared" si="16"/>
        <v>0</v>
      </c>
      <c r="K39" s="1010">
        <f t="shared" si="16"/>
        <v>0</v>
      </c>
      <c r="L39" s="1010">
        <f t="shared" si="16"/>
        <v>0</v>
      </c>
      <c r="M39" s="1010">
        <f t="shared" si="16"/>
        <v>0</v>
      </c>
      <c r="N39" s="1010">
        <f t="shared" si="16"/>
        <v>0</v>
      </c>
      <c r="O39" s="1010">
        <f t="shared" si="16"/>
        <v>0</v>
      </c>
      <c r="P39" s="1010">
        <f t="shared" si="16"/>
        <v>0</v>
      </c>
      <c r="Q39" s="1010">
        <f t="shared" si="16"/>
        <v>0</v>
      </c>
      <c r="R39" s="1010">
        <f t="shared" si="16"/>
        <v>0</v>
      </c>
      <c r="S39" s="1778">
        <f t="shared" si="11"/>
        <v>0</v>
      </c>
      <c r="T39" s="1412">
        <f>U39-S39</f>
        <v>0</v>
      </c>
      <c r="U39" s="1367">
        <f>IF(H10=1,'5. E1 VERKSAMHETSKOSTN.'!F43+'5. E1 VERKSAMHETSKOSTN.'!F38+'5. E1 VERKSAMHETSKOSTN.'!F42,'5. E1 VERKSAMHETSKOSTN.'!H38+'5. E1 VERKSAMHETSKOSTN.'!H43+'5. E1 VERKSAMHETSKOSTN.'!H42)</f>
        <v>0</v>
      </c>
      <c r="V39" s="52"/>
      <c r="W39" s="52"/>
    </row>
    <row r="40" spans="1:23" ht="12.65" customHeight="1">
      <c r="A40" s="52"/>
      <c r="B40" s="466">
        <v>19</v>
      </c>
      <c r="C40" s="1484" t="s">
        <v>569</v>
      </c>
      <c r="D40" s="1551"/>
      <c r="E40" s="1551"/>
      <c r="F40" s="2300"/>
      <c r="G40" s="1010">
        <f>$U40/12</f>
        <v>0</v>
      </c>
      <c r="H40" s="1010">
        <f t="shared" ref="H40:R40" si="17">$U40/12</f>
        <v>0</v>
      </c>
      <c r="I40" s="1010">
        <f t="shared" si="17"/>
        <v>0</v>
      </c>
      <c r="J40" s="1010">
        <f t="shared" si="17"/>
        <v>0</v>
      </c>
      <c r="K40" s="1010">
        <f t="shared" si="17"/>
        <v>0</v>
      </c>
      <c r="L40" s="1010">
        <f t="shared" si="17"/>
        <v>0</v>
      </c>
      <c r="M40" s="1010">
        <f t="shared" si="17"/>
        <v>0</v>
      </c>
      <c r="N40" s="1010">
        <f t="shared" si="17"/>
        <v>0</v>
      </c>
      <c r="O40" s="1010">
        <f t="shared" si="17"/>
        <v>0</v>
      </c>
      <c r="P40" s="1010">
        <f t="shared" si="17"/>
        <v>0</v>
      </c>
      <c r="Q40" s="1010">
        <f t="shared" si="17"/>
        <v>0</v>
      </c>
      <c r="R40" s="1010">
        <f t="shared" si="17"/>
        <v>0</v>
      </c>
      <c r="S40" s="1778">
        <f t="shared" si="11"/>
        <v>0</v>
      </c>
      <c r="T40" s="1412">
        <f>U40-S40</f>
        <v>0</v>
      </c>
      <c r="U40" s="1367">
        <f>IF(H10=1,'5. E1 VERKSAMHETSKOSTN.'!F121,'5. E1 VERKSAMHETSKOSTN.'!H121)</f>
        <v>0</v>
      </c>
      <c r="V40" s="52"/>
      <c r="W40" s="52"/>
    </row>
    <row r="41" spans="1:23" ht="12.65" customHeight="1">
      <c r="B41" s="466">
        <v>20</v>
      </c>
      <c r="C41" s="1483" t="s">
        <v>369</v>
      </c>
      <c r="D41" s="1485"/>
      <c r="E41" s="1485"/>
      <c r="F41" s="2300"/>
      <c r="G41" s="1010">
        <f>$U41/12</f>
        <v>939.15999999999985</v>
      </c>
      <c r="H41" s="1010">
        <f t="shared" ref="H41:R45" si="18">$U41/12</f>
        <v>939.15999999999985</v>
      </c>
      <c r="I41" s="1010">
        <f t="shared" si="18"/>
        <v>939.15999999999985</v>
      </c>
      <c r="J41" s="1010">
        <f t="shared" si="18"/>
        <v>939.15999999999985</v>
      </c>
      <c r="K41" s="1010">
        <f t="shared" si="18"/>
        <v>939.15999999999985</v>
      </c>
      <c r="L41" s="1010">
        <f t="shared" si="18"/>
        <v>939.15999999999985</v>
      </c>
      <c r="M41" s="1010">
        <f t="shared" si="18"/>
        <v>939.15999999999985</v>
      </c>
      <c r="N41" s="1010">
        <f t="shared" si="18"/>
        <v>939.15999999999985</v>
      </c>
      <c r="O41" s="1010">
        <f t="shared" si="18"/>
        <v>939.15999999999985</v>
      </c>
      <c r="P41" s="1010">
        <f t="shared" si="18"/>
        <v>939.15999999999985</v>
      </c>
      <c r="Q41" s="1010">
        <f t="shared" si="18"/>
        <v>939.15999999999985</v>
      </c>
      <c r="R41" s="1010">
        <f t="shared" si="18"/>
        <v>939.15999999999985</v>
      </c>
      <c r="S41" s="1778">
        <f t="shared" si="11"/>
        <v>11269.919999999998</v>
      </c>
      <c r="T41" s="1412">
        <f>U41-S41</f>
        <v>0</v>
      </c>
      <c r="U41" s="1367">
        <f>'AT2 Lainat, sotum, alv-osto'!B96</f>
        <v>11269.919999999998</v>
      </c>
      <c r="V41" s="52"/>
      <c r="W41" s="52"/>
    </row>
    <row r="42" spans="1:23" ht="12.65" customHeight="1">
      <c r="A42" s="52"/>
      <c r="B42" s="466">
        <v>21</v>
      </c>
      <c r="C42" s="2246" t="s">
        <v>370</v>
      </c>
      <c r="D42" s="2255"/>
      <c r="E42" s="2256"/>
      <c r="F42" s="2300"/>
      <c r="G42" s="1010">
        <f>$U42/12</f>
        <v>735.67475000000002</v>
      </c>
      <c r="H42" s="1010">
        <f t="shared" si="18"/>
        <v>735.67475000000002</v>
      </c>
      <c r="I42" s="1010">
        <f t="shared" si="18"/>
        <v>735.67475000000002</v>
      </c>
      <c r="J42" s="1010">
        <f t="shared" si="18"/>
        <v>735.67475000000002</v>
      </c>
      <c r="K42" s="1010">
        <f t="shared" si="18"/>
        <v>735.67475000000002</v>
      </c>
      <c r="L42" s="1010">
        <f t="shared" si="18"/>
        <v>735.67475000000002</v>
      </c>
      <c r="M42" s="1010">
        <f t="shared" si="18"/>
        <v>735.67475000000002</v>
      </c>
      <c r="N42" s="1010">
        <f t="shared" si="18"/>
        <v>735.67475000000002</v>
      </c>
      <c r="O42" s="1010">
        <f t="shared" si="18"/>
        <v>735.67475000000002</v>
      </c>
      <c r="P42" s="1010">
        <f t="shared" si="18"/>
        <v>735.67475000000002</v>
      </c>
      <c r="Q42" s="1010">
        <f t="shared" si="18"/>
        <v>735.67475000000002</v>
      </c>
      <c r="R42" s="1010">
        <f t="shared" si="18"/>
        <v>735.67475000000002</v>
      </c>
      <c r="S42" s="1778">
        <f t="shared" ref="S42:S48" si="19">SUM(G42:R42)</f>
        <v>8828.0969999999998</v>
      </c>
      <c r="T42" s="1412">
        <f>U42-S42</f>
        <v>0</v>
      </c>
      <c r="U42" s="1367">
        <f>IF(H10=1,'4. T7 LÅN '!H18+'4. T7 LÅN '!H41,'4. T7 LÅN '!K18+'4. T7 LÅN '!K41)</f>
        <v>8828.0969999999998</v>
      </c>
      <c r="V42" s="52"/>
      <c r="W42" s="52"/>
    </row>
    <row r="43" spans="1:23" ht="12.65" customHeight="1">
      <c r="A43" s="2"/>
      <c r="B43" s="466">
        <v>22</v>
      </c>
      <c r="C43" s="1483" t="s">
        <v>371</v>
      </c>
      <c r="D43" s="1485"/>
      <c r="E43" s="1485"/>
      <c r="F43" s="2300"/>
      <c r="G43" s="1010">
        <f>$U43/12</f>
        <v>0</v>
      </c>
      <c r="H43" s="1010">
        <f t="shared" si="18"/>
        <v>0</v>
      </c>
      <c r="I43" s="1010">
        <f t="shared" si="18"/>
        <v>0</v>
      </c>
      <c r="J43" s="1010">
        <f t="shared" si="18"/>
        <v>0</v>
      </c>
      <c r="K43" s="1010">
        <f t="shared" si="18"/>
        <v>0</v>
      </c>
      <c r="L43" s="1010">
        <f t="shared" si="18"/>
        <v>0</v>
      </c>
      <c r="M43" s="1010">
        <f t="shared" si="18"/>
        <v>0</v>
      </c>
      <c r="N43" s="1010">
        <f t="shared" si="18"/>
        <v>0</v>
      </c>
      <c r="O43" s="1010">
        <f t="shared" si="18"/>
        <v>0</v>
      </c>
      <c r="P43" s="1010">
        <f t="shared" si="18"/>
        <v>0</v>
      </c>
      <c r="Q43" s="1010">
        <f t="shared" si="18"/>
        <v>0</v>
      </c>
      <c r="R43" s="1010">
        <f t="shared" si="18"/>
        <v>0</v>
      </c>
      <c r="S43" s="1778">
        <f t="shared" si="19"/>
        <v>0</v>
      </c>
      <c r="T43" s="1412">
        <f>U43-S43</f>
        <v>0</v>
      </c>
      <c r="U43" s="1367">
        <f>-IF(H10=1,'2. &amp; 7. T2  RESULTATB.'!I27,'2. &amp; 7. T2  RESULTATB.'!K27)</f>
        <v>0</v>
      </c>
      <c r="V43" s="52"/>
      <c r="W43" s="52"/>
    </row>
    <row r="44" spans="1:23" ht="12.65" customHeight="1">
      <c r="A44" s="52"/>
      <c r="B44" s="466">
        <v>23</v>
      </c>
      <c r="C44" s="1483" t="s">
        <v>372</v>
      </c>
      <c r="D44" s="1485"/>
      <c r="E44" s="1485"/>
      <c r="F44" s="2300"/>
      <c r="G44" s="1011">
        <v>0</v>
      </c>
      <c r="H44" s="1010"/>
      <c r="I44" s="1010"/>
      <c r="J44" s="1010"/>
      <c r="K44" s="1010"/>
      <c r="L44" s="1010"/>
      <c r="M44" s="1010"/>
      <c r="N44" s="1010"/>
      <c r="O44" s="1010"/>
      <c r="P44" s="1010"/>
      <c r="Q44" s="1010"/>
      <c r="R44" s="1010"/>
      <c r="S44" s="1778">
        <f>SUM(G44:R44)</f>
        <v>0</v>
      </c>
      <c r="T44" s="1401"/>
      <c r="U44" s="1369"/>
      <c r="V44" s="52"/>
      <c r="W44" s="52"/>
    </row>
    <row r="45" spans="1:23" ht="12.65" customHeight="1">
      <c r="B45" s="466">
        <v>24</v>
      </c>
      <c r="C45" s="1483" t="s">
        <v>565</v>
      </c>
      <c r="D45" s="1485"/>
      <c r="E45" s="1485"/>
      <c r="F45" s="2300"/>
      <c r="G45" s="1011">
        <f>$U45/12</f>
        <v>0</v>
      </c>
      <c r="H45" s="1011">
        <f t="shared" si="18"/>
        <v>0</v>
      </c>
      <c r="I45" s="1011">
        <f t="shared" si="18"/>
        <v>0</v>
      </c>
      <c r="J45" s="1011">
        <f t="shared" si="18"/>
        <v>0</v>
      </c>
      <c r="K45" s="1011">
        <f t="shared" si="18"/>
        <v>0</v>
      </c>
      <c r="L45" s="1011">
        <f t="shared" si="18"/>
        <v>0</v>
      </c>
      <c r="M45" s="1011">
        <f t="shared" si="18"/>
        <v>0</v>
      </c>
      <c r="N45" s="1011">
        <f t="shared" si="18"/>
        <v>0</v>
      </c>
      <c r="O45" s="1011">
        <f t="shared" si="18"/>
        <v>0</v>
      </c>
      <c r="P45" s="1011">
        <f>$U45/12</f>
        <v>0</v>
      </c>
      <c r="Q45" s="1011">
        <f t="shared" si="18"/>
        <v>0</v>
      </c>
      <c r="R45" s="1011">
        <f t="shared" si="18"/>
        <v>0</v>
      </c>
      <c r="S45" s="1778">
        <f t="shared" si="19"/>
        <v>0</v>
      </c>
      <c r="T45" s="1412">
        <f>U45-S45</f>
        <v>0</v>
      </c>
      <c r="U45" s="1367">
        <f>IF(H$10=1,'5. E1 VERKSAMHETSKOSTN.'!F119,'5. E1 VERKSAMHETSKOSTN.'!H119)</f>
        <v>0</v>
      </c>
      <c r="V45" s="52"/>
      <c r="W45" s="52"/>
    </row>
    <row r="46" spans="1:23" ht="12.65" customHeight="1">
      <c r="A46" s="52"/>
      <c r="B46" s="466">
        <v>25</v>
      </c>
      <c r="C46" s="1486" t="s">
        <v>748</v>
      </c>
      <c r="D46" s="1487"/>
      <c r="E46" s="1487"/>
      <c r="F46" s="2300"/>
      <c r="G46" s="1011"/>
      <c r="H46" s="1011"/>
      <c r="I46" s="1011"/>
      <c r="J46" s="1011"/>
      <c r="K46" s="1011"/>
      <c r="L46" s="1011"/>
      <c r="M46" s="1011"/>
      <c r="N46" s="1011"/>
      <c r="O46" s="1011"/>
      <c r="P46" s="1011"/>
      <c r="Q46" s="1011">
        <v>0</v>
      </c>
      <c r="R46" s="1011"/>
      <c r="S46" s="1778">
        <f t="shared" si="19"/>
        <v>0</v>
      </c>
      <c r="T46" s="1401"/>
      <c r="U46" s="1372"/>
      <c r="V46" s="52"/>
      <c r="W46" s="52"/>
    </row>
    <row r="47" spans="1:23" ht="12.65" customHeight="1" thickBot="1">
      <c r="B47" s="466">
        <f t="shared" si="7"/>
        <v>26</v>
      </c>
      <c r="C47" s="1552" t="s">
        <v>373</v>
      </c>
      <c r="D47" s="1553"/>
      <c r="E47" s="1553"/>
      <c r="F47" s="2301"/>
      <c r="G47" s="1011">
        <v>0</v>
      </c>
      <c r="H47" s="1011"/>
      <c r="I47" s="1011"/>
      <c r="J47" s="1011"/>
      <c r="K47" s="1011"/>
      <c r="L47" s="1011"/>
      <c r="M47" s="1011"/>
      <c r="N47" s="1011"/>
      <c r="O47" s="1011"/>
      <c r="P47" s="1011"/>
      <c r="Q47" s="1011"/>
      <c r="R47" s="1011"/>
      <c r="S47" s="1781">
        <f t="shared" si="19"/>
        <v>0</v>
      </c>
      <c r="T47" s="1401"/>
      <c r="U47" s="1358"/>
      <c r="V47" s="52"/>
      <c r="W47" s="52"/>
    </row>
    <row r="48" spans="1:23" ht="12.9" thickTop="1">
      <c r="A48" s="52"/>
      <c r="B48" s="2288" t="s">
        <v>374</v>
      </c>
      <c r="C48" s="2289"/>
      <c r="D48" s="2289"/>
      <c r="E48" s="2289"/>
      <c r="F48" s="2290"/>
      <c r="G48" s="1013">
        <f>SUM(G27:G47)</f>
        <v>15291.369136730187</v>
      </c>
      <c r="H48" s="1013">
        <f t="shared" ref="H48:R48" si="20">SUM(H27:H47)</f>
        <v>15369.969136730188</v>
      </c>
      <c r="I48" s="1013">
        <f t="shared" si="20"/>
        <v>18347.950142524343</v>
      </c>
      <c r="J48" s="1013">
        <f t="shared" si="20"/>
        <v>18347.950142524343</v>
      </c>
      <c r="K48" s="1013">
        <f t="shared" si="20"/>
        <v>18347.950142524343</v>
      </c>
      <c r="L48" s="1013">
        <f t="shared" si="20"/>
        <v>18347.950142524343</v>
      </c>
      <c r="M48" s="1013">
        <f t="shared" si="20"/>
        <v>18347.950142524343</v>
      </c>
      <c r="N48" s="1013">
        <f t="shared" si="20"/>
        <v>18347.950142524343</v>
      </c>
      <c r="O48" s="1013">
        <f t="shared" si="20"/>
        <v>18347.950142524343</v>
      </c>
      <c r="P48" s="1013">
        <f t="shared" si="20"/>
        <v>18347.950142524343</v>
      </c>
      <c r="Q48" s="1013">
        <f t="shared" si="20"/>
        <v>18347.950142524343</v>
      </c>
      <c r="R48" s="1013">
        <f t="shared" si="20"/>
        <v>18424.274622524339</v>
      </c>
      <c r="S48" s="1465">
        <f t="shared" si="19"/>
        <v>214217.16417870385</v>
      </c>
      <c r="T48" s="1401"/>
      <c r="U48" s="1372"/>
      <c r="V48" s="52"/>
      <c r="W48" s="52"/>
    </row>
    <row r="49" spans="1:23" ht="4.2" customHeight="1">
      <c r="A49" s="2"/>
      <c r="B49" s="592"/>
      <c r="C49" s="593"/>
      <c r="D49" s="177"/>
      <c r="E49" s="177"/>
      <c r="F49" s="594"/>
      <c r="G49" s="1014"/>
      <c r="H49" s="1014"/>
      <c r="I49" s="1014"/>
      <c r="J49" s="1014"/>
      <c r="K49" s="1014"/>
      <c r="L49" s="1014"/>
      <c r="M49" s="1014"/>
      <c r="N49" s="1014"/>
      <c r="O49" s="1014"/>
      <c r="P49" s="1014"/>
      <c r="Q49" s="1014"/>
      <c r="R49" s="1014"/>
      <c r="S49" s="1363"/>
      <c r="T49" s="1401"/>
      <c r="U49" s="1372"/>
      <c r="V49" s="52"/>
      <c r="W49" s="52"/>
    </row>
    <row r="50" spans="1:23" ht="15" customHeight="1">
      <c r="A50" s="52"/>
      <c r="B50" s="2270" t="s">
        <v>380</v>
      </c>
      <c r="C50" s="2271"/>
      <c r="D50" s="2271"/>
      <c r="E50" s="2271"/>
      <c r="F50" s="1873">
        <v>0</v>
      </c>
      <c r="G50" s="1776" t="str">
        <f>G26</f>
        <v>jan.23</v>
      </c>
      <c r="H50" s="1776" t="str">
        <f>H26</f>
        <v>feb.23</v>
      </c>
      <c r="I50" s="1776" t="str">
        <f t="shared" ref="I50:R50" si="21">I26</f>
        <v>mars.23</v>
      </c>
      <c r="J50" s="1776" t="str">
        <f t="shared" si="21"/>
        <v>april.23</v>
      </c>
      <c r="K50" s="1776" t="str">
        <f t="shared" si="21"/>
        <v>mai.23</v>
      </c>
      <c r="L50" s="1776" t="str">
        <f t="shared" si="21"/>
        <v>juni.23</v>
      </c>
      <c r="M50" s="1776" t="str">
        <f t="shared" si="21"/>
        <v>juli.23</v>
      </c>
      <c r="N50" s="1776" t="str">
        <f t="shared" si="21"/>
        <v>aug.23</v>
      </c>
      <c r="O50" s="1776" t="str">
        <f t="shared" si="21"/>
        <v>sep.23</v>
      </c>
      <c r="P50" s="1776" t="str">
        <f t="shared" si="21"/>
        <v>okt.23</v>
      </c>
      <c r="Q50" s="1776" t="str">
        <f t="shared" si="21"/>
        <v>nov.23</v>
      </c>
      <c r="R50" s="1776" t="str">
        <f t="shared" si="21"/>
        <v>dec.23</v>
      </c>
      <c r="S50" s="1777" t="str">
        <f>S26</f>
        <v>SLGT</v>
      </c>
      <c r="T50" s="1774" t="s">
        <v>733</v>
      </c>
      <c r="U50" s="1372"/>
      <c r="V50" s="52"/>
      <c r="W50" s="52"/>
    </row>
    <row r="51" spans="1:23" ht="12.65" customHeight="1">
      <c r="B51" s="1397">
        <v>27</v>
      </c>
      <c r="C51" s="2246" t="s">
        <v>376</v>
      </c>
      <c r="D51" s="2255"/>
      <c r="E51" s="2256"/>
      <c r="F51" s="2297"/>
      <c r="G51" s="1010">
        <f>$U51/12</f>
        <v>0</v>
      </c>
      <c r="H51" s="1010">
        <f t="shared" ref="H51:R51" si="22">$U51/12</f>
        <v>0</v>
      </c>
      <c r="I51" s="1010">
        <f t="shared" si="22"/>
        <v>0</v>
      </c>
      <c r="J51" s="1010">
        <f t="shared" si="22"/>
        <v>0</v>
      </c>
      <c r="K51" s="1010">
        <f t="shared" si="22"/>
        <v>0</v>
      </c>
      <c r="L51" s="1010">
        <f t="shared" si="22"/>
        <v>0</v>
      </c>
      <c r="M51" s="1010">
        <f t="shared" si="22"/>
        <v>0</v>
      </c>
      <c r="N51" s="1010">
        <f t="shared" si="22"/>
        <v>0</v>
      </c>
      <c r="O51" s="1010">
        <f t="shared" si="22"/>
        <v>0</v>
      </c>
      <c r="P51" s="1010">
        <f t="shared" si="22"/>
        <v>0</v>
      </c>
      <c r="Q51" s="1010">
        <f t="shared" si="22"/>
        <v>0</v>
      </c>
      <c r="R51" s="1010">
        <f t="shared" si="22"/>
        <v>0</v>
      </c>
      <c r="S51" s="1778">
        <f t="shared" ref="S51:S56" si="23">SUM(G51:R51)</f>
        <v>0</v>
      </c>
      <c r="T51" s="1412">
        <f>U51-S51</f>
        <v>0</v>
      </c>
      <c r="U51" s="1367">
        <f>IF(H10=1,'4. T7 LÅN '!F20+'4. T7 LÅN '!H20+'4. T7 LÅN '!G48+'4. T7 LÅN '!H48,'4. T7 LÅN '!I20+'4. T7 LÅN '!K20+'4. T7 LÅN '!J48+'4. T7 LÅN '!K48)</f>
        <v>0</v>
      </c>
      <c r="V51" s="52"/>
      <c r="W51" s="52"/>
    </row>
    <row r="52" spans="1:23" ht="12.65" customHeight="1">
      <c r="A52" s="2"/>
      <c r="B52" s="1397">
        <f>B51+1</f>
        <v>28</v>
      </c>
      <c r="C52" s="2246" t="s">
        <v>377</v>
      </c>
      <c r="D52" s="2255"/>
      <c r="E52" s="2256"/>
      <c r="F52" s="2297"/>
      <c r="G52" s="1015">
        <f>U52</f>
        <v>230000</v>
      </c>
      <c r="H52" s="1015"/>
      <c r="I52" s="1015"/>
      <c r="J52" s="1015">
        <v>0</v>
      </c>
      <c r="K52" s="1015">
        <v>0</v>
      </c>
      <c r="L52" s="1015"/>
      <c r="M52" s="1015"/>
      <c r="N52" s="1015"/>
      <c r="O52" s="1015"/>
      <c r="P52" s="1015">
        <v>0</v>
      </c>
      <c r="Q52" s="1015"/>
      <c r="R52" s="1015">
        <v>0</v>
      </c>
      <c r="S52" s="1782">
        <f t="shared" si="23"/>
        <v>230000</v>
      </c>
      <c r="T52" s="1412">
        <f>U52-S52</f>
        <v>0</v>
      </c>
      <c r="U52" s="1367">
        <f>IF(H10=1,'4. T7 LÅN '!F41+'4. T7 LÅN '!F48,'4. T7 LÅN '!I41+'4. T7 LÅN '!I48)</f>
        <v>230000</v>
      </c>
      <c r="V52" s="52"/>
      <c r="W52" s="52"/>
    </row>
    <row r="53" spans="1:23" ht="12.65" customHeight="1">
      <c r="A53" s="4"/>
      <c r="B53" s="1397">
        <f>B52+1</f>
        <v>29</v>
      </c>
      <c r="C53" s="2246" t="s">
        <v>378</v>
      </c>
      <c r="D53" s="2255"/>
      <c r="E53" s="2256"/>
      <c r="F53" s="2297"/>
      <c r="G53" s="1010"/>
      <c r="H53" s="1010"/>
      <c r="I53" s="1010"/>
      <c r="J53" s="1010"/>
      <c r="K53" s="1010"/>
      <c r="L53" s="1010">
        <f>$U53/2</f>
        <v>8468</v>
      </c>
      <c r="M53" s="1010">
        <v>0</v>
      </c>
      <c r="N53" s="1010"/>
      <c r="O53" s="1010"/>
      <c r="P53" s="1010"/>
      <c r="Q53" s="1010"/>
      <c r="R53" s="1010">
        <f>$U53/2</f>
        <v>8468</v>
      </c>
      <c r="S53" s="1778">
        <f t="shared" si="23"/>
        <v>16936</v>
      </c>
      <c r="T53" s="1412">
        <f>U53-S53</f>
        <v>0</v>
      </c>
      <c r="U53" s="1367">
        <f>IF(H10=1,'4. T7 LÅN '!F18+'4. T7 LÅN '!G41,'4. T7 LÅN '!I18+'4. T7 LÅN '!J41)</f>
        <v>16936</v>
      </c>
      <c r="V53" s="52"/>
      <c r="W53" s="52"/>
    </row>
    <row r="54" spans="1:23" ht="12.65" customHeight="1">
      <c r="B54" s="1397">
        <f>B53+1</f>
        <v>30</v>
      </c>
      <c r="C54" s="2246" t="s">
        <v>379</v>
      </c>
      <c r="D54" s="2255"/>
      <c r="E54" s="2256"/>
      <c r="F54" s="2297"/>
      <c r="G54" s="1010"/>
      <c r="H54" s="1010"/>
      <c r="I54" s="1010"/>
      <c r="J54" s="1010"/>
      <c r="K54" s="1010"/>
      <c r="L54" s="1010"/>
      <c r="M54" s="1010"/>
      <c r="N54" s="1010"/>
      <c r="O54" s="1010"/>
      <c r="P54" s="1010"/>
      <c r="Q54" s="1010"/>
      <c r="R54" s="1010"/>
      <c r="S54" s="1778">
        <f t="shared" si="23"/>
        <v>0</v>
      </c>
      <c r="T54" s="1401"/>
      <c r="U54" s="1372"/>
    </row>
    <row r="55" spans="1:23" ht="12.65" customHeight="1">
      <c r="B55" s="1397">
        <f>B54+1</f>
        <v>31</v>
      </c>
      <c r="C55" s="2246" t="s">
        <v>710</v>
      </c>
      <c r="D55" s="2255"/>
      <c r="E55" s="2256"/>
      <c r="F55" s="2297"/>
      <c r="G55" s="1011">
        <f>U55</f>
        <v>0</v>
      </c>
      <c r="H55" s="1011"/>
      <c r="I55" s="1011"/>
      <c r="J55" s="1011"/>
      <c r="K55" s="1011"/>
      <c r="L55" s="1011"/>
      <c r="M55" s="1011"/>
      <c r="N55" s="1011"/>
      <c r="O55" s="1011"/>
      <c r="P55" s="1011"/>
      <c r="Q55" s="1011"/>
      <c r="R55" s="1011"/>
      <c r="S55" s="1778">
        <f t="shared" si="23"/>
        <v>0</v>
      </c>
      <c r="T55" s="1412">
        <f>U55-S55</f>
        <v>0</v>
      </c>
      <c r="U55" s="1367">
        <f>IF(H$10=1,'1. T1 INVESTERINGSP. '!D46+'1. T1 INVESTERINGSP. '!D47,'1. T1 INVESTERINGSP. '!E46+'1. T1 INVESTERINGSP. '!E47)</f>
        <v>0</v>
      </c>
    </row>
    <row r="56" spans="1:23" ht="12.65" customHeight="1" thickBot="1">
      <c r="B56" s="1397">
        <f>B55+1</f>
        <v>32</v>
      </c>
      <c r="C56" s="2263" t="s">
        <v>711</v>
      </c>
      <c r="D56" s="2264"/>
      <c r="E56" s="2265"/>
      <c r="F56" s="2298"/>
      <c r="G56" s="1011">
        <f>U56</f>
        <v>0</v>
      </c>
      <c r="H56" s="1011"/>
      <c r="I56" s="1011"/>
      <c r="J56" s="1011"/>
      <c r="K56" s="1011"/>
      <c r="L56" s="1011">
        <v>0</v>
      </c>
      <c r="M56" s="1011"/>
      <c r="N56" s="1011"/>
      <c r="O56" s="1011"/>
      <c r="P56" s="1011"/>
      <c r="Q56" s="1011"/>
      <c r="R56" s="1011"/>
      <c r="S56" s="1778">
        <f t="shared" si="23"/>
        <v>0</v>
      </c>
      <c r="T56" s="1412">
        <f>U56-S56</f>
        <v>0</v>
      </c>
      <c r="U56" s="1367">
        <f>IF(H$10=1,'1. T1 INVESTERINGSP. '!D49,'1. T1 INVESTERINGSP. '!E49)</f>
        <v>0</v>
      </c>
    </row>
    <row r="57" spans="1:23" ht="12.9" thickTop="1">
      <c r="B57" s="2291" t="s">
        <v>697</v>
      </c>
      <c r="C57" s="2292"/>
      <c r="D57" s="2292"/>
      <c r="E57" s="2292"/>
      <c r="F57" s="2293"/>
      <c r="G57" s="1016">
        <f>-G51+G52-G53-G54+G55+G56</f>
        <v>230000</v>
      </c>
      <c r="H57" s="1016">
        <f t="shared" ref="H57:R57" si="24">-H51+H52-H53-H54+H55+H56</f>
        <v>0</v>
      </c>
      <c r="I57" s="1016">
        <f t="shared" si="24"/>
        <v>0</v>
      </c>
      <c r="J57" s="1016">
        <f t="shared" si="24"/>
        <v>0</v>
      </c>
      <c r="K57" s="1016">
        <f t="shared" si="24"/>
        <v>0</v>
      </c>
      <c r="L57" s="1016">
        <f t="shared" si="24"/>
        <v>-8468</v>
      </c>
      <c r="M57" s="1016">
        <f t="shared" si="24"/>
        <v>0</v>
      </c>
      <c r="N57" s="1016">
        <f t="shared" si="24"/>
        <v>0</v>
      </c>
      <c r="O57" s="1016">
        <f t="shared" si="24"/>
        <v>0</v>
      </c>
      <c r="P57" s="1016">
        <f t="shared" si="24"/>
        <v>0</v>
      </c>
      <c r="Q57" s="1016">
        <f t="shared" si="24"/>
        <v>0</v>
      </c>
      <c r="R57" s="1016">
        <f t="shared" si="24"/>
        <v>-8468</v>
      </c>
      <c r="S57" s="1464">
        <f>-S51+S52-S53-S54+S55+S56</f>
        <v>213064</v>
      </c>
      <c r="U57" s="1360"/>
    </row>
    <row r="58" spans="1:23" ht="4.2" customHeight="1">
      <c r="B58" s="435"/>
      <c r="C58" s="435"/>
      <c r="D58" s="435"/>
      <c r="E58" s="435"/>
      <c r="F58" s="436"/>
      <c r="G58" s="1008"/>
      <c r="H58" s="1008"/>
      <c r="I58" s="1008"/>
      <c r="J58" s="1008"/>
      <c r="K58" s="1008"/>
      <c r="L58" s="1008"/>
      <c r="M58" s="1008"/>
      <c r="N58" s="1008"/>
      <c r="O58" s="1008"/>
      <c r="P58" s="1008"/>
      <c r="Q58" s="1008"/>
      <c r="R58" s="1008"/>
      <c r="S58" s="1364"/>
      <c r="U58" s="1360"/>
    </row>
    <row r="59" spans="1:23">
      <c r="B59" s="1783">
        <v>33</v>
      </c>
      <c r="C59" s="2275" t="s">
        <v>701</v>
      </c>
      <c r="D59" s="2276"/>
      <c r="E59" s="2276"/>
      <c r="F59" s="2277"/>
      <c r="G59" s="1784">
        <f>G24-G48+G57</f>
        <v>229931.07172993649</v>
      </c>
      <c r="H59" s="1784">
        <f>H24-H48+H57</f>
        <v>4471.6928632698127</v>
      </c>
      <c r="I59" s="1784">
        <f t="shared" ref="I59:R59" si="25">I24-I48+I57</f>
        <v>1493.7118574756569</v>
      </c>
      <c r="J59" s="1784">
        <f t="shared" si="25"/>
        <v>1493.7118574756569</v>
      </c>
      <c r="K59" s="1784">
        <f t="shared" si="25"/>
        <v>1493.7118574756569</v>
      </c>
      <c r="L59" s="1784">
        <f t="shared" si="25"/>
        <v>-6974.2881425243431</v>
      </c>
      <c r="M59" s="1784">
        <f t="shared" si="25"/>
        <v>1493.7118574756569</v>
      </c>
      <c r="N59" s="1784">
        <f t="shared" si="25"/>
        <v>1493.7118574756569</v>
      </c>
      <c r="O59" s="1784">
        <f t="shared" si="25"/>
        <v>1493.7118574756569</v>
      </c>
      <c r="P59" s="1784">
        <f t="shared" si="25"/>
        <v>1493.7118574756569</v>
      </c>
      <c r="Q59" s="1784">
        <f t="shared" si="25"/>
        <v>1493.7118574756569</v>
      </c>
      <c r="R59" s="1784">
        <f t="shared" si="25"/>
        <v>-6319.1696891910105</v>
      </c>
      <c r="S59" s="1784">
        <f>SUM(G59:R59)</f>
        <v>233059.00162129625</v>
      </c>
      <c r="U59" s="1360"/>
    </row>
    <row r="60" spans="1:23">
      <c r="B60" s="1785">
        <v>34</v>
      </c>
      <c r="C60" s="2272" t="s">
        <v>702</v>
      </c>
      <c r="D60" s="2273"/>
      <c r="E60" s="2273"/>
      <c r="F60" s="2274"/>
      <c r="G60" s="1786">
        <f>G15+G59+G16</f>
        <v>237587.07172993649</v>
      </c>
      <c r="H60" s="1786">
        <f t="shared" ref="H60:R60" si="26">H15+H59+H16</f>
        <v>242058.76459320632</v>
      </c>
      <c r="I60" s="1786">
        <f t="shared" si="26"/>
        <v>243552.47645068198</v>
      </c>
      <c r="J60" s="1786">
        <f t="shared" si="26"/>
        <v>245046.18830815764</v>
      </c>
      <c r="K60" s="1786">
        <f t="shared" si="26"/>
        <v>246539.9001656333</v>
      </c>
      <c r="L60" s="1786">
        <f t="shared" si="26"/>
        <v>239565.61202310896</v>
      </c>
      <c r="M60" s="1786">
        <f t="shared" si="26"/>
        <v>241059.32388058462</v>
      </c>
      <c r="N60" s="1786">
        <f t="shared" si="26"/>
        <v>242553.03573806028</v>
      </c>
      <c r="O60" s="1786">
        <f t="shared" si="26"/>
        <v>244046.74759553594</v>
      </c>
      <c r="P60" s="1786">
        <f t="shared" si="26"/>
        <v>245540.4594530116</v>
      </c>
      <c r="Q60" s="1786">
        <f t="shared" si="26"/>
        <v>247034.17131048726</v>
      </c>
      <c r="R60" s="1787">
        <f t="shared" si="26"/>
        <v>240715.00162129625</v>
      </c>
      <c r="S60" s="1466"/>
    </row>
    <row r="61" spans="1:23" ht="4.2" customHeight="1">
      <c r="B61" s="165"/>
      <c r="C61" s="165"/>
      <c r="D61" s="51"/>
      <c r="E61" s="51"/>
      <c r="F61" s="95"/>
      <c r="G61" s="54"/>
      <c r="H61" s="54"/>
      <c r="I61" s="54"/>
      <c r="J61" s="54"/>
      <c r="K61" s="54"/>
      <c r="L61" s="54"/>
      <c r="M61" s="54"/>
      <c r="N61" s="54"/>
      <c r="O61" s="54"/>
      <c r="P61" s="54"/>
      <c r="Q61" s="166"/>
      <c r="R61" s="165"/>
      <c r="S61" s="115">
        <v>0</v>
      </c>
    </row>
    <row r="62" spans="1:23">
      <c r="B62" s="51" t="str">
        <f>'2. &amp; 7. T2  RESULTATB.'!B35</f>
        <v>FT22 Det aktiva företagets resultatplan</v>
      </c>
      <c r="C62" s="51"/>
      <c r="D62" s="51"/>
      <c r="E62" s="51"/>
      <c r="F62" s="95"/>
      <c r="S62" s="164" t="str">
        <f>STARTSIDAN!J5</f>
        <v xml:space="preserve">Tjänsten erbjuds av: </v>
      </c>
      <c r="T62" s="1382"/>
      <c r="U62" s="77" t="s">
        <v>0</v>
      </c>
    </row>
    <row r="63" spans="1:23">
      <c r="B63" s="51" t="str">
        <f>'2. &amp; 7. T2  RESULTATB.'!B36</f>
        <v xml:space="preserve"> </v>
      </c>
      <c r="C63" s="51"/>
      <c r="D63" s="51"/>
      <c r="E63" s="51"/>
      <c r="F63" s="95"/>
      <c r="M63" s="2260" t="str">
        <f>STARTSIDAN!H7</f>
        <v>Dynamo Närpes och Kristinestads näringslivscentral Ab</v>
      </c>
      <c r="N63" s="2261"/>
      <c r="O63" s="2261"/>
      <c r="P63" s="2261"/>
      <c r="Q63" s="2261"/>
      <c r="R63" s="2261"/>
      <c r="S63" s="2261"/>
    </row>
    <row r="64" spans="1:23">
      <c r="B64" s="51"/>
      <c r="C64" s="51"/>
      <c r="D64" s="51"/>
      <c r="E64" s="51"/>
      <c r="F64" s="95"/>
    </row>
    <row r="65" spans="1:17" ht="15.45">
      <c r="D65" s="2287" t="str">
        <f>B10</f>
        <v>T5 KASSABUDGET</v>
      </c>
      <c r="E65" s="2287"/>
      <c r="F65" s="2287"/>
      <c r="I65" s="478" t="str">
        <f>E10</f>
        <v>PROGNOSÅR</v>
      </c>
      <c r="J65" s="72">
        <f>H10</f>
        <v>1</v>
      </c>
      <c r="N65" s="25" t="str">
        <f>O10</f>
        <v>1/202X - 12/202Y</v>
      </c>
    </row>
    <row r="66" spans="1:17" ht="5.25" customHeight="1">
      <c r="D66" s="97"/>
      <c r="E66" s="97"/>
      <c r="F66" s="97"/>
      <c r="H66" s="25"/>
      <c r="N66" s="25"/>
    </row>
    <row r="67" spans="1:17">
      <c r="D67" s="119" t="str">
        <f>B11</f>
        <v>Företag</v>
      </c>
    </row>
    <row r="68" spans="1:17" ht="12.75" customHeight="1">
      <c r="D68" s="180" t="str">
        <f>B12</f>
        <v>Exempel Dagis Ab</v>
      </c>
      <c r="E68" s="181"/>
      <c r="F68" s="182"/>
      <c r="G68" s="179"/>
      <c r="J68" s="25"/>
      <c r="K68" s="25"/>
      <c r="L68" s="25"/>
      <c r="M68" s="25"/>
      <c r="O68" s="25"/>
      <c r="P68" s="25"/>
      <c r="Q68" s="179"/>
    </row>
    <row r="69" spans="1:17" ht="10.199999999999999" customHeight="1"/>
    <row r="71" spans="1:17">
      <c r="A71" s="2"/>
    </row>
    <row r="84" spans="18:18">
      <c r="R84" s="41"/>
    </row>
    <row r="98" spans="3:23" s="949" customFormat="1">
      <c r="F98" s="951"/>
      <c r="U98" s="1359"/>
      <c r="W98" s="1452"/>
    </row>
    <row r="99" spans="3:23" s="949" customFormat="1">
      <c r="F99" s="951"/>
      <c r="U99" s="1359"/>
      <c r="W99" s="1452"/>
    </row>
    <row r="100" spans="3:23" s="949" customFormat="1">
      <c r="F100" s="951"/>
      <c r="U100" s="1359"/>
      <c r="W100" s="1452"/>
    </row>
    <row r="102" spans="3:23">
      <c r="C102" s="2280"/>
      <c r="D102" s="2280"/>
      <c r="E102" s="2280"/>
      <c r="F102" s="1876"/>
      <c r="G102" s="1877" t="str">
        <f>G14</f>
        <v>jan.23</v>
      </c>
      <c r="H102" s="1877" t="str">
        <f t="shared" ref="H102:S102" si="27">H14</f>
        <v>feb.23</v>
      </c>
      <c r="I102" s="1877" t="str">
        <f t="shared" si="27"/>
        <v>mars.23</v>
      </c>
      <c r="J102" s="1877" t="str">
        <f t="shared" si="27"/>
        <v>april.23</v>
      </c>
      <c r="K102" s="1877" t="str">
        <f t="shared" si="27"/>
        <v>mai.23</v>
      </c>
      <c r="L102" s="1877" t="str">
        <f t="shared" si="27"/>
        <v>juni.23</v>
      </c>
      <c r="M102" s="1877" t="str">
        <f t="shared" si="27"/>
        <v>juli.23</v>
      </c>
      <c r="N102" s="1877" t="str">
        <f t="shared" si="27"/>
        <v>aug.23</v>
      </c>
      <c r="O102" s="1877" t="str">
        <f t="shared" si="27"/>
        <v>sep.23</v>
      </c>
      <c r="P102" s="1877" t="str">
        <f t="shared" si="27"/>
        <v>okt.23</v>
      </c>
      <c r="Q102" s="1877" t="str">
        <f t="shared" si="27"/>
        <v>nov.23</v>
      </c>
      <c r="R102" s="1877" t="str">
        <f t="shared" si="27"/>
        <v>dec.23</v>
      </c>
      <c r="S102" s="1879" t="str">
        <f t="shared" si="27"/>
        <v>SLGT</v>
      </c>
    </row>
    <row r="103" spans="3:23" ht="15" customHeight="1">
      <c r="C103" s="2278" t="s">
        <v>701</v>
      </c>
      <c r="D103" s="2278"/>
      <c r="E103" s="2278"/>
      <c r="F103" s="2279"/>
      <c r="G103" s="1874">
        <f>G59</f>
        <v>229931.07172993649</v>
      </c>
      <c r="H103" s="1874">
        <f t="shared" ref="H103:R104" si="28">H59</f>
        <v>4471.6928632698127</v>
      </c>
      <c r="I103" s="1874">
        <f t="shared" si="28"/>
        <v>1493.7118574756569</v>
      </c>
      <c r="J103" s="1874">
        <f t="shared" si="28"/>
        <v>1493.7118574756569</v>
      </c>
      <c r="K103" s="1874">
        <f t="shared" si="28"/>
        <v>1493.7118574756569</v>
      </c>
      <c r="L103" s="1874">
        <f t="shared" si="28"/>
        <v>-6974.2881425243431</v>
      </c>
      <c r="M103" s="1874">
        <f t="shared" si="28"/>
        <v>1493.7118574756569</v>
      </c>
      <c r="N103" s="1874">
        <f t="shared" si="28"/>
        <v>1493.7118574756569</v>
      </c>
      <c r="O103" s="1874">
        <f t="shared" si="28"/>
        <v>1493.7118574756569</v>
      </c>
      <c r="P103" s="1874">
        <f t="shared" si="28"/>
        <v>1493.7118574756569</v>
      </c>
      <c r="Q103" s="1874">
        <f t="shared" si="28"/>
        <v>1493.7118574756569</v>
      </c>
      <c r="R103" s="1874">
        <f t="shared" si="28"/>
        <v>-6319.1696891910105</v>
      </c>
      <c r="S103" s="1878">
        <f>SUM(G103:R103)</f>
        <v>233059.00162129625</v>
      </c>
    </row>
    <row r="104" spans="3:23" ht="15" customHeight="1">
      <c r="C104" s="2278" t="s">
        <v>703</v>
      </c>
      <c r="D104" s="2278"/>
      <c r="E104" s="2278"/>
      <c r="F104" s="2279"/>
      <c r="G104" s="1874">
        <f>G60</f>
        <v>237587.07172993649</v>
      </c>
      <c r="H104" s="1874">
        <f t="shared" si="28"/>
        <v>242058.76459320632</v>
      </c>
      <c r="I104" s="1874">
        <f t="shared" si="28"/>
        <v>243552.47645068198</v>
      </c>
      <c r="J104" s="1874">
        <f t="shared" si="28"/>
        <v>245046.18830815764</v>
      </c>
      <c r="K104" s="1874">
        <f t="shared" si="28"/>
        <v>246539.9001656333</v>
      </c>
      <c r="L104" s="1874">
        <f t="shared" si="28"/>
        <v>239565.61202310896</v>
      </c>
      <c r="M104" s="1874">
        <f t="shared" si="28"/>
        <v>241059.32388058462</v>
      </c>
      <c r="N104" s="1874">
        <f t="shared" si="28"/>
        <v>242553.03573806028</v>
      </c>
      <c r="O104" s="1874">
        <f t="shared" si="28"/>
        <v>244046.74759553594</v>
      </c>
      <c r="P104" s="1874">
        <f t="shared" si="28"/>
        <v>245540.4594530116</v>
      </c>
      <c r="Q104" s="1874">
        <f t="shared" si="28"/>
        <v>247034.17131048726</v>
      </c>
      <c r="R104" s="1874">
        <f t="shared" si="28"/>
        <v>240715.00162129625</v>
      </c>
      <c r="S104" s="1875"/>
    </row>
    <row r="105" spans="3:23">
      <c r="C105" s="152"/>
      <c r="D105" s="152"/>
      <c r="E105" s="152"/>
      <c r="F105" s="152"/>
      <c r="G105" s="306"/>
      <c r="H105" s="306"/>
      <c r="I105" s="306"/>
      <c r="J105" s="306"/>
      <c r="K105" s="306"/>
      <c r="L105" s="306"/>
      <c r="M105" s="306"/>
      <c r="N105" s="306"/>
      <c r="O105" s="306"/>
      <c r="P105" s="306"/>
      <c r="Q105" s="306"/>
      <c r="R105" s="306"/>
      <c r="S105" s="449"/>
    </row>
    <row r="106" spans="3:23">
      <c r="C106" s="165" t="str">
        <f>'1. T1 INVESTERINGSP. '!B64</f>
        <v>FT22 Det aktiva företagets resultatplan</v>
      </c>
      <c r="E106" s="167"/>
      <c r="F106" s="168"/>
      <c r="G106" s="54"/>
      <c r="H106" s="54"/>
      <c r="I106" s="54"/>
      <c r="J106" s="117"/>
      <c r="K106" s="54"/>
      <c r="L106" s="54"/>
      <c r="M106" s="54"/>
      <c r="N106" s="54"/>
      <c r="O106" s="54"/>
      <c r="P106" s="54"/>
      <c r="Q106" s="166"/>
      <c r="S106" s="164" t="str">
        <f>STARTSIDAN!J5</f>
        <v xml:space="preserve">Tjänsten erbjuds av: </v>
      </c>
    </row>
    <row r="107" spans="3:23">
      <c r="C107" s="20"/>
      <c r="D107" s="165" t="str">
        <f>'1. T1 INVESTERINGSP. '!B65</f>
        <v xml:space="preserve"> </v>
      </c>
      <c r="E107" s="116"/>
      <c r="F107" s="138"/>
      <c r="G107" s="114"/>
      <c r="H107" s="114"/>
      <c r="I107" s="114"/>
      <c r="J107" s="118"/>
      <c r="K107" s="114"/>
      <c r="L107" s="114"/>
      <c r="M107" s="114"/>
      <c r="N107" s="114"/>
      <c r="O107" s="114"/>
      <c r="P107" s="114"/>
      <c r="Q107" s="114"/>
      <c r="S107" s="952" t="str">
        <f>M63</f>
        <v>Dynamo Närpes och Kristinestads näringslivscentral Ab</v>
      </c>
    </row>
    <row r="108" spans="3:23">
      <c r="R108" s="591" t="s">
        <v>0</v>
      </c>
    </row>
    <row r="110" spans="3:23">
      <c r="D110" s="493" t="s">
        <v>238</v>
      </c>
    </row>
    <row r="111" spans="3:23">
      <c r="D111" s="51" t="s">
        <v>239</v>
      </c>
    </row>
    <row r="112" spans="3:23">
      <c r="D112" s="51" t="s">
        <v>240</v>
      </c>
    </row>
    <row r="201" spans="24:197">
      <c r="X201">
        <v>1</v>
      </c>
      <c r="Y201">
        <v>1</v>
      </c>
      <c r="Z201">
        <v>1</v>
      </c>
      <c r="AA201">
        <v>1</v>
      </c>
      <c r="AB201">
        <v>1</v>
      </c>
      <c r="AC201">
        <v>1</v>
      </c>
      <c r="AD201">
        <v>1</v>
      </c>
      <c r="AE201">
        <v>1</v>
      </c>
      <c r="AF201">
        <v>1</v>
      </c>
      <c r="AG201">
        <v>1</v>
      </c>
      <c r="AH201">
        <v>1</v>
      </c>
      <c r="AI201">
        <v>1</v>
      </c>
      <c r="AJ201">
        <v>1</v>
      </c>
      <c r="AK201">
        <v>1</v>
      </c>
      <c r="AL201">
        <v>1</v>
      </c>
      <c r="AM201">
        <v>1</v>
      </c>
      <c r="AN201">
        <v>1</v>
      </c>
      <c r="AO201">
        <v>1</v>
      </c>
      <c r="AP201">
        <v>1</v>
      </c>
      <c r="AQ201">
        <v>1</v>
      </c>
      <c r="AR201">
        <v>1</v>
      </c>
      <c r="AS201">
        <v>1</v>
      </c>
      <c r="AT201">
        <v>1</v>
      </c>
      <c r="AU201">
        <v>1</v>
      </c>
      <c r="AV201">
        <v>1</v>
      </c>
      <c r="AW201">
        <v>1</v>
      </c>
      <c r="AX201">
        <v>1</v>
      </c>
      <c r="AY201">
        <v>1</v>
      </c>
      <c r="AZ201">
        <v>1</v>
      </c>
      <c r="BA201">
        <v>1</v>
      </c>
      <c r="BB201">
        <v>1</v>
      </c>
      <c r="BC201">
        <v>1</v>
      </c>
      <c r="BD201">
        <v>1</v>
      </c>
      <c r="BE201">
        <v>1</v>
      </c>
      <c r="BF201">
        <v>1</v>
      </c>
      <c r="BG201">
        <v>1</v>
      </c>
      <c r="BH201">
        <v>1</v>
      </c>
      <c r="BI201">
        <v>1</v>
      </c>
      <c r="BJ201">
        <v>1</v>
      </c>
      <c r="BK201">
        <v>1</v>
      </c>
      <c r="BL201">
        <v>1</v>
      </c>
      <c r="BM201">
        <v>1</v>
      </c>
      <c r="BN201">
        <v>1</v>
      </c>
      <c r="BO201">
        <v>1</v>
      </c>
      <c r="BP201">
        <v>1</v>
      </c>
      <c r="BQ201">
        <v>1</v>
      </c>
      <c r="BR201">
        <v>1</v>
      </c>
      <c r="BS201">
        <v>1</v>
      </c>
      <c r="BT201">
        <v>1</v>
      </c>
      <c r="BU201">
        <v>1</v>
      </c>
      <c r="BV201">
        <v>1</v>
      </c>
      <c r="BW201">
        <v>1</v>
      </c>
      <c r="BX201">
        <v>1</v>
      </c>
      <c r="BY201">
        <v>1</v>
      </c>
      <c r="BZ201">
        <v>1</v>
      </c>
      <c r="CA201">
        <v>1</v>
      </c>
      <c r="CB201">
        <v>1</v>
      </c>
      <c r="CC201">
        <v>1</v>
      </c>
      <c r="CD201">
        <v>1</v>
      </c>
      <c r="CE201">
        <v>1</v>
      </c>
      <c r="CF201">
        <v>1</v>
      </c>
      <c r="CG201">
        <v>1</v>
      </c>
      <c r="CH201">
        <v>1</v>
      </c>
      <c r="CI201">
        <v>1</v>
      </c>
      <c r="CJ201">
        <v>1</v>
      </c>
      <c r="CK201">
        <v>1</v>
      </c>
      <c r="CL201">
        <v>1</v>
      </c>
      <c r="CM201">
        <v>1</v>
      </c>
      <c r="CN201">
        <v>1</v>
      </c>
      <c r="CO201">
        <v>1</v>
      </c>
      <c r="CP201">
        <v>1</v>
      </c>
      <c r="CQ201">
        <v>1</v>
      </c>
      <c r="CR201">
        <v>1</v>
      </c>
      <c r="CS201">
        <v>1</v>
      </c>
      <c r="CT201">
        <v>1</v>
      </c>
      <c r="CU201">
        <v>1</v>
      </c>
      <c r="CV201">
        <v>1</v>
      </c>
      <c r="CW201">
        <v>1</v>
      </c>
      <c r="CX201">
        <v>1</v>
      </c>
      <c r="CY201">
        <v>1</v>
      </c>
      <c r="CZ201">
        <v>1</v>
      </c>
      <c r="DA201">
        <v>1</v>
      </c>
      <c r="DB201">
        <v>1</v>
      </c>
      <c r="DC201">
        <v>1</v>
      </c>
      <c r="DD201">
        <v>1</v>
      </c>
      <c r="DE201">
        <v>1</v>
      </c>
      <c r="DF201">
        <v>1</v>
      </c>
      <c r="DG201">
        <v>1</v>
      </c>
      <c r="DH201">
        <v>1</v>
      </c>
      <c r="DI201">
        <v>1</v>
      </c>
      <c r="DJ201">
        <v>1</v>
      </c>
      <c r="DK201">
        <v>1</v>
      </c>
      <c r="DL201">
        <v>1</v>
      </c>
      <c r="DM201">
        <v>1</v>
      </c>
      <c r="DN201">
        <v>1</v>
      </c>
      <c r="DO201">
        <v>1</v>
      </c>
      <c r="DP201">
        <v>1</v>
      </c>
      <c r="DQ201">
        <v>1</v>
      </c>
      <c r="DR201">
        <v>1</v>
      </c>
      <c r="DS201">
        <v>1</v>
      </c>
      <c r="DT201">
        <v>1</v>
      </c>
      <c r="DU201">
        <v>1</v>
      </c>
      <c r="DV201">
        <v>1</v>
      </c>
      <c r="DW201">
        <v>1</v>
      </c>
      <c r="DX201">
        <v>1</v>
      </c>
      <c r="DY201">
        <v>1</v>
      </c>
      <c r="DZ201">
        <v>1</v>
      </c>
      <c r="EA201">
        <v>1</v>
      </c>
      <c r="EB201">
        <v>1</v>
      </c>
      <c r="EC201">
        <v>1</v>
      </c>
      <c r="ED201">
        <v>1</v>
      </c>
      <c r="EE201">
        <v>1</v>
      </c>
      <c r="EF201">
        <v>1</v>
      </c>
      <c r="EG201">
        <v>1</v>
      </c>
      <c r="EH201">
        <v>1</v>
      </c>
      <c r="EI201">
        <v>1</v>
      </c>
      <c r="EJ201">
        <v>1</v>
      </c>
      <c r="EK201">
        <v>1</v>
      </c>
      <c r="EL201">
        <v>1</v>
      </c>
      <c r="EM201">
        <v>1</v>
      </c>
      <c r="EN201">
        <v>1</v>
      </c>
      <c r="EO201">
        <v>1</v>
      </c>
      <c r="EP201">
        <v>1</v>
      </c>
      <c r="EQ201">
        <v>1</v>
      </c>
      <c r="ER201">
        <v>1</v>
      </c>
      <c r="ES201">
        <v>1</v>
      </c>
      <c r="ET201">
        <v>1</v>
      </c>
      <c r="EU201">
        <v>1</v>
      </c>
      <c r="EV201">
        <v>1</v>
      </c>
      <c r="EW201">
        <v>1</v>
      </c>
      <c r="EX201">
        <v>1</v>
      </c>
      <c r="EY201">
        <v>1</v>
      </c>
      <c r="EZ201">
        <v>1</v>
      </c>
      <c r="FA201">
        <v>1</v>
      </c>
      <c r="FB201">
        <v>1</v>
      </c>
      <c r="FC201">
        <v>1</v>
      </c>
      <c r="FD201">
        <v>1</v>
      </c>
      <c r="FE201">
        <v>1</v>
      </c>
      <c r="FF201">
        <v>1</v>
      </c>
      <c r="FG201">
        <v>1</v>
      </c>
      <c r="FH201">
        <v>1</v>
      </c>
      <c r="FI201">
        <v>1</v>
      </c>
      <c r="FJ201">
        <v>1</v>
      </c>
      <c r="FK201">
        <v>1</v>
      </c>
      <c r="FL201">
        <v>1</v>
      </c>
      <c r="FM201">
        <v>1</v>
      </c>
      <c r="FN201">
        <v>1</v>
      </c>
      <c r="FO201">
        <v>1</v>
      </c>
      <c r="FP201">
        <v>1</v>
      </c>
      <c r="FQ201">
        <v>1</v>
      </c>
      <c r="FR201">
        <v>1</v>
      </c>
      <c r="FS201">
        <v>1</v>
      </c>
      <c r="FT201">
        <v>1</v>
      </c>
      <c r="FU201">
        <v>1</v>
      </c>
      <c r="FV201">
        <v>1</v>
      </c>
      <c r="FW201">
        <v>1</v>
      </c>
      <c r="FX201">
        <v>1</v>
      </c>
      <c r="FY201">
        <v>1</v>
      </c>
      <c r="FZ201">
        <v>1</v>
      </c>
      <c r="GA201">
        <v>1</v>
      </c>
      <c r="GB201">
        <v>1</v>
      </c>
      <c r="GC201">
        <v>1</v>
      </c>
      <c r="GD201">
        <v>1</v>
      </c>
      <c r="GE201">
        <v>1</v>
      </c>
      <c r="GF201">
        <v>1</v>
      </c>
      <c r="GG201">
        <v>1</v>
      </c>
      <c r="GH201">
        <v>1</v>
      </c>
      <c r="GI201">
        <v>1</v>
      </c>
      <c r="GJ201">
        <v>1</v>
      </c>
      <c r="GK201">
        <v>1</v>
      </c>
      <c r="GL201">
        <v>1</v>
      </c>
      <c r="GM201">
        <v>1</v>
      </c>
      <c r="GN201">
        <v>1</v>
      </c>
      <c r="GO201">
        <v>1</v>
      </c>
    </row>
  </sheetData>
  <sheetProtection sheet="1" objects="1" scenarios="1" formatRows="0"/>
  <mergeCells count="59">
    <mergeCell ref="AG28:AH28"/>
    <mergeCell ref="AN28:AO28"/>
    <mergeCell ref="X29:Y29"/>
    <mergeCell ref="X30:Y30"/>
    <mergeCell ref="AG24:AM24"/>
    <mergeCell ref="AN24:AT24"/>
    <mergeCell ref="Z28:AA28"/>
    <mergeCell ref="AU24:AW24"/>
    <mergeCell ref="AC26:AC27"/>
    <mergeCell ref="AJ26:AJ27"/>
    <mergeCell ref="AQ26:AQ27"/>
    <mergeCell ref="B15:B16"/>
    <mergeCell ref="C16:F16"/>
    <mergeCell ref="C19:E19"/>
    <mergeCell ref="D20:F20"/>
    <mergeCell ref="C22:E22"/>
    <mergeCell ref="X24:AF24"/>
    <mergeCell ref="C104:F104"/>
    <mergeCell ref="C102:E102"/>
    <mergeCell ref="C103:F103"/>
    <mergeCell ref="C28:E28"/>
    <mergeCell ref="C27:E27"/>
    <mergeCell ref="C38:E38"/>
    <mergeCell ref="C35:E35"/>
    <mergeCell ref="C42:E42"/>
    <mergeCell ref="D65:F65"/>
    <mergeCell ref="C53:E53"/>
    <mergeCell ref="B48:F48"/>
    <mergeCell ref="B57:F57"/>
    <mergeCell ref="C30:E30"/>
    <mergeCell ref="C31:E31"/>
    <mergeCell ref="F51:F56"/>
    <mergeCell ref="F39:F47"/>
    <mergeCell ref="O10:Q10"/>
    <mergeCell ref="O12:Q12"/>
    <mergeCell ref="M63:S63"/>
    <mergeCell ref="U12:V12"/>
    <mergeCell ref="C52:E52"/>
    <mergeCell ref="C51:E51"/>
    <mergeCell ref="C56:E56"/>
    <mergeCell ref="B14:E14"/>
    <mergeCell ref="B24:E24"/>
    <mergeCell ref="B26:E26"/>
    <mergeCell ref="B50:E50"/>
    <mergeCell ref="C23:F23"/>
    <mergeCell ref="C60:F60"/>
    <mergeCell ref="C54:E54"/>
    <mergeCell ref="C55:E55"/>
    <mergeCell ref="C59:F59"/>
    <mergeCell ref="F34:F36"/>
    <mergeCell ref="C34:E34"/>
    <mergeCell ref="C32:E32"/>
    <mergeCell ref="C33:E33"/>
    <mergeCell ref="I9:J9"/>
    <mergeCell ref="E10:G10"/>
    <mergeCell ref="C15:F15"/>
    <mergeCell ref="C17:D17"/>
    <mergeCell ref="D18:F18"/>
    <mergeCell ref="J10:K10"/>
  </mergeCells>
  <printOptions horizontalCentered="1"/>
  <pageMargins left="0.23622047244094491" right="0.23622047244094491" top="0.55118110236220474" bottom="0.35433070866141736" header="0.31496062992125984" footer="0.31496062992125984"/>
  <pageSetup paperSize="9" scale="75" orientation="landscape" verticalDpi="4" r:id="rId1"/>
  <rowBreaks count="1" manualBreakCount="1">
    <brk id="63" min="1" max="18" man="1"/>
  </rowBreaks>
  <colBreaks count="1" manualBreakCount="1">
    <brk id="19" min="9" max="9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14</vt:i4>
      </vt:variant>
      <vt:variant>
        <vt:lpstr>Nimetyt alueet</vt:lpstr>
      </vt:variant>
      <vt:variant>
        <vt:i4>17</vt:i4>
      </vt:variant>
    </vt:vector>
  </HeadingPairs>
  <TitlesOfParts>
    <vt:vector size="31" baseType="lpstr">
      <vt:lpstr>STARTSIDAN</vt:lpstr>
      <vt:lpstr>1. T1 INVESTERINGSP. </vt:lpstr>
      <vt:lpstr>2. &amp; 7. T2  RESULTATB.</vt:lpstr>
      <vt:lpstr>3. &amp; 8. T3 BALANS</vt:lpstr>
      <vt:lpstr>4. T7 LÅN </vt:lpstr>
      <vt:lpstr>5. E1 VERKSAMHETSKOSTN.</vt:lpstr>
      <vt:lpstr>6. E2 OMSÄTTNING </vt:lpstr>
      <vt:lpstr>9. T4 FINANSIERINGSB. </vt:lpstr>
      <vt:lpstr>10. T5 KASSABUDGET </vt:lpstr>
      <vt:lpstr>AT T5 Kassa</vt:lpstr>
      <vt:lpstr>UTSKRIVNING</vt:lpstr>
      <vt:lpstr>AT1 Avustus, alv-laskenta</vt:lpstr>
      <vt:lpstr>AT2 Lainat, sotum, alv-osto</vt:lpstr>
      <vt:lpstr>Kaavio</vt:lpstr>
      <vt:lpstr>_3_2010</vt:lpstr>
      <vt:lpstr>_3_2012</vt:lpstr>
      <vt:lpstr>'5. E1 VERKSAMHETSKOSTN.'!Teksti37</vt:lpstr>
      <vt:lpstr>'5. E1 VERKSAMHETSKOSTN.'!Teksti38</vt:lpstr>
      <vt:lpstr>'5. E1 VERKSAMHETSKOSTN.'!Teksti39</vt:lpstr>
      <vt:lpstr>'1. T1 INVESTERINGSP. '!Tulostusalue</vt:lpstr>
      <vt:lpstr>'10. T5 KASSABUDGET '!Tulostusalue</vt:lpstr>
      <vt:lpstr>'2. &amp; 7. T2  RESULTATB.'!Tulostusalue</vt:lpstr>
      <vt:lpstr>'3. &amp; 8. T3 BALANS'!Tulostusalue</vt:lpstr>
      <vt:lpstr>'4. T7 LÅN '!Tulostusalue</vt:lpstr>
      <vt:lpstr>'5. E1 VERKSAMHETSKOSTN.'!Tulostusalue</vt:lpstr>
      <vt:lpstr>'6. E2 OMSÄTTNING '!Tulostusalue</vt:lpstr>
      <vt:lpstr>'9. T4 FINANSIERINGSB. '!Tulostusalue</vt:lpstr>
      <vt:lpstr>STARTSIDAN!Tulostusalue</vt:lpstr>
      <vt:lpstr>UTSKRIVNING!Tulostusalue</vt:lpstr>
      <vt:lpstr>'3. &amp; 8. T3 BALANS'!Tulostusotsikot</vt:lpstr>
      <vt:lpstr>'5. E1 VERKSAMHETSKOSTN.'!Tulostusotsikot</vt:lpstr>
    </vt:vector>
  </TitlesOfParts>
  <Company>Företagstolken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FT22 Resultatplan</dc:title>
  <dc:creator>Företagstolken</dc:creator>
  <cp:keywords>FT22</cp:keywords>
  <cp:lastModifiedBy>Yritystulkki</cp:lastModifiedBy>
  <cp:lastPrinted>2022-04-27T07:54:00Z</cp:lastPrinted>
  <dcterms:created xsi:type="dcterms:W3CDTF">2006-08-01T10:09:48Z</dcterms:created>
  <dcterms:modified xsi:type="dcterms:W3CDTF">2022-05-17T12:25:32Z</dcterms:modified>
</cp:coreProperties>
</file>